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3"/>
    <sheet state="visible" name="USE THIS ONE" sheetId="2" r:id="rId4"/>
    <sheet state="visible" name="Dirge Ability Mod Calcs" sheetId="3" r:id="rId5"/>
    <sheet state="visible" name="Assassin Ability Mod Calcs" sheetId="4" r:id="rId6"/>
    <sheet state="visible" name="Fury Ability Mod Calcs" sheetId="5" r:id="rId7"/>
    <sheet state="visible" name="WarlockWarlock" sheetId="6" r:id="rId8"/>
    <sheet state="visible" name="WardenWarden" sheetId="7" r:id="rId9"/>
    <sheet state="visible" name="Sheet12" sheetId="8" r:id="rId10"/>
    <sheet state="visible" name="Brig" sheetId="9" r:id="rId11"/>
    <sheet state="visible" name="Ranger" sheetId="10" r:id="rId12"/>
    <sheet state="visible" name="Assasssin" sheetId="11" r:id="rId13"/>
    <sheet state="visible" name="Channeler" sheetId="12" r:id="rId14"/>
    <sheet state="visible" name="Illy" sheetId="13" r:id="rId15"/>
    <sheet state="visible" name="Necro" sheetId="14" r:id="rId16"/>
    <sheet state="visible" name="Copy of Illy" sheetId="15" r:id="rId17"/>
    <sheet state="visible" name="Conj" sheetId="16" r:id="rId18"/>
    <sheet state="visible" name="Warden" sheetId="17" r:id="rId19"/>
    <sheet state="visible" name="Coercer" sheetId="18" r:id="rId20"/>
    <sheet state="visible" name="Guardian" sheetId="19" r:id="rId21"/>
    <sheet state="visible" name="Berserker" sheetId="20" r:id="rId22"/>
    <sheet state="visible" name="Copy of Berserker" sheetId="21" r:id="rId23"/>
    <sheet state="visible" name="Copy of Copy of Berserker" sheetId="22" r:id="rId24"/>
    <sheet state="visible" name="Dirge2" sheetId="23" r:id="rId25"/>
    <sheet state="visible" name="Sheet28" sheetId="24" r:id="rId26"/>
    <sheet state="visible" name="Illusionist" sheetId="25" r:id="rId27"/>
    <sheet state="visible" name="Copy of Illusionist" sheetId="26" r:id="rId28"/>
    <sheet state="visible" name="Assassin" sheetId="27" r:id="rId29"/>
    <sheet state="visible" name="Dirge" sheetId="28" r:id="rId30"/>
    <sheet state="hidden" name="FakeConj" sheetId="29" r:id="rId31"/>
    <sheet state="hidden" name="Ranger2" sheetId="30" r:id="rId32"/>
    <sheet state="visible" name="Wizard" sheetId="31" r:id="rId33"/>
    <sheet state="hidden" name="Accounts" sheetId="32" r:id="rId34"/>
    <sheet state="visible" name="exp table" sheetId="33" r:id="rId35"/>
    <sheet state="visible" name="weapon skills" sheetId="34" r:id="rId36"/>
  </sheets>
  <definedNames>
    <definedName hidden="1" localSheetId="0" name="_xlnm._FilterDatabase">Sheet1!$A$7:$T$41</definedName>
    <definedName hidden="1" localSheetId="1" name="_xlnm._FilterDatabase">'USE THIS ONE'!$A$7:$U$54</definedName>
    <definedName hidden="1" localSheetId="2" name="_xlnm._FilterDatabase">'Dirge Ability Mod Calcs'!$A$8:$U$35</definedName>
    <definedName hidden="1" localSheetId="3" name="_xlnm._FilterDatabase">'Assassin Ability Mod Calcs'!$A$8:$U$42</definedName>
    <definedName hidden="1" localSheetId="4" name="_xlnm._FilterDatabase">'Fury Ability Mod Calcs'!$A$8:$U$42</definedName>
    <definedName hidden="1" localSheetId="5" name="_xlnm._FilterDatabase">WarlockWarlock!$A$7:$W$31</definedName>
    <definedName hidden="1" localSheetId="6" name="_xlnm._FilterDatabase">WardenWarden!$A$7:$U$54</definedName>
    <definedName hidden="1" localSheetId="9" name="_xlnm._FilterDatabase">Ranger!$A$7:$U$41</definedName>
    <definedName hidden="1" localSheetId="10" name="_xlnm._FilterDatabase">Assasssin!$A$7:$U$49</definedName>
    <definedName hidden="1" localSheetId="11" name="_xlnm._FilterDatabase">Channeler!$A$7:$U$42</definedName>
    <definedName hidden="1" localSheetId="12" name="_xlnm._FilterDatabase">Illy!$A$7:$U$42</definedName>
    <definedName hidden="1" localSheetId="13" name="_xlnm._FilterDatabase">Necro!$A$7:$U$42</definedName>
    <definedName hidden="1" localSheetId="14" name="_xlnm._FilterDatabase">'Copy of Illy'!$A$7:$U$42</definedName>
    <definedName hidden="1" localSheetId="15" name="_xlnm._FilterDatabase">Conj!$A$7:$U$39</definedName>
    <definedName hidden="1" localSheetId="16" name="_xlnm._FilterDatabase">Warden!$A$7:$U$42</definedName>
    <definedName hidden="1" localSheetId="17" name="_xlnm._FilterDatabase">Coercer!$A$7:$U$54</definedName>
    <definedName hidden="1" localSheetId="18" name="_xlnm._FilterDatabase">Guardian!$A$7:$U$54</definedName>
    <definedName hidden="1" localSheetId="19" name="_xlnm._FilterDatabase">Berserker!$A$7:$U$54</definedName>
    <definedName hidden="1" localSheetId="20" name="_xlnm._FilterDatabase">'Copy of Berserker'!$A$7:$U$54</definedName>
    <definedName hidden="1" localSheetId="21" name="_xlnm._FilterDatabase">'Copy of Copy of Berserker'!$A$7:$U$54</definedName>
    <definedName hidden="1" localSheetId="22" name="_xlnm._FilterDatabase">Dirge2!$A$7:$U$47</definedName>
    <definedName hidden="1" localSheetId="24" name="_xlnm._FilterDatabase">Illusionist!$A$7:$U$57</definedName>
    <definedName hidden="1" localSheetId="25" name="_xlnm._FilterDatabase">'Copy of Illusionist'!$A$7:$U$57</definedName>
    <definedName hidden="1" localSheetId="26" name="_xlnm._FilterDatabase">Assassin!$A$7:$U$49</definedName>
    <definedName hidden="1" localSheetId="33" name="_xlnm._FilterDatabase">'weapon skills'!$A$2:$C$9</definedName>
  </definedNames>
  <calcPr/>
</workbook>
</file>

<file path=xl/sharedStrings.xml><?xml version="1.0" encoding="utf-8"?>
<sst xmlns="http://schemas.openxmlformats.org/spreadsheetml/2006/main" count="2312" uniqueCount="625">
  <si>
    <t>CB (add 130%)</t>
  </si>
  <si>
    <t>Rec%</t>
  </si>
  <si>
    <t>Spell Multi</t>
  </si>
  <si>
    <t>ae targets</t>
  </si>
  <si>
    <t>reuse %</t>
  </si>
  <si>
    <t>cast %</t>
  </si>
  <si>
    <t>AE? (1=Y)</t>
  </si>
  <si>
    <t>Spell</t>
  </si>
  <si>
    <t>Cast</t>
  </si>
  <si>
    <t>Reuse</t>
  </si>
  <si>
    <t>Min</t>
  </si>
  <si>
    <t>Max</t>
  </si>
  <si>
    <t>Dot min</t>
  </si>
  <si>
    <t>Dot max</t>
  </si>
  <si>
    <t>additional multiplier</t>
  </si>
  <si>
    <t>Duration</t>
  </si>
  <si>
    <t>tick/s</t>
  </si>
  <si>
    <t>Min crit</t>
  </si>
  <si>
    <t>Max Crit</t>
  </si>
  <si>
    <t>Dot min crit</t>
  </si>
  <si>
    <t>Dot max crit</t>
  </si>
  <si>
    <t>Max total</t>
  </si>
  <si>
    <t>Average</t>
  </si>
  <si>
    <t>Efficiency</t>
  </si>
  <si>
    <t>avg dps (spam)</t>
  </si>
  <si>
    <t>sniper shot</t>
  </si>
  <si>
    <t>exploit weakness</t>
  </si>
  <si>
    <t>arrow barrage</t>
  </si>
  <si>
    <t>hidden assault</t>
  </si>
  <si>
    <t>storm (salvo)</t>
  </si>
  <si>
    <t>rapid salvo</t>
  </si>
  <si>
    <t>stream (salvo)</t>
  </si>
  <si>
    <t>ranger's blade</t>
  </si>
  <si>
    <t>rear shot</t>
  </si>
  <si>
    <t>smoke bomb</t>
  </si>
  <si>
    <t>natural selection</t>
  </si>
  <si>
    <t>hidden shot</t>
  </si>
  <si>
    <t>emberstrike</t>
  </si>
  <si>
    <t>explosive</t>
  </si>
  <si>
    <t>bloody reminder</t>
  </si>
  <si>
    <t>master strike</t>
  </si>
  <si>
    <t>triple shot</t>
  </si>
  <si>
    <t>sneak attack</t>
  </si>
  <si>
    <t>miracle shot</t>
  </si>
  <si>
    <t>crippling arrow</t>
  </si>
  <si>
    <t>evasive manuevers</t>
  </si>
  <si>
    <t>trick</t>
  </si>
  <si>
    <t>searing</t>
  </si>
  <si>
    <t>rip</t>
  </si>
  <si>
    <t>Lunge</t>
  </si>
  <si>
    <t>Lighning strike</t>
  </si>
  <si>
    <t>nox enf</t>
  </si>
  <si>
    <t>snaring</t>
  </si>
  <si>
    <t>placating strike</t>
  </si>
  <si>
    <t>pbs</t>
  </si>
  <si>
    <t>hilt</t>
  </si>
  <si>
    <t>2h</t>
  </si>
  <si>
    <t>1h</t>
  </si>
  <si>
    <t>ranged</t>
  </si>
  <si>
    <t>spinning spear</t>
  </si>
  <si>
    <t>makeshift</t>
  </si>
  <si>
    <t>blazing shot total</t>
  </si>
  <si>
    <t>Flaming Weapons</t>
  </si>
  <si>
    <t>blazing shot</t>
  </si>
  <si>
    <t>storm of arrows</t>
  </si>
  <si>
    <t>stream of arrows</t>
  </si>
  <si>
    <t>Hullpiercer</t>
  </si>
  <si>
    <t>Metallic longbow</t>
  </si>
  <si>
    <t>/</t>
  </si>
  <si>
    <t>avg dps</t>
  </si>
  <si>
    <t>no multi</t>
  </si>
  <si>
    <t>Psychic Trauma</t>
  </si>
  <si>
    <t>Ether Balance</t>
  </si>
  <si>
    <t>Brainshock</t>
  </si>
  <si>
    <t>Hostage</t>
  </si>
  <si>
    <t>Destructive Mind</t>
  </si>
  <si>
    <t>Bewilderment</t>
  </si>
  <si>
    <t>Asylum</t>
  </si>
  <si>
    <t>Brainshock spam</t>
  </si>
  <si>
    <t>Spell Curse</t>
  </si>
  <si>
    <t>Master Strike</t>
  </si>
  <si>
    <t>Silence</t>
  </si>
  <si>
    <t>Counterblade</t>
  </si>
  <si>
    <t>Asylum spam,</t>
  </si>
  <si>
    <t>Shock Wave</t>
  </si>
  <si>
    <t>Cannibalize Though</t>
  </si>
  <si>
    <t>Medusa Gaze</t>
  </si>
  <si>
    <t>Daydream</t>
  </si>
  <si>
    <t>Hemorrhage</t>
  </si>
  <si>
    <t>Mindbend</t>
  </si>
  <si>
    <t>Simple Minds</t>
  </si>
  <si>
    <t>Null staff</t>
  </si>
  <si>
    <t>Ego Shock</t>
  </si>
  <si>
    <t>Spellblade's counter</t>
  </si>
  <si>
    <t>Stupefy</t>
  </si>
  <si>
    <t>Lemonade</t>
  </si>
  <si>
    <t>7up</t>
  </si>
  <si>
    <t>Vodka</t>
  </si>
  <si>
    <t>mL</t>
  </si>
  <si>
    <t>% alcohol</t>
  </si>
  <si>
    <t>Began:</t>
  </si>
  <si>
    <t>2/3 drank</t>
  </si>
  <si>
    <t>ml of alcohol</t>
  </si>
  <si>
    <t>Pot</t>
  </si>
  <si>
    <t>Agi</t>
  </si>
  <si>
    <t>Ability Mod</t>
  </si>
  <si>
    <t>Thuri's</t>
  </si>
  <si>
    <t>Dagger Storm</t>
  </si>
  <si>
    <t>Daro's Dull Blade</t>
  </si>
  <si>
    <t>Echoing Howl</t>
  </si>
  <si>
    <t>Darksong Spin</t>
  </si>
  <si>
    <t>Luda's</t>
  </si>
  <si>
    <t>Lanet's</t>
  </si>
  <si>
    <t>Howl of Death</t>
  </si>
  <si>
    <t>Turnstrike</t>
  </si>
  <si>
    <t>Bump</t>
  </si>
  <si>
    <t>Misfortune's Kiss</t>
  </si>
  <si>
    <t>Jarols Sorrowful</t>
  </si>
  <si>
    <t>Banshee</t>
  </si>
  <si>
    <t>Evade</t>
  </si>
  <si>
    <t>Sinister</t>
  </si>
  <si>
    <t>Evasive</t>
  </si>
  <si>
    <t>Messenger's</t>
  </si>
  <si>
    <t>Dragonwrath</t>
  </si>
  <si>
    <t>Round Bash</t>
  </si>
  <si>
    <t>Scream1</t>
  </si>
  <si>
    <t>Scream2</t>
  </si>
  <si>
    <t>Scream3</t>
  </si>
  <si>
    <t>Scream Total</t>
  </si>
  <si>
    <t>Rhythm Blade</t>
  </si>
  <si>
    <t>Jael's Dreadful</t>
  </si>
  <si>
    <t>Tarven's</t>
  </si>
  <si>
    <t>New Mod:</t>
  </si>
  <si>
    <t>Ability Name</t>
  </si>
  <si>
    <t>Max Static</t>
  </si>
  <si>
    <t>Max Avg Combat</t>
  </si>
  <si>
    <t>Cap Static</t>
  </si>
  <si>
    <t>Cap Dynamic</t>
  </si>
  <si>
    <t>% Increase</t>
  </si>
  <si>
    <t>DPS from Parse</t>
  </si>
  <si>
    <t>DPS Increase</t>
  </si>
  <si>
    <t>for ___ mod</t>
  </si>
  <si>
    <t>DPS/AbilMod</t>
  </si>
  <si>
    <t>100%%</t>
  </si>
  <si>
    <t>Nightblade</t>
  </si>
  <si>
    <t>Ambush</t>
  </si>
  <si>
    <t>Masked Strike</t>
  </si>
  <si>
    <t>Death Mark</t>
  </si>
  <si>
    <t>Shadow Step</t>
  </si>
  <si>
    <t>Death Blow &lt;33</t>
  </si>
  <si>
    <t>Stealth Assault</t>
  </si>
  <si>
    <t>Noxious Enfeeblement</t>
  </si>
  <si>
    <t>Deadly Shot</t>
  </si>
  <si>
    <t>Smoke Bomb</t>
  </si>
  <si>
    <t>Improvised</t>
  </si>
  <si>
    <t>Impale</t>
  </si>
  <si>
    <t>Death Blow &gt;33</t>
  </si>
  <si>
    <t>Touch of the Nightshade</t>
  </si>
  <si>
    <t>Head Shot</t>
  </si>
  <si>
    <t>Sinister Strike</t>
  </si>
  <si>
    <t>Spine Shot</t>
  </si>
  <si>
    <t>Quick Strike</t>
  </si>
  <si>
    <t>Gushing Wound Full</t>
  </si>
  <si>
    <t>Paralyzing Strike</t>
  </si>
  <si>
    <t>Crippling Strike</t>
  </si>
  <si>
    <t>Gushing Wound</t>
  </si>
  <si>
    <t>Evasive Maneuv</t>
  </si>
  <si>
    <t>Placating</t>
  </si>
  <si>
    <t>Point Blank</t>
  </si>
  <si>
    <t>Poison Combo</t>
  </si>
  <si>
    <t>Spinning Spear</t>
  </si>
  <si>
    <t>Assassinate</t>
  </si>
  <si>
    <t>Fatal Followup</t>
  </si>
  <si>
    <t>Exploit Weakness</t>
  </si>
  <si>
    <t>Eviscerate</t>
  </si>
  <si>
    <t>Jugular Slice</t>
  </si>
  <si>
    <t>Mortal Blade</t>
  </si>
  <si>
    <t>Death Blow</t>
  </si>
  <si>
    <t>Massacre</t>
  </si>
  <si>
    <t>DPS from +x mod</t>
  </si>
  <si>
    <t>DPS per 1k Mod</t>
  </si>
  <si>
    <t>Flurry DPS</t>
  </si>
  <si>
    <t>Flurry DPS/%</t>
  </si>
  <si>
    <t>Per 1% flurry</t>
  </si>
  <si>
    <t>DPS/reforge &lt;500</t>
  </si>
  <si>
    <t>&lt;700</t>
  </si>
  <si>
    <t>&lt;900</t>
  </si>
  <si>
    <t>Mod</t>
  </si>
  <si>
    <t>DPS</t>
  </si>
  <si>
    <t>Aspd</t>
  </si>
  <si>
    <t>% Change</t>
  </si>
  <si>
    <t>Auto DPS</t>
  </si>
  <si>
    <t>DPS/reforge &lt;1000</t>
  </si>
  <si>
    <t>DPS/reforge &gt;1000</t>
  </si>
  <si>
    <t>Reforge</t>
  </si>
  <si>
    <t>DPS &lt;1000</t>
  </si>
  <si>
    <t>1k Mod (-35k)</t>
  </si>
  <si>
    <t>Aspd &lt;500</t>
  </si>
  <si>
    <t>Aspd &lt;700</t>
  </si>
  <si>
    <t>1k Mod (-8.5k)</t>
  </si>
  <si>
    <t>1k mod (+5k)</t>
  </si>
  <si>
    <t>Aspd &lt;900</t>
  </si>
  <si>
    <t>DPS &gt;1000</t>
  </si>
  <si>
    <t>Tempest</t>
  </si>
  <si>
    <t>Raging Whirlwind</t>
  </si>
  <si>
    <t>Death Swarm</t>
  </si>
  <si>
    <t>Thunderbolt</t>
  </si>
  <si>
    <t>U.Wrath</t>
  </si>
  <si>
    <t>Fae Fire</t>
  </si>
  <si>
    <t>Wrath of Nature</t>
  </si>
  <si>
    <t>Starnova Vortex</t>
  </si>
  <si>
    <t>Starnova</t>
  </si>
  <si>
    <t>Call of Storms</t>
  </si>
  <si>
    <t>Hibernation</t>
  </si>
  <si>
    <t>Stormbearer's</t>
  </si>
  <si>
    <t>Autumn's Kiss</t>
  </si>
  <si>
    <t>Porcupine (x4)</t>
  </si>
  <si>
    <t>(Porcupine(x2)</t>
  </si>
  <si>
    <t>Porcupine (Group)</t>
  </si>
  <si>
    <t>Thunderspike</t>
  </si>
  <si>
    <t>Untamed Regen</t>
  </si>
  <si>
    <t>Infusion</t>
  </si>
  <si>
    <t>Range</t>
  </si>
  <si>
    <t>INT</t>
  </si>
  <si>
    <t>Eff*(1-% time)</t>
  </si>
  <si>
    <t>% time</t>
  </si>
  <si>
    <t>Unda</t>
  </si>
  <si>
    <t>Concussive Bla</t>
  </si>
  <si>
    <t>Toxic Assault</t>
  </si>
  <si>
    <t>Thunderclap</t>
  </si>
  <si>
    <t>Plaguebringer</t>
  </si>
  <si>
    <t>Caustic Det</t>
  </si>
  <si>
    <t>Ethernere Chains</t>
  </si>
  <si>
    <t>Bewild</t>
  </si>
  <si>
    <t>Acid</t>
  </si>
  <si>
    <t>Aura of Void</t>
  </si>
  <si>
    <t>Apoc</t>
  </si>
  <si>
    <t>Eternal Damn</t>
  </si>
  <si>
    <t>Dark Siphon</t>
  </si>
  <si>
    <t>Dark Pyre</t>
  </si>
  <si>
    <t>Flames of Vel</t>
  </si>
  <si>
    <t>Encase</t>
  </si>
  <si>
    <t>Blast of Dev</t>
  </si>
  <si>
    <t>Cataclysm</t>
  </si>
  <si>
    <t>Distortion</t>
  </si>
  <si>
    <t>Dissolve</t>
  </si>
  <si>
    <t>Rift</t>
  </si>
  <si>
    <t>Abso</t>
  </si>
  <si>
    <t>Dark Nebula</t>
  </si>
  <si>
    <t>sda</t>
  </si>
  <si>
    <t>pot</t>
  </si>
  <si>
    <t>cb</t>
  </si>
  <si>
    <t>Warden</t>
  </si>
  <si>
    <t xml:space="preserve">Mystic
</t>
  </si>
  <si>
    <t>DPS per percent</t>
  </si>
  <si>
    <t>DawnstrikeSpell</t>
  </si>
  <si>
    <t xml:space="preserve">Icefall Spell
</t>
  </si>
  <si>
    <t>DawnstrikeAA</t>
  </si>
  <si>
    <t xml:space="preserve">Icefall Strike
</t>
  </si>
  <si>
    <t xml:space="preserve">Frostbite Slice
</t>
  </si>
  <si>
    <t xml:space="preserve">Frostbite
</t>
  </si>
  <si>
    <t>Uncontrollable Wra</t>
  </si>
  <si>
    <t>Winds of Healing</t>
  </si>
  <si>
    <t>Whirl of Permafrost</t>
  </si>
  <si>
    <t>Healstorm</t>
  </si>
  <si>
    <t>Rage of the Wild</t>
  </si>
  <si>
    <t>Winds of Growth</t>
  </si>
  <si>
    <t>Hierophant Grasp</t>
  </si>
  <si>
    <t>platinum</t>
  </si>
  <si>
    <t>dollars</t>
  </si>
  <si>
    <t>$/1k</t>
  </si>
  <si>
    <t>Conversion</t>
  </si>
  <si>
    <t>dps</t>
  </si>
  <si>
    <t>asp</t>
  </si>
  <si>
    <t>ma</t>
  </si>
  <si>
    <t>Current stats</t>
  </si>
  <si>
    <t>MA</t>
  </si>
  <si>
    <t>Flurry</t>
  </si>
  <si>
    <t xml:space="preserve"> +%</t>
  </si>
  <si>
    <t>% per 100</t>
  </si>
  <si>
    <t>x''</t>
  </si>
  <si>
    <t>COEFF</t>
  </si>
  <si>
    <t>Flurry Sans AS</t>
  </si>
  <si>
    <t>delta/+100</t>
  </si>
  <si>
    <t>ASPD</t>
  </si>
  <si>
    <t>flurry</t>
  </si>
  <si>
    <t>Hit %</t>
  </si>
  <si>
    <t>if(AND(DPS&gt;0,DPS&lt;=600),DPS/100,moretests</t>
  </si>
  <si>
    <t>aspeed</t>
  </si>
  <si>
    <t>uplifting wrist</t>
  </si>
  <si>
    <t>primordial</t>
  </si>
  <si>
    <t>hates fury</t>
  </si>
  <si>
    <t>ethereal strike</t>
  </si>
  <si>
    <t>no hates fury</t>
  </si>
  <si>
    <t>no ethereal strike</t>
  </si>
  <si>
    <t>ethereal</t>
  </si>
  <si>
    <t>Thugs</t>
  </si>
  <si>
    <t>Strongarm</t>
  </si>
  <si>
    <t>Murderous Rake</t>
  </si>
  <si>
    <t>Shred (5)</t>
  </si>
  <si>
    <t>Debilitate</t>
  </si>
  <si>
    <t>Dispatch</t>
  </si>
  <si>
    <t>Shank</t>
  </si>
  <si>
    <t>Backstab</t>
  </si>
  <si>
    <t>Cornered</t>
  </si>
  <si>
    <t>Evasive Manueuvers</t>
  </si>
  <si>
    <t>Will to Survive</t>
  </si>
  <si>
    <t>B &amp; A</t>
  </si>
  <si>
    <t>Black Jack</t>
  </si>
  <si>
    <t>Double Blast</t>
  </si>
  <si>
    <t>Stunning Blow</t>
  </si>
  <si>
    <t>Change of Eng</t>
  </si>
  <si>
    <t>Desperate Thrust</t>
  </si>
  <si>
    <t>Rob</t>
  </si>
  <si>
    <t>Thieving Essence</t>
  </si>
  <si>
    <t>Bum Rush</t>
  </si>
  <si>
    <t>Puncture</t>
  </si>
  <si>
    <t>Barroom Neg</t>
  </si>
  <si>
    <t>Boot Dagger</t>
  </si>
  <si>
    <t>Deft Disarm</t>
  </si>
  <si>
    <t>sinister strike</t>
  </si>
  <si>
    <t>evade</t>
  </si>
  <si>
    <t>Ambush+Masked</t>
  </si>
  <si>
    <t>AcidMist</t>
  </si>
  <si>
    <t>Bleedout</t>
  </si>
  <si>
    <t>BloodflurryMax</t>
  </si>
  <si>
    <t>DeathMark</t>
  </si>
  <si>
    <t>Noxious Enfeeble</t>
  </si>
  <si>
    <t>Shadow Step New</t>
  </si>
  <si>
    <t>Fatal Combination</t>
  </si>
  <si>
    <t>Deathblow&lt;33</t>
  </si>
  <si>
    <t>Levinbolt</t>
  </si>
  <si>
    <t>Gushing wound</t>
  </si>
  <si>
    <t>Bloodflurry0</t>
  </si>
  <si>
    <t>Improvised Weap</t>
  </si>
  <si>
    <t>Touch Nightshade</t>
  </si>
  <si>
    <t>Deathblow&gt;33</t>
  </si>
  <si>
    <t>Etherflash</t>
  </si>
  <si>
    <t>evasive maneuvers</t>
  </si>
  <si>
    <t>Bladed Opening</t>
  </si>
  <si>
    <t>DeathMark Heal</t>
  </si>
  <si>
    <t>.5x=mod cap</t>
  </si>
  <si>
    <t>max(x/1.5,x-mod)</t>
  </si>
  <si>
    <t>FFU</t>
  </si>
  <si>
    <t xml:space="preserve">CB (add 130%) </t>
  </si>
  <si>
    <t>Debuff%</t>
  </si>
  <si>
    <t>Potency(+100%)</t>
  </si>
  <si>
    <t>blah*(1+$D$2)*</t>
  </si>
  <si>
    <t>abilmod0</t>
  </si>
  <si>
    <t>Decimation</t>
  </si>
  <si>
    <t>Poison Bolt</t>
  </si>
  <si>
    <t>Barrage</t>
  </si>
  <si>
    <t>Vengeful Arrow 25</t>
  </si>
  <si>
    <t>Vengeful Arrow 50</t>
  </si>
  <si>
    <t>Shatter Rain</t>
  </si>
  <si>
    <t>Construct's Sac</t>
  </si>
  <si>
    <t>Vengeful Arrow 75</t>
  </si>
  <si>
    <t>Seeking Cascade</t>
  </si>
  <si>
    <t>Healing Barrage</t>
  </si>
  <si>
    <t>Vengeful Arrow</t>
  </si>
  <si>
    <t>Downpour</t>
  </si>
  <si>
    <t>Unc. Wrath</t>
  </si>
  <si>
    <t>Mist of Poison</t>
  </si>
  <si>
    <t>Healing Arrow</t>
  </si>
  <si>
    <t>Eye Shot</t>
  </si>
  <si>
    <t>Soulshot</t>
  </si>
  <si>
    <t>Snapshot</t>
  </si>
  <si>
    <t>Uncontr Wrath</t>
  </si>
  <si>
    <t>% Diff DPS</t>
  </si>
  <si>
    <t>Veng</t>
  </si>
  <si>
    <t>Targ for barrage</t>
  </si>
  <si>
    <t>Brainburst</t>
  </si>
  <si>
    <t>Theorems</t>
  </si>
  <si>
    <t>Speechless</t>
  </si>
  <si>
    <t>Prismatic Chaos</t>
  </si>
  <si>
    <t>Chromatic Storm</t>
  </si>
  <si>
    <t>Nightmare</t>
  </si>
  <si>
    <t>Chromatic Shower</t>
  </si>
  <si>
    <t>Mana Cloak</t>
  </si>
  <si>
    <t>Bloodcoil</t>
  </si>
  <si>
    <t>Death Grip 5</t>
  </si>
  <si>
    <t>Bloodcoil Spam</t>
  </si>
  <si>
    <t>Theurgist's Det</t>
  </si>
  <si>
    <t>Death Grip 2</t>
  </si>
  <si>
    <t>Arcane Bewilderment</t>
  </si>
  <si>
    <t>Soulrot</t>
  </si>
  <si>
    <t>Lifetap</t>
  </si>
  <si>
    <t>Death Grip 0</t>
  </si>
  <si>
    <t>Vampire Bats</t>
  </si>
  <si>
    <t>Pandemic</t>
  </si>
  <si>
    <t>Bloodcloud</t>
  </si>
  <si>
    <t>Animated Dagger</t>
  </si>
  <si>
    <t>UVB</t>
  </si>
  <si>
    <t>eff</t>
  </si>
  <si>
    <t>pet hp</t>
  </si>
  <si>
    <t>Elemental Blast</t>
  </si>
  <si>
    <t>Soulburn</t>
  </si>
  <si>
    <t>wind</t>
  </si>
  <si>
    <t>Planar Burst</t>
  </si>
  <si>
    <t>fiery annihilation</t>
  </si>
  <si>
    <t>Crystalline destr</t>
  </si>
  <si>
    <t>wind SPAM</t>
  </si>
  <si>
    <t>detonation</t>
  </si>
  <si>
    <t>fiery SPAM</t>
  </si>
  <si>
    <t>bats</t>
  </si>
  <si>
    <t>bewilderment</t>
  </si>
  <si>
    <t>blazing avatar</t>
  </si>
  <si>
    <t>Crystal blast</t>
  </si>
  <si>
    <t>shattered earth</t>
  </si>
  <si>
    <t>earthquake</t>
  </si>
  <si>
    <t>petrify</t>
  </si>
  <si>
    <t>Ranged Auto</t>
  </si>
  <si>
    <t>animated</t>
  </si>
  <si>
    <t>storm</t>
  </si>
  <si>
    <t>communion</t>
  </si>
  <si>
    <t>aqueous swarm</t>
  </si>
  <si>
    <t>roaring flames</t>
  </si>
  <si>
    <t>Frostbite spell</t>
  </si>
  <si>
    <t>Frostbite Slice</t>
  </si>
  <si>
    <t>Icefall</t>
  </si>
  <si>
    <t>Icefall Strike</t>
  </si>
  <si>
    <t>Dawnstrike Spell</t>
  </si>
  <si>
    <t>Winds of Perma</t>
  </si>
  <si>
    <t>Wrath</t>
  </si>
  <si>
    <t>Dawnstrike AA</t>
  </si>
  <si>
    <t>Primordial Strike</t>
  </si>
  <si>
    <t>Nature Blade</t>
  </si>
  <si>
    <t>Hiero</t>
  </si>
  <si>
    <t>Defender's Charge</t>
  </si>
  <si>
    <t>Provoke</t>
  </si>
  <si>
    <t>Ruin Spam</t>
  </si>
  <si>
    <t>Concussion</t>
  </si>
  <si>
    <t>Shout</t>
  </si>
  <si>
    <t>Ruin</t>
  </si>
  <si>
    <t>Sever</t>
  </si>
  <si>
    <t>Decimate</t>
  </si>
  <si>
    <t>Overpower</t>
  </si>
  <si>
    <t>Gut Kick</t>
  </si>
  <si>
    <t>Sentinel Strike</t>
  </si>
  <si>
    <t>Lay Waste</t>
  </si>
  <si>
    <t>Bash</t>
  </si>
  <si>
    <t>Precise Strike</t>
  </si>
  <si>
    <t>Slam</t>
  </si>
  <si>
    <t>Assault</t>
  </si>
  <si>
    <t>Taunting Blow</t>
  </si>
  <si>
    <t>Partisan Cleave</t>
  </si>
  <si>
    <t>Retaliate</t>
  </si>
  <si>
    <t>Taunting Ass</t>
  </si>
  <si>
    <t>Sneering Ass</t>
  </si>
  <si>
    <t>RECKLESS</t>
  </si>
  <si>
    <t>DREADLORD</t>
  </si>
  <si>
    <t>Saga of Bloodshed</t>
  </si>
  <si>
    <t>Mock</t>
  </si>
  <si>
    <t>Enrage</t>
  </si>
  <si>
    <t>Berserker Onslaught</t>
  </si>
  <si>
    <t>Rupture</t>
  </si>
  <si>
    <t>Rampage</t>
  </si>
  <si>
    <t>Knee Break</t>
  </si>
  <si>
    <t>Utter Destruction</t>
  </si>
  <si>
    <t>Maul</t>
  </si>
  <si>
    <t>Jeering Onslaught</t>
  </si>
  <si>
    <t>Head Crush</t>
  </si>
  <si>
    <t>Raging Blow</t>
  </si>
  <si>
    <t>Body Check</t>
  </si>
  <si>
    <t>Weapon Counter</t>
  </si>
  <si>
    <t>Frenzy</t>
  </si>
  <si>
    <t>Mutilate Enc</t>
  </si>
  <si>
    <t>Master's Rage</t>
  </si>
  <si>
    <t>Stunning Roar</t>
  </si>
  <si>
    <t>Mutaliate</t>
  </si>
  <si>
    <t>Sneering Assault</t>
  </si>
  <si>
    <t>Dragoon Spin</t>
  </si>
  <si>
    <t>Accel Strike</t>
  </si>
  <si>
    <t>Demolish</t>
  </si>
  <si>
    <t>Bloodbath</t>
  </si>
  <si>
    <t>Insolence</t>
  </si>
  <si>
    <t>Earthshock</t>
  </si>
  <si>
    <t>Banshee Total</t>
  </si>
  <si>
    <t>wail of the banshee</t>
  </si>
  <si>
    <t>Banshee's Scream</t>
  </si>
  <si>
    <t>Jarol's Sorrowful</t>
  </si>
  <si>
    <t>Scream of Death</t>
  </si>
  <si>
    <t>Darksong Blade</t>
  </si>
  <si>
    <t>Luda's Nef Wail</t>
  </si>
  <si>
    <t>Bump+misf</t>
  </si>
  <si>
    <t>Jael's Dreadful Dep</t>
  </si>
  <si>
    <t>Lanet's Excr</t>
  </si>
  <si>
    <t>Misfortune's kiss</t>
  </si>
  <si>
    <t>Thuri's Doleful</t>
  </si>
  <si>
    <t>Chromatic Illusion</t>
  </si>
  <si>
    <t>Brainburst spam</t>
  </si>
  <si>
    <t>Ultraviolet Beam</t>
  </si>
  <si>
    <t>Nightmare spam</t>
  </si>
  <si>
    <t>Paranoia</t>
  </si>
  <si>
    <t>Aneurism</t>
  </si>
  <si>
    <t>Absorb Magic</t>
  </si>
  <si>
    <t>Manatap</t>
  </si>
  <si>
    <t>Enc stun</t>
  </si>
  <si>
    <t>Migraine</t>
  </si>
  <si>
    <t>Brain Clot Shower</t>
  </si>
  <si>
    <t>Brain Clot Ngtmr</t>
  </si>
  <si>
    <t>Brain Clot Storm</t>
  </si>
  <si>
    <t>Name</t>
  </si>
  <si>
    <t>Max hit w/ debuffs</t>
  </si>
  <si>
    <t>Nightmare no term</t>
  </si>
  <si>
    <t>bloodflurry max</t>
  </si>
  <si>
    <t>conceal chain</t>
  </si>
  <si>
    <t>ambush</t>
  </si>
  <si>
    <t>quick strike</t>
  </si>
  <si>
    <t>bloodflurry</t>
  </si>
  <si>
    <t>Bleedout spam</t>
  </si>
  <si>
    <t>masked strike</t>
  </si>
  <si>
    <t>death mark</t>
  </si>
  <si>
    <t>Bleedout Full dur</t>
  </si>
  <si>
    <t>shadowstep</t>
  </si>
  <si>
    <t>stealth assault</t>
  </si>
  <si>
    <t>quick strike dur</t>
  </si>
  <si>
    <t>eviscerate</t>
  </si>
  <si>
    <t>jugular</t>
  </si>
  <si>
    <t>death blow &lt;33%</t>
  </si>
  <si>
    <t>death blow</t>
  </si>
  <si>
    <t>touch nightshade</t>
  </si>
  <si>
    <t>assassinate</t>
  </si>
  <si>
    <t>carnage dot</t>
  </si>
  <si>
    <t>massacre</t>
  </si>
  <si>
    <t>paralyzing strike</t>
  </si>
  <si>
    <t>crippling strike</t>
  </si>
  <si>
    <t>mortal blade</t>
  </si>
  <si>
    <t>deadly shot</t>
  </si>
  <si>
    <t>evasive</t>
  </si>
  <si>
    <t>spine shot</t>
  </si>
  <si>
    <t>head shot</t>
  </si>
  <si>
    <t>execute</t>
  </si>
  <si>
    <t>aery</t>
  </si>
  <si>
    <t>fiery</t>
  </si>
  <si>
    <t>telluric</t>
  </si>
  <si>
    <t>Time</t>
  </si>
  <si>
    <t>Sustained</t>
  </si>
  <si>
    <t>Spam</t>
  </si>
  <si>
    <t>Str/int/wis/agi</t>
  </si>
  <si>
    <t>Potency</t>
  </si>
  <si>
    <t>CB (include base)</t>
  </si>
  <si>
    <t>gg</t>
  </si>
  <si>
    <t>rank</t>
  </si>
  <si>
    <t>Int</t>
  </si>
  <si>
    <t>CB</t>
  </si>
  <si>
    <t>Ability mod</t>
  </si>
  <si>
    <t>relation</t>
  </si>
  <si>
    <t>thunderclap</t>
  </si>
  <si>
    <t>hail storm</t>
  </si>
  <si>
    <t>frozen wrath</t>
  </si>
  <si>
    <t>fusion</t>
  </si>
  <si>
    <t>rays of dis</t>
  </si>
  <si>
    <t>flames of velious</t>
  </si>
  <si>
    <t>ball of fire</t>
  </si>
  <si>
    <t>immolation</t>
  </si>
  <si>
    <t>firestorm</t>
  </si>
  <si>
    <t>glacial wind</t>
  </si>
  <si>
    <t>storm of lightning</t>
  </si>
  <si>
    <t>storming tempest</t>
  </si>
  <si>
    <t>Ice spears</t>
  </si>
  <si>
    <t>discharge</t>
  </si>
  <si>
    <t>blackblue2</t>
  </si>
  <si>
    <t>trakanom</t>
  </si>
  <si>
    <t>trakanoob</t>
  </si>
  <si>
    <t>trakanom2</t>
  </si>
  <si>
    <t>trakanom3</t>
  </si>
  <si>
    <t>sinnzero</t>
  </si>
  <si>
    <t>Hackthis0</t>
  </si>
  <si>
    <t>hackthis0</t>
  </si>
  <si>
    <t>vvvnumber1</t>
  </si>
  <si>
    <t>Trakabot</t>
  </si>
  <si>
    <t>Trakabox</t>
  </si>
  <si>
    <t>Trakaboxt</t>
  </si>
  <si>
    <t>Trakaboxr</t>
  </si>
  <si>
    <t>Trakabotr</t>
  </si>
  <si>
    <t>Trakaboxd</t>
  </si>
  <si>
    <t>Trakanom</t>
  </si>
  <si>
    <t>Trakadumb</t>
  </si>
  <si>
    <t>Neske</t>
  </si>
  <si>
    <t>Trakawatt</t>
  </si>
  <si>
    <t>Trakanoob</t>
  </si>
  <si>
    <t>Bogglesworth</t>
  </si>
  <si>
    <t>Trakamon</t>
  </si>
  <si>
    <t>Trakanoom</t>
  </si>
  <si>
    <t>Trakamoon</t>
  </si>
  <si>
    <t>Trakadead</t>
  </si>
  <si>
    <t>Trakapo</t>
  </si>
  <si>
    <t>Green</t>
  </si>
  <si>
    <t>Red x2</t>
  </si>
  <si>
    <t>Violet</t>
  </si>
  <si>
    <t>Blue</t>
  </si>
  <si>
    <t>conj</t>
  </si>
  <si>
    <t>pally</t>
  </si>
  <si>
    <t>illy</t>
  </si>
  <si>
    <t>wizard</t>
  </si>
  <si>
    <t>fury</t>
  </si>
  <si>
    <t>troub</t>
  </si>
  <si>
    <t>wizard?</t>
  </si>
  <si>
    <t>warlock?</t>
  </si>
  <si>
    <t>REFORGING</t>
  </si>
  <si>
    <t>DPS Mod:</t>
  </si>
  <si>
    <t>Haste:</t>
  </si>
  <si>
    <t>Multi Attack:</t>
  </si>
  <si>
    <t>AOE auto</t>
  </si>
  <si>
    <t>Strikethrough:</t>
  </si>
  <si>
    <t>Accuracy:</t>
  </si>
  <si>
    <t>Flurry:</t>
  </si>
  <si>
    <t>Ability mod:</t>
  </si>
  <si>
    <t>Recovery:</t>
  </si>
  <si>
    <t>level</t>
  </si>
  <si>
    <t>mobs/level</t>
  </si>
  <si>
    <t>weapon skills</t>
  </si>
  <si>
    <t>min</t>
  </si>
  <si>
    <t>max</t>
  </si>
  <si>
    <t>max*%-min*%</t>
  </si>
  <si>
    <t>min(1-%)+max*%</t>
  </si>
  <si>
    <t>newmin</t>
  </si>
  <si>
    <t>min+(max-min)*%</t>
  </si>
  <si>
    <t>(newmin-max*%)/(1-%)</t>
  </si>
  <si>
    <t>%var reduction</t>
  </si>
  <si>
    <t>Disr</t>
  </si>
  <si>
    <t>Avg hit</t>
  </si>
  <si>
    <t>% dps increase</t>
  </si>
  <si>
    <t>CB multi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</si>
</sst>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###############"/>
    <numFmt numFmtId="165" formatCode="0.0%"/>
    <numFmt numFmtId="166" formatCode="#,###.00"/>
  </numFmts>
  <fonts count="16">
    <font>
      <sz val="10.0"/>
      <color rgb="FF000000"/>
      <name val="Arial"/>
    </font>
    <font/>
    <font>
      <strike/>
      <sz val="10.0"/>
    </font>
    <font>
      <i/>
      <strike/>
      <sz val="10.0"/>
    </font>
    <font>
      <sz val="11.0"/>
    </font>
    <font>
      <sz val="11.0"/>
      <color rgb="FF1155CC"/>
    </font>
    <font>
      <color rgb="FFFF0000"/>
    </font>
    <font>
      <b/>
      <sz val="10.0"/>
    </font>
    <font>
      <b/>
    </font>
    <font>
      <i/>
      <sz val="10.0"/>
    </font>
    <font>
      <b/>
      <sz val="9.0"/>
    </font>
    <font>
      <b/>
      <sz val="10.0"/>
      <color rgb="FF0000FF"/>
    </font>
    <font>
      <sz val="10.0"/>
      <color rgb="FFFF0000"/>
    </font>
    <font>
      <i/>
      <sz val="9.0"/>
    </font>
    <font>
      <i/>
      <sz val="10.0"/>
      <color rgb="FFFF0000"/>
    </font>
    <font>
      <b/>
      <sz val="10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0" xfId="0" applyAlignment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1" numFmtId="10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3" xfId="0" applyAlignment="1" applyBorder="1" applyFont="1" applyNumberFormat="1">
      <alignment shrinkToFit="0" wrapText="1"/>
    </xf>
    <xf borderId="1" fillId="0" fontId="1" numFmtId="3" xfId="0" applyAlignment="1" applyBorder="1" applyFont="1" applyNumberFormat="1">
      <alignment shrinkToFit="0" wrapText="1"/>
    </xf>
    <xf borderId="0" fillId="0" fontId="1" numFmtId="3" xfId="0" applyAlignment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0" fontId="1" numFmtId="3" xfId="0" applyAlignment="1" applyBorder="1" applyFont="1" applyNumberFormat="1">
      <alignment readingOrder="0" shrinkToFit="0" wrapText="1"/>
    </xf>
    <xf borderId="1" fillId="0" fontId="1" numFmtId="3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0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shrinkToFit="0" wrapText="1"/>
    </xf>
    <xf borderId="1" fillId="0" fontId="1" numFmtId="165" xfId="0" applyAlignment="1" applyBorder="1" applyFont="1" applyNumberFormat="1">
      <alignment shrinkToFit="0" wrapText="1"/>
    </xf>
    <xf borderId="0" fillId="0" fontId="1" numFmtId="4" xfId="0" applyAlignment="1" applyFont="1" applyNumberFormat="1">
      <alignment readingOrder="0" shrinkToFit="0" wrapText="1"/>
    </xf>
    <xf borderId="1" fillId="0" fontId="1" numFmtId="4" xfId="0" applyAlignment="1" applyBorder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1"/>
    </xf>
    <xf borderId="0" fillId="0" fontId="1" numFmtId="10" xfId="0" applyAlignment="1" applyFont="1" applyNumberForma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0" fillId="0" fontId="1" numFmtId="4" xfId="0" applyAlignment="1" applyFont="1" applyNumberFormat="1">
      <alignment horizontal="right" shrinkToFit="0" vertical="bottom" wrapText="1"/>
    </xf>
    <xf borderId="0" fillId="0" fontId="1" numFmtId="9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3" xfId="0" applyAlignment="1" applyFont="1" applyNumberFormat="1">
      <alignment shrinkToFit="0" wrapText="1"/>
    </xf>
    <xf borderId="0" fillId="0" fontId="4" numFmtId="165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1" numFmtId="4" xfId="0" applyAlignment="1" applyFont="1" applyNumberFormat="1">
      <alignment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10" xfId="0" applyAlignment="1" applyFont="1" applyNumberForma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2" fillId="0" fontId="2" numFmtId="3" xfId="0" applyAlignment="1" applyBorder="1" applyFont="1" applyNumberFormat="1">
      <alignment shrinkToFit="0" wrapText="1"/>
    </xf>
    <xf borderId="1" fillId="0" fontId="2" numFmtId="3" xfId="0" applyAlignment="1" applyBorder="1" applyFont="1" applyNumberFormat="1">
      <alignment shrinkToFit="0" wrapText="1"/>
    </xf>
    <xf borderId="0" fillId="0" fontId="2" numFmtId="3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3" fillId="0" fontId="1" numFmtId="3" xfId="0" applyAlignment="1" applyBorder="1" applyFont="1" applyNumberFormat="1">
      <alignment shrinkToFit="0" wrapText="1"/>
    </xf>
    <xf borderId="3" fillId="0" fontId="1" numFmtId="3" xfId="0" applyAlignment="1" applyBorder="1" applyFont="1" applyNumberFormat="1">
      <alignment readingOrder="0" shrinkToFit="0" wrapText="1"/>
    </xf>
    <xf borderId="3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Chart title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Sheet12!$B$9</c:f>
            </c:strRef>
          </c:tx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Sheet12!$A$10:$A$19</c:f>
            </c:strRef>
          </c:cat>
          <c:val>
            <c:numRef>
              <c:f>Sheet12!$B$10:$B$19</c:f>
              <c:numCache/>
            </c:numRef>
          </c:val>
        </c:ser>
        <c:axId val="180083997"/>
        <c:axId val="825318441"/>
      </c:areaChart>
      <c:catAx>
        <c:axId val="180083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5318441"/>
      </c:catAx>
      <c:valAx>
        <c:axId val="825318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083997"/>
      </c:valAx>
    </c:plotArea>
    <c:legend>
      <c:legendPos val="tr"/>
      <c:overlay val="1"/>
      <c:txPr>
        <a:bodyPr/>
        <a:lstStyle/>
        <a:p>
          <a:pPr lvl="0">
            <a:defRPr b="0" sz="12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Chart title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Sheet12!$B$21</c:f>
            </c:strRef>
          </c:tx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Sheet12!$A$22:$A$27</c:f>
            </c:strRef>
          </c:cat>
          <c:val>
            <c:numRef>
              <c:f>Sheet12!$B$22:$B$27</c:f>
              <c:numCache/>
            </c:numRef>
          </c:val>
        </c:ser>
        <c:axId val="642543971"/>
        <c:axId val="1027609734"/>
      </c:areaChart>
      <c:catAx>
        <c:axId val="642543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Attk Speed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7609734"/>
      </c:catAx>
      <c:valAx>
        <c:axId val="1027609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2543971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Chart title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Sheet12!$B$30</c:f>
            </c:strRef>
          </c:tx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cat>
            <c:strRef>
              <c:f>Sheet12!$A$31:$A$55</c:f>
            </c:strRef>
          </c:cat>
          <c:val>
            <c:numRef>
              <c:f>Sheet12!$B$31:$B$55</c:f>
              <c:numCache/>
            </c:numRef>
          </c:val>
        </c:ser>
        <c:axId val="63510645"/>
        <c:axId val="1418196193"/>
      </c:areaChart>
      <c:catAx>
        <c:axId val="63510645"/>
        <c:scaling>
          <c:orientation val="minMax"/>
          <c:max val="1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8196193"/>
      </c:catAx>
      <c:valAx>
        <c:axId val="1418196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510645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Chart title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'exp table'!$D$20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'exp table'!$A$21:$A$93</c:f>
            </c:strRef>
          </c:cat>
          <c:val>
            <c:numRef>
              <c:f>'exp table'!$D$21:$D$93</c:f>
              <c:numCache/>
            </c:numRef>
          </c:val>
          <c:smooth val="1"/>
        </c:ser>
        <c:axId val="1222231564"/>
        <c:axId val="1843741602"/>
      </c:lineChart>
      <c:catAx>
        <c:axId val="1222231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Horizontal axis 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43741602"/>
      </c:catAx>
      <c:valAx>
        <c:axId val="1843741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Left vertical axis 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2231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790575</xdr:colOff>
      <xdr:row>18</xdr:row>
      <xdr:rowOff>123825</xdr:rowOff>
    </xdr:from>
    <xdr:ext cx="3867150" cy="3028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47625</xdr:colOff>
      <xdr:row>19</xdr:row>
      <xdr:rowOff>161925</xdr:rowOff>
    </xdr:from>
    <xdr:ext cx="3924300" cy="2714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323850</xdr:colOff>
      <xdr:row>45</xdr:row>
      <xdr:rowOff>476250</xdr:rowOff>
    </xdr:from>
    <xdr:ext cx="4400550" cy="29527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361950</xdr:colOff>
      <xdr:row>74</xdr:row>
      <xdr:rowOff>381000</xdr:rowOff>
    </xdr:from>
    <xdr:ext cx="5715000" cy="35337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5" width="15.13"/>
  </cols>
  <sheetData>
    <row r="1">
      <c r="A1" s="1" t="s">
        <v>0</v>
      </c>
      <c r="B1" s="2">
        <f>1.3+4.56</f>
        <v>5.86</v>
      </c>
      <c r="I1" s="2"/>
      <c r="K1" s="3"/>
      <c r="L1" s="4"/>
    </row>
    <row r="2">
      <c r="A2" s="1" t="s">
        <v>1</v>
      </c>
      <c r="B2" s="5">
        <v>0.32</v>
      </c>
      <c r="I2" s="2"/>
      <c r="K2" s="3"/>
      <c r="L2" s="4"/>
    </row>
    <row r="3">
      <c r="A3" s="1" t="s">
        <v>2</v>
      </c>
      <c r="I3" s="2"/>
      <c r="K3" s="3"/>
      <c r="L3" s="4"/>
    </row>
    <row r="4">
      <c r="A4" s="1" t="s">
        <v>3</v>
      </c>
      <c r="B4" s="1">
        <v>4.0</v>
      </c>
      <c r="D4" s="6">
        <f>8.6*1.398</f>
        <v>12.0228</v>
      </c>
      <c r="I4" s="2"/>
      <c r="K4" s="3"/>
      <c r="L4" s="4"/>
    </row>
    <row r="5">
      <c r="A5" s="1" t="s">
        <v>4</v>
      </c>
      <c r="B5" s="5">
        <v>0.458</v>
      </c>
      <c r="I5" s="2"/>
      <c r="K5" s="3"/>
      <c r="L5" s="4"/>
    </row>
    <row r="6">
      <c r="A6" s="1" t="s">
        <v>5</v>
      </c>
      <c r="B6" s="5">
        <v>1.0</v>
      </c>
      <c r="D6" s="6">
        <f>60/E91</f>
        <v>0.0006867817408</v>
      </c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24</v>
      </c>
    </row>
    <row r="8">
      <c r="B8" s="1" t="s">
        <v>25</v>
      </c>
      <c r="C8" s="1">
        <v>1.5</v>
      </c>
      <c r="D8" s="1">
        <v>207.2</v>
      </c>
      <c r="E8" s="6">
        <f>90469+86612</f>
        <v>177081</v>
      </c>
      <c r="F8" s="6">
        <f>137865+134008</f>
        <v>271873</v>
      </c>
      <c r="I8" s="2"/>
      <c r="K8" s="3"/>
      <c r="L8" s="9">
        <f t="shared" ref="L8:L41" si="1">if(E8*($B$1+$I8)&lt;(F8+1),F8+1,E8*($I8+$B$1))</f>
        <v>1037694.66</v>
      </c>
      <c r="M8" s="10">
        <f t="shared" ref="M8:M41" si="2">F8*($B$1+$I8)</f>
        <v>1593175.78</v>
      </c>
      <c r="N8" s="9">
        <f t="shared" ref="N8:N41" si="3">if(if(G8*($B$1+$I8)&lt;(H8+1),H8+1,G8*($I8+$B$1))=1,0,if(G8*($B$1+$I8)&lt;(H8+1),H8+1,G8*($I8+$B$1)))</f>
        <v>0</v>
      </c>
      <c r="O8" s="11">
        <f t="shared" ref="O8:O41" si="4">H8*($B$1+$I8)</f>
        <v>0</v>
      </c>
      <c r="P8" s="11">
        <f t="shared" ref="P8:P41" si="5">M8+O8*K8*J8</f>
        <v>1593175.78</v>
      </c>
      <c r="Q8" s="11">
        <f t="shared" ref="Q8:Q41" si="6">if($A8=1,$B$4,1)*((L8*E8+F8*M8)/(E8+F8)+if(G8&gt;0,(N8*G8+H8*O8)/(G8+H8)*J8*K8,0))</f>
        <v>1374077.271</v>
      </c>
      <c r="R8" s="11">
        <f t="shared" ref="R8:R41" si="7">Q8/(C8+0.5*(1/(1+$B$5)))</f>
        <v>745591.6116</v>
      </c>
      <c r="S8" s="6" t="str">
        <f t="shared" ref="S8:S41" si="8">B8</f>
        <v>sniper shot</v>
      </c>
      <c r="T8" s="11">
        <f t="shared" ref="T8:T9" si="9">$Q8/(($C8+$D8))</f>
        <v>6583.983088</v>
      </c>
    </row>
    <row r="9">
      <c r="B9" s="1" t="s">
        <v>26</v>
      </c>
      <c r="C9" s="1">
        <v>0.25</v>
      </c>
      <c r="D9" s="1">
        <v>8.3</v>
      </c>
      <c r="E9" s="6">
        <f>6461+78130</f>
        <v>84591</v>
      </c>
      <c r="F9" s="6">
        <f>8256+131997</f>
        <v>140253</v>
      </c>
      <c r="I9" s="2"/>
      <c r="L9" s="11">
        <f t="shared" si="1"/>
        <v>495703.26</v>
      </c>
      <c r="M9" s="11">
        <f t="shared" si="2"/>
        <v>821882.58</v>
      </c>
      <c r="N9" s="11">
        <f t="shared" si="3"/>
        <v>0</v>
      </c>
      <c r="O9" s="11">
        <f t="shared" si="4"/>
        <v>0</v>
      </c>
      <c r="P9" s="11">
        <f t="shared" si="5"/>
        <v>821882.58</v>
      </c>
      <c r="Q9" s="11">
        <f t="shared" si="6"/>
        <v>699167.1201</v>
      </c>
      <c r="R9" s="11">
        <f t="shared" si="7"/>
        <v>1179162.13</v>
      </c>
      <c r="S9" s="6" t="str">
        <f t="shared" si="8"/>
        <v>exploit weakness</v>
      </c>
      <c r="T9" s="11">
        <f t="shared" si="9"/>
        <v>81773.93218</v>
      </c>
      <c r="U9" s="2">
        <f t="shared" ref="U9:U39" si="10">T9/(sum(T$9:T$39))</f>
        <v>0.1484583191</v>
      </c>
    </row>
    <row r="10">
      <c r="A10" s="1">
        <v>1.0</v>
      </c>
      <c r="B10" s="1" t="s">
        <v>27</v>
      </c>
      <c r="C10" s="1">
        <v>1.0</v>
      </c>
      <c r="D10" s="1">
        <v>124.3</v>
      </c>
      <c r="E10" s="6">
        <f>13466+10045</f>
        <v>23511</v>
      </c>
      <c r="F10" s="6">
        <f>18557+15068</f>
        <v>33625</v>
      </c>
      <c r="G10" s="1">
        <v>10045.0</v>
      </c>
      <c r="H10" s="1">
        <v>15068.0</v>
      </c>
      <c r="I10" s="2"/>
      <c r="J10" s="1">
        <v>12.0</v>
      </c>
      <c r="K10" s="12">
        <f>1/3</f>
        <v>0.3333333333</v>
      </c>
      <c r="L10" s="9">
        <f t="shared" si="1"/>
        <v>137774.46</v>
      </c>
      <c r="M10" s="10">
        <f t="shared" si="2"/>
        <v>197042.5</v>
      </c>
      <c r="N10" s="9">
        <f t="shared" si="3"/>
        <v>58863.7</v>
      </c>
      <c r="O10" s="11">
        <f t="shared" si="4"/>
        <v>88298.48</v>
      </c>
      <c r="P10" s="11">
        <f t="shared" si="5"/>
        <v>550236.42</v>
      </c>
      <c r="Q10" s="11">
        <f t="shared" si="6"/>
        <v>1915013.57</v>
      </c>
      <c r="R10" s="11">
        <f t="shared" si="7"/>
        <v>1425990.697</v>
      </c>
      <c r="S10" s="6" t="str">
        <f t="shared" si="8"/>
        <v>arrow barrage</v>
      </c>
      <c r="T10" s="11">
        <f t="shared" ref="T10:T14" si="11">$Q10/($C10+$D10)</f>
        <v>15283.42833</v>
      </c>
      <c r="U10" s="2">
        <f t="shared" si="10"/>
        <v>0.02774664272</v>
      </c>
    </row>
    <row r="11">
      <c r="A11" s="1">
        <v>1.0</v>
      </c>
      <c r="B11" s="1" t="s">
        <v>28</v>
      </c>
      <c r="C11" s="1">
        <v>0.75</v>
      </c>
      <c r="D11" s="1">
        <v>62.2</v>
      </c>
      <c r="E11" s="6">
        <f>22363+33461</f>
        <v>55824</v>
      </c>
      <c r="F11" s="6">
        <f>33898+51772</f>
        <v>85670</v>
      </c>
      <c r="L11" s="11">
        <f t="shared" si="1"/>
        <v>327128.64</v>
      </c>
      <c r="M11" s="11">
        <f t="shared" si="2"/>
        <v>502026.2</v>
      </c>
      <c r="N11" s="11">
        <f t="shared" si="3"/>
        <v>0</v>
      </c>
      <c r="O11" s="11">
        <f t="shared" si="4"/>
        <v>0</v>
      </c>
      <c r="P11" s="11">
        <f t="shared" si="5"/>
        <v>502026.2</v>
      </c>
      <c r="Q11" s="11">
        <f t="shared" si="6"/>
        <v>1732093.622</v>
      </c>
      <c r="R11" s="11">
        <f t="shared" si="7"/>
        <v>1584808.598</v>
      </c>
      <c r="S11" s="6" t="str">
        <f t="shared" si="8"/>
        <v>hidden assault</v>
      </c>
      <c r="T11" s="11">
        <f t="shared" si="11"/>
        <v>27515.38717</v>
      </c>
      <c r="U11" s="2">
        <f t="shared" si="10"/>
        <v>0.04995342671</v>
      </c>
    </row>
    <row r="12">
      <c r="A12" s="1">
        <v>1.0</v>
      </c>
      <c r="B12" s="1" t="s">
        <v>29</v>
      </c>
      <c r="C12" s="1">
        <v>0.5</v>
      </c>
      <c r="D12" s="1">
        <v>62.2</v>
      </c>
      <c r="E12" s="6">
        <f>21901+32722</f>
        <v>54623</v>
      </c>
      <c r="F12" s="6">
        <f>33182+50629</f>
        <v>83811</v>
      </c>
      <c r="I12" s="2"/>
      <c r="K12" s="3"/>
      <c r="L12" s="9">
        <f t="shared" si="1"/>
        <v>320090.78</v>
      </c>
      <c r="M12" s="10">
        <f t="shared" si="2"/>
        <v>491132.46</v>
      </c>
      <c r="N12" s="9">
        <f t="shared" si="3"/>
        <v>0</v>
      </c>
      <c r="O12" s="11">
        <f t="shared" si="4"/>
        <v>0</v>
      </c>
      <c r="P12" s="11">
        <f t="shared" si="5"/>
        <v>491132.46</v>
      </c>
      <c r="Q12" s="11">
        <f t="shared" si="6"/>
        <v>1694572.758</v>
      </c>
      <c r="R12" s="11">
        <f t="shared" si="7"/>
        <v>2010323.092</v>
      </c>
      <c r="S12" s="6" t="str">
        <f t="shared" si="8"/>
        <v>storm (salvo)</v>
      </c>
      <c r="T12" s="11">
        <f t="shared" si="11"/>
        <v>27026.67875</v>
      </c>
      <c r="U12" s="2">
        <f t="shared" si="10"/>
        <v>0.04906619005</v>
      </c>
    </row>
    <row r="13">
      <c r="A13" s="1">
        <v>1.0</v>
      </c>
      <c r="B13" s="1" t="s">
        <v>30</v>
      </c>
      <c r="C13" s="1">
        <v>0.5</v>
      </c>
      <c r="D13" s="1">
        <v>13.8</v>
      </c>
      <c r="E13" s="6">
        <f>28135+4167*4</f>
        <v>44803</v>
      </c>
      <c r="F13" s="6">
        <f>47754+8011*4</f>
        <v>79798</v>
      </c>
      <c r="K13" s="3"/>
      <c r="L13" s="9">
        <f t="shared" si="1"/>
        <v>262545.58</v>
      </c>
      <c r="M13" s="10">
        <f t="shared" si="2"/>
        <v>467616.28</v>
      </c>
      <c r="N13" s="9">
        <f t="shared" si="3"/>
        <v>0</v>
      </c>
      <c r="O13" s="11">
        <f t="shared" si="4"/>
        <v>0</v>
      </c>
      <c r="P13" s="11">
        <f t="shared" si="5"/>
        <v>467616.28</v>
      </c>
      <c r="Q13" s="11">
        <f t="shared" si="6"/>
        <v>1575514.596</v>
      </c>
      <c r="R13" s="11">
        <f t="shared" si="7"/>
        <v>1869080.781</v>
      </c>
      <c r="S13" s="6" t="str">
        <f t="shared" si="8"/>
        <v>rapid salvo</v>
      </c>
      <c r="T13" s="11">
        <f t="shared" si="11"/>
        <v>110175.8458</v>
      </c>
      <c r="U13" s="2">
        <f t="shared" si="10"/>
        <v>0.2000212102</v>
      </c>
    </row>
    <row r="14">
      <c r="A14" s="1">
        <v>1.0</v>
      </c>
      <c r="B14" s="1" t="s">
        <v>31</v>
      </c>
      <c r="C14" s="1">
        <v>0.5</v>
      </c>
      <c r="D14" s="1">
        <v>30.0</v>
      </c>
      <c r="E14" s="6">
        <f>25636+38651</f>
        <v>64287</v>
      </c>
      <c r="F14" s="6">
        <f>30300+46055</f>
        <v>76355</v>
      </c>
      <c r="I14" s="2"/>
      <c r="K14" s="3"/>
      <c r="L14" s="9">
        <f t="shared" si="1"/>
        <v>376721.82</v>
      </c>
      <c r="M14" s="10">
        <f t="shared" si="2"/>
        <v>447440.3</v>
      </c>
      <c r="N14" s="9">
        <f t="shared" si="3"/>
        <v>0</v>
      </c>
      <c r="O14" s="11">
        <f t="shared" si="4"/>
        <v>0</v>
      </c>
      <c r="P14" s="11">
        <f t="shared" si="5"/>
        <v>447440.3</v>
      </c>
      <c r="Q14" s="11">
        <f t="shared" si="6"/>
        <v>1660460.453</v>
      </c>
      <c r="R14" s="11">
        <f t="shared" si="7"/>
        <v>1969854.63</v>
      </c>
      <c r="S14" s="6" t="str">
        <f t="shared" si="8"/>
        <v>stream (salvo)</v>
      </c>
      <c r="T14" s="11">
        <f t="shared" si="11"/>
        <v>54441.32632</v>
      </c>
      <c r="U14" s="2">
        <f t="shared" si="10"/>
        <v>0.09883672679</v>
      </c>
    </row>
    <row r="15">
      <c r="B15" s="1" t="s">
        <v>32</v>
      </c>
      <c r="C15" s="1">
        <v>0.25</v>
      </c>
      <c r="D15" s="1">
        <v>41.4</v>
      </c>
      <c r="E15" s="6">
        <f>24575+20718</f>
        <v>45293</v>
      </c>
      <c r="F15" s="6">
        <f>35913+32056</f>
        <v>67969</v>
      </c>
      <c r="I15" s="5">
        <v>0.125</v>
      </c>
      <c r="K15" s="3"/>
      <c r="L15" s="9">
        <f t="shared" si="1"/>
        <v>271078.605</v>
      </c>
      <c r="M15" s="10">
        <f t="shared" si="2"/>
        <v>406794.465</v>
      </c>
      <c r="N15" s="9">
        <f t="shared" si="3"/>
        <v>0</v>
      </c>
      <c r="O15" s="11">
        <f t="shared" si="4"/>
        <v>0</v>
      </c>
      <c r="P15" s="11">
        <f t="shared" si="5"/>
        <v>406794.465</v>
      </c>
      <c r="Q15" s="11">
        <f t="shared" si="6"/>
        <v>352522.2603</v>
      </c>
      <c r="R15" s="11">
        <f t="shared" si="7"/>
        <v>594537.2534</v>
      </c>
      <c r="S15" s="6" t="str">
        <f t="shared" si="8"/>
        <v>ranger's blade</v>
      </c>
      <c r="T15" s="11">
        <f t="shared" ref="T15:T16" si="12">$Q15/(($C15+$D15))</f>
        <v>8463.919815</v>
      </c>
      <c r="U15" s="2">
        <f t="shared" si="10"/>
        <v>0.01536601304</v>
      </c>
    </row>
    <row r="16">
      <c r="B16" s="1" t="s">
        <v>33</v>
      </c>
      <c r="C16" s="1">
        <v>0.75</v>
      </c>
      <c r="D16" s="1">
        <v>41.4</v>
      </c>
      <c r="E16" s="6">
        <f>20163+16306</f>
        <v>36469</v>
      </c>
      <c r="F16" s="6">
        <f>29086+25229</f>
        <v>54315</v>
      </c>
      <c r="K16" s="3"/>
      <c r="L16" s="9">
        <f t="shared" si="1"/>
        <v>213708.34</v>
      </c>
      <c r="M16" s="10">
        <f t="shared" si="2"/>
        <v>318285.9</v>
      </c>
      <c r="N16" s="9">
        <f t="shared" si="3"/>
        <v>0</v>
      </c>
      <c r="O16" s="11">
        <f t="shared" si="4"/>
        <v>0</v>
      </c>
      <c r="P16" s="11">
        <f t="shared" si="5"/>
        <v>318285.9</v>
      </c>
      <c r="Q16" s="11">
        <f t="shared" si="6"/>
        <v>276275.8648</v>
      </c>
      <c r="R16" s="11">
        <f t="shared" si="7"/>
        <v>252783.314</v>
      </c>
      <c r="S16" s="6" t="str">
        <f t="shared" si="8"/>
        <v>rear shot</v>
      </c>
      <c r="T16" s="11">
        <f t="shared" si="12"/>
        <v>6554.58754</v>
      </c>
      <c r="U16" s="2">
        <f t="shared" si="10"/>
        <v>0.01189967294</v>
      </c>
    </row>
    <row r="17">
      <c r="A17" s="1">
        <v>1.0</v>
      </c>
      <c r="B17" s="1" t="s">
        <v>34</v>
      </c>
      <c r="C17" s="1">
        <v>0.25</v>
      </c>
      <c r="D17" s="1">
        <v>125.0</v>
      </c>
      <c r="E17" s="1">
        <v>25823.0</v>
      </c>
      <c r="F17" s="1">
        <v>46863.0</v>
      </c>
      <c r="K17" s="3"/>
      <c r="L17" s="9">
        <f t="shared" si="1"/>
        <v>151322.78</v>
      </c>
      <c r="M17" s="10">
        <f t="shared" si="2"/>
        <v>274617.18</v>
      </c>
      <c r="N17" s="9">
        <f t="shared" si="3"/>
        <v>0</v>
      </c>
      <c r="O17" s="11">
        <f t="shared" si="4"/>
        <v>0</v>
      </c>
      <c r="P17" s="11">
        <f t="shared" si="5"/>
        <v>274617.18</v>
      </c>
      <c r="Q17" s="11">
        <f t="shared" si="6"/>
        <v>923258.5672</v>
      </c>
      <c r="R17" s="11">
        <f t="shared" si="7"/>
        <v>1557097.734</v>
      </c>
      <c r="S17" s="6" t="str">
        <f t="shared" si="8"/>
        <v>smoke bomb</v>
      </c>
      <c r="T17" s="11">
        <f>$Q17/($C17+$D17)</f>
        <v>7371.325886</v>
      </c>
      <c r="U17" s="2">
        <f t="shared" si="10"/>
        <v>0.01338243889</v>
      </c>
    </row>
    <row r="18">
      <c r="A18" s="1">
        <v>1.0</v>
      </c>
      <c r="B18" s="1" t="s">
        <v>35</v>
      </c>
      <c r="C18" s="1">
        <v>1.5</v>
      </c>
      <c r="D18" s="1">
        <v>41.4</v>
      </c>
      <c r="E18" s="6">
        <f>12284+17459</f>
        <v>29743</v>
      </c>
      <c r="F18" s="6">
        <f>18303+27012</f>
        <v>45315</v>
      </c>
      <c r="K18" s="3"/>
      <c r="L18" s="9">
        <f t="shared" si="1"/>
        <v>174293.98</v>
      </c>
      <c r="M18" s="10">
        <f t="shared" si="2"/>
        <v>265545.9</v>
      </c>
      <c r="N18" s="9">
        <f t="shared" si="3"/>
        <v>0</v>
      </c>
      <c r="O18" s="11">
        <f t="shared" si="4"/>
        <v>0</v>
      </c>
      <c r="P18" s="11">
        <f t="shared" si="5"/>
        <v>265545.9</v>
      </c>
      <c r="Q18" s="11">
        <f t="shared" si="6"/>
        <v>917543.1429</v>
      </c>
      <c r="R18" s="11">
        <f t="shared" si="7"/>
        <v>497870.4512</v>
      </c>
      <c r="S18" s="6" t="str">
        <f t="shared" si="8"/>
        <v>natural selection</v>
      </c>
      <c r="T18" s="11">
        <f t="shared" ref="T18:T22" si="13">$Q18/(($C18+$D18))</f>
        <v>21387.95205</v>
      </c>
      <c r="U18" s="2">
        <f t="shared" si="10"/>
        <v>0.0388292372</v>
      </c>
    </row>
    <row r="19">
      <c r="B19" s="1" t="s">
        <v>36</v>
      </c>
      <c r="C19" s="1">
        <v>0.75</v>
      </c>
      <c r="D19" s="1">
        <v>62.2</v>
      </c>
      <c r="E19" s="1">
        <v>25578.0</v>
      </c>
      <c r="F19" s="1">
        <v>38260.0</v>
      </c>
      <c r="K19" s="3"/>
      <c r="L19" s="9">
        <f t="shared" si="1"/>
        <v>149887.08</v>
      </c>
      <c r="M19" s="10">
        <f t="shared" si="2"/>
        <v>224203.6</v>
      </c>
      <c r="N19" s="9">
        <f t="shared" si="3"/>
        <v>0</v>
      </c>
      <c r="O19" s="11">
        <f t="shared" si="4"/>
        <v>0</v>
      </c>
      <c r="P19" s="11">
        <f t="shared" si="5"/>
        <v>224203.6</v>
      </c>
      <c r="Q19" s="11">
        <f t="shared" si="6"/>
        <v>194427.1667</v>
      </c>
      <c r="R19" s="11">
        <f t="shared" si="7"/>
        <v>177894.4519</v>
      </c>
      <c r="S19" s="6" t="str">
        <f t="shared" si="8"/>
        <v>hidden shot</v>
      </c>
      <c r="T19" s="11">
        <f t="shared" si="13"/>
        <v>3088.596771</v>
      </c>
      <c r="U19" s="2">
        <f t="shared" si="10"/>
        <v>0.005607262273</v>
      </c>
    </row>
    <row r="20">
      <c r="B20" s="1" t="s">
        <v>37</v>
      </c>
      <c r="C20" s="1">
        <v>0.25</v>
      </c>
      <c r="D20" s="1">
        <v>6.9</v>
      </c>
      <c r="E20" s="6">
        <f>14622+10765</f>
        <v>25387</v>
      </c>
      <c r="F20" s="6">
        <f>20513+16656</f>
        <v>37169</v>
      </c>
      <c r="I20" s="5">
        <v>0.125</v>
      </c>
      <c r="K20" s="3"/>
      <c r="L20" s="9">
        <f t="shared" si="1"/>
        <v>151941.195</v>
      </c>
      <c r="M20" s="10">
        <f t="shared" si="2"/>
        <v>222456.465</v>
      </c>
      <c r="N20" s="9">
        <f t="shared" si="3"/>
        <v>0</v>
      </c>
      <c r="O20" s="11">
        <f t="shared" si="4"/>
        <v>0</v>
      </c>
      <c r="P20" s="11">
        <f t="shared" si="5"/>
        <v>222456.465</v>
      </c>
      <c r="Q20" s="11">
        <f t="shared" si="6"/>
        <v>193839.3674</v>
      </c>
      <c r="R20" s="11">
        <f t="shared" si="7"/>
        <v>326914.7457</v>
      </c>
      <c r="S20" s="6" t="str">
        <f t="shared" si="8"/>
        <v>emberstrike</v>
      </c>
      <c r="T20" s="11">
        <f t="shared" si="13"/>
        <v>27110.40103</v>
      </c>
      <c r="U20" s="2">
        <f t="shared" si="10"/>
        <v>0.04921818554</v>
      </c>
    </row>
    <row r="21">
      <c r="B21" s="1" t="s">
        <v>38</v>
      </c>
      <c r="C21" s="1">
        <v>0.5</v>
      </c>
      <c r="D21" s="1">
        <v>31.1</v>
      </c>
      <c r="E21" s="6">
        <f>23672+5449</f>
        <v>29121</v>
      </c>
      <c r="F21" s="6">
        <f>27468+7727</f>
        <v>35195</v>
      </c>
      <c r="I21" s="2"/>
      <c r="K21" s="3"/>
      <c r="L21" s="9">
        <f t="shared" si="1"/>
        <v>170649.06</v>
      </c>
      <c r="M21" s="10">
        <f t="shared" si="2"/>
        <v>206242.7</v>
      </c>
      <c r="N21" s="9">
        <f t="shared" si="3"/>
        <v>0</v>
      </c>
      <c r="O21" s="11">
        <f t="shared" si="4"/>
        <v>0</v>
      </c>
      <c r="P21" s="11">
        <f t="shared" si="5"/>
        <v>206242.7</v>
      </c>
      <c r="Q21" s="11">
        <f t="shared" si="6"/>
        <v>190126.6108</v>
      </c>
      <c r="R21" s="11">
        <f t="shared" si="7"/>
        <v>225552.9688</v>
      </c>
      <c r="S21" s="6" t="str">
        <f t="shared" si="8"/>
        <v>explosive</v>
      </c>
      <c r="T21" s="11">
        <f t="shared" si="13"/>
        <v>6016.6649</v>
      </c>
      <c r="U21" s="2">
        <f t="shared" si="10"/>
        <v>0.01092308922</v>
      </c>
    </row>
    <row r="22">
      <c r="B22" s="1" t="s">
        <v>39</v>
      </c>
      <c r="C22" s="1">
        <v>0.25</v>
      </c>
      <c r="D22" s="1">
        <v>20.7</v>
      </c>
      <c r="E22" s="1">
        <v>5087.0</v>
      </c>
      <c r="F22" s="1">
        <v>5760.0</v>
      </c>
      <c r="G22" s="1">
        <v>2976.0</v>
      </c>
      <c r="H22" s="1">
        <v>2976.0</v>
      </c>
      <c r="J22" s="1">
        <v>24.0</v>
      </c>
      <c r="K22" s="12">
        <f>1/2.6</f>
        <v>0.3846153846</v>
      </c>
      <c r="L22" s="9">
        <f t="shared" si="1"/>
        <v>29809.82</v>
      </c>
      <c r="M22" s="10">
        <f t="shared" si="2"/>
        <v>33753.6</v>
      </c>
      <c r="N22" s="9">
        <f t="shared" si="3"/>
        <v>17439.36</v>
      </c>
      <c r="O22" s="11">
        <f t="shared" si="4"/>
        <v>17439.36</v>
      </c>
      <c r="P22" s="11">
        <f t="shared" si="5"/>
        <v>194732.3077</v>
      </c>
      <c r="Q22" s="11">
        <f t="shared" si="6"/>
        <v>192882.7632</v>
      </c>
      <c r="R22" s="11">
        <f t="shared" si="7"/>
        <v>325301.4098</v>
      </c>
      <c r="S22" s="6" t="str">
        <f t="shared" si="8"/>
        <v>bloody reminder</v>
      </c>
      <c r="T22" s="11">
        <f t="shared" si="13"/>
        <v>9206.814474</v>
      </c>
      <c r="U22" s="2">
        <f t="shared" si="10"/>
        <v>0.01671471781</v>
      </c>
    </row>
    <row r="23">
      <c r="B23" s="1" t="s">
        <v>40</v>
      </c>
      <c r="C23" s="1">
        <v>0.25</v>
      </c>
      <c r="D23" s="1">
        <v>83.0</v>
      </c>
      <c r="E23" s="1">
        <v>21357.0</v>
      </c>
      <c r="F23" s="1">
        <v>30933.0</v>
      </c>
      <c r="I23" s="2"/>
      <c r="K23" s="3"/>
      <c r="L23" s="9">
        <f t="shared" si="1"/>
        <v>125152.02</v>
      </c>
      <c r="M23" s="10">
        <f t="shared" si="2"/>
        <v>181267.38</v>
      </c>
      <c r="N23" s="9">
        <f t="shared" si="3"/>
        <v>0</v>
      </c>
      <c r="O23" s="11">
        <f t="shared" si="4"/>
        <v>0</v>
      </c>
      <c r="P23" s="11">
        <f t="shared" si="5"/>
        <v>181267.38</v>
      </c>
      <c r="Q23" s="11">
        <f t="shared" si="6"/>
        <v>158347.9739</v>
      </c>
      <c r="R23" s="11">
        <f t="shared" si="7"/>
        <v>267057.6587</v>
      </c>
      <c r="S23" s="6" t="str">
        <f t="shared" si="8"/>
        <v>master strike</v>
      </c>
      <c r="T23" s="11">
        <f>$Q23/($C23+$D23)</f>
        <v>1902.077765</v>
      </c>
      <c r="U23" s="2">
        <f t="shared" si="10"/>
        <v>0.003453169735</v>
      </c>
    </row>
    <row r="24">
      <c r="B24" s="1" t="s">
        <v>41</v>
      </c>
      <c r="C24" s="1">
        <v>0.75</v>
      </c>
      <c r="D24" s="1">
        <v>41.4</v>
      </c>
      <c r="E24" s="6">
        <f>6666+5618+8427</f>
        <v>20711</v>
      </c>
      <c r="F24" s="6">
        <f>8203+8693+13039</f>
        <v>29935</v>
      </c>
      <c r="I24" s="2"/>
      <c r="K24" s="3"/>
      <c r="L24" s="9">
        <f t="shared" si="1"/>
        <v>121366.46</v>
      </c>
      <c r="M24" s="10">
        <f t="shared" si="2"/>
        <v>175419.1</v>
      </c>
      <c r="N24" s="9">
        <f t="shared" si="3"/>
        <v>0</v>
      </c>
      <c r="O24" s="11">
        <f t="shared" si="4"/>
        <v>0</v>
      </c>
      <c r="P24" s="11">
        <f t="shared" si="5"/>
        <v>175419.1</v>
      </c>
      <c r="Q24" s="11">
        <f t="shared" si="6"/>
        <v>153315.0004</v>
      </c>
      <c r="R24" s="11">
        <f t="shared" si="7"/>
        <v>140278.1742</v>
      </c>
      <c r="S24" s="6" t="str">
        <f t="shared" si="8"/>
        <v>triple shot</v>
      </c>
      <c r="T24" s="11">
        <f t="shared" ref="T24:T25" si="14">$Q24/(($C24+$D24))</f>
        <v>3637.366558</v>
      </c>
      <c r="U24" s="2">
        <f t="shared" si="10"/>
        <v>0.006603538691</v>
      </c>
    </row>
    <row r="25">
      <c r="B25" s="1" t="s">
        <v>42</v>
      </c>
      <c r="C25" s="1">
        <v>0.25</v>
      </c>
      <c r="D25" s="1">
        <v>6.9</v>
      </c>
      <c r="E25" s="6">
        <f>11685+7828</f>
        <v>19513</v>
      </c>
      <c r="F25" s="6">
        <f>15969+12112</f>
        <v>28081</v>
      </c>
      <c r="I25" s="5">
        <v>0.1</v>
      </c>
      <c r="K25" s="3"/>
      <c r="L25" s="9">
        <f t="shared" si="1"/>
        <v>116297.48</v>
      </c>
      <c r="M25" s="10">
        <f t="shared" si="2"/>
        <v>167362.76</v>
      </c>
      <c r="N25" s="9">
        <f t="shared" si="3"/>
        <v>0</v>
      </c>
      <c r="O25" s="11">
        <f t="shared" si="4"/>
        <v>0</v>
      </c>
      <c r="P25" s="11">
        <f t="shared" si="5"/>
        <v>167362.76</v>
      </c>
      <c r="Q25" s="11">
        <f t="shared" si="6"/>
        <v>146426.5746</v>
      </c>
      <c r="R25" s="11">
        <f t="shared" si="7"/>
        <v>246951.9326</v>
      </c>
      <c r="S25" s="6" t="str">
        <f t="shared" si="8"/>
        <v>sneak attack</v>
      </c>
      <c r="T25" s="11">
        <f t="shared" si="14"/>
        <v>20479.2412</v>
      </c>
      <c r="U25" s="2">
        <f t="shared" si="10"/>
        <v>0.03717949771</v>
      </c>
    </row>
    <row r="26">
      <c r="B26" s="1" t="s">
        <v>43</v>
      </c>
      <c r="C26" s="1">
        <v>0.75</v>
      </c>
      <c r="D26" s="1">
        <v>41.4</v>
      </c>
      <c r="E26" s="1">
        <v>16678.0</v>
      </c>
      <c r="F26" s="1">
        <v>23695.0</v>
      </c>
      <c r="I26" s="5">
        <v>0.125</v>
      </c>
      <c r="K26" s="3"/>
      <c r="L26" s="9">
        <f t="shared" si="1"/>
        <v>99817.83</v>
      </c>
      <c r="M26" s="10">
        <f t="shared" si="2"/>
        <v>141814.575</v>
      </c>
      <c r="N26" s="9">
        <f t="shared" si="3"/>
        <v>0</v>
      </c>
      <c r="O26" s="11">
        <f t="shared" si="4"/>
        <v>0</v>
      </c>
      <c r="P26" s="11">
        <f t="shared" si="5"/>
        <v>141814.575</v>
      </c>
      <c r="Q26" s="11">
        <f t="shared" si="6"/>
        <v>124465.8094</v>
      </c>
      <c r="R26" s="11">
        <f t="shared" si="7"/>
        <v>113882.1149</v>
      </c>
      <c r="S26" s="6" t="str">
        <f t="shared" si="8"/>
        <v>miracle shot</v>
      </c>
      <c r="T26" s="11">
        <f>$Q26/($C26+$D26)</f>
        <v>2952.92549</v>
      </c>
      <c r="U26" s="2">
        <f t="shared" si="10"/>
        <v>0.005360954805</v>
      </c>
    </row>
    <row r="27">
      <c r="B27" s="1" t="s">
        <v>44</v>
      </c>
      <c r="C27" s="1">
        <v>0.75</v>
      </c>
      <c r="D27" s="1">
        <v>41.4</v>
      </c>
      <c r="E27" s="1">
        <v>16791.0</v>
      </c>
      <c r="F27" s="1">
        <v>23870.0</v>
      </c>
      <c r="I27" s="2"/>
      <c r="K27" s="3"/>
      <c r="L27" s="9">
        <f t="shared" si="1"/>
        <v>98395.26</v>
      </c>
      <c r="M27" s="10">
        <f t="shared" si="2"/>
        <v>139878.2</v>
      </c>
      <c r="N27" s="9">
        <f t="shared" si="3"/>
        <v>0</v>
      </c>
      <c r="O27" s="11">
        <f t="shared" si="4"/>
        <v>0</v>
      </c>
      <c r="P27" s="11">
        <f t="shared" si="5"/>
        <v>139878.2</v>
      </c>
      <c r="Q27" s="11">
        <f t="shared" si="6"/>
        <v>122747.7791</v>
      </c>
      <c r="R27" s="11">
        <f t="shared" si="7"/>
        <v>112310.1738</v>
      </c>
      <c r="S27" s="6" t="str">
        <f t="shared" si="8"/>
        <v>crippling arrow</v>
      </c>
      <c r="T27" s="11">
        <f t="shared" ref="T27:T34" si="15">$Q27/(($C27+$D27))</f>
        <v>2912.165577</v>
      </c>
      <c r="U27" s="2">
        <f t="shared" si="10"/>
        <v>0.005286956306</v>
      </c>
    </row>
    <row r="28">
      <c r="B28" s="1" t="s">
        <v>45</v>
      </c>
      <c r="C28" s="1">
        <v>0.25</v>
      </c>
      <c r="D28" s="1">
        <v>41.4</v>
      </c>
      <c r="E28" s="1">
        <v>14741.0</v>
      </c>
      <c r="F28" s="1">
        <v>19290.0</v>
      </c>
      <c r="I28" s="2"/>
      <c r="K28" s="3"/>
      <c r="L28" s="9">
        <f t="shared" si="1"/>
        <v>86382.26</v>
      </c>
      <c r="M28" s="10">
        <f t="shared" si="2"/>
        <v>113039.4</v>
      </c>
      <c r="N28" s="9">
        <f t="shared" si="3"/>
        <v>0</v>
      </c>
      <c r="O28" s="11">
        <f t="shared" si="4"/>
        <v>0</v>
      </c>
      <c r="P28" s="11">
        <f t="shared" si="5"/>
        <v>113039.4</v>
      </c>
      <c r="Q28" s="11">
        <f t="shared" si="6"/>
        <v>101492.4898</v>
      </c>
      <c r="R28" s="11">
        <f t="shared" si="7"/>
        <v>171169.5201</v>
      </c>
      <c r="S28" s="6" t="str">
        <f t="shared" si="8"/>
        <v>evasive manuevers</v>
      </c>
      <c r="T28" s="11">
        <f t="shared" si="15"/>
        <v>2436.794473</v>
      </c>
      <c r="U28" s="2">
        <f t="shared" si="10"/>
        <v>0.004423933175</v>
      </c>
    </row>
    <row r="29">
      <c r="B29" s="1" t="s">
        <v>46</v>
      </c>
      <c r="C29" s="1">
        <v>0.25</v>
      </c>
      <c r="D29" s="1">
        <v>20.7</v>
      </c>
      <c r="E29" s="1">
        <v>13417.0</v>
      </c>
      <c r="F29" s="1">
        <v>18648.0</v>
      </c>
      <c r="I29" s="2"/>
      <c r="K29" s="3"/>
      <c r="L29" s="9">
        <f t="shared" si="1"/>
        <v>78623.62</v>
      </c>
      <c r="M29" s="10">
        <f t="shared" si="2"/>
        <v>109277.28</v>
      </c>
      <c r="N29" s="9">
        <f t="shared" si="3"/>
        <v>0</v>
      </c>
      <c r="O29" s="11">
        <f t="shared" si="4"/>
        <v>0</v>
      </c>
      <c r="P29" s="11">
        <f t="shared" si="5"/>
        <v>109277.28</v>
      </c>
      <c r="Q29" s="11">
        <f t="shared" si="6"/>
        <v>96450.82885</v>
      </c>
      <c r="R29" s="11">
        <f t="shared" si="7"/>
        <v>162666.6379</v>
      </c>
      <c r="S29" s="6" t="str">
        <f t="shared" si="8"/>
        <v>trick</v>
      </c>
      <c r="T29" s="11">
        <f t="shared" si="15"/>
        <v>4603.858179</v>
      </c>
      <c r="U29" s="2">
        <f t="shared" si="10"/>
        <v>0.008358177579</v>
      </c>
    </row>
    <row r="30">
      <c r="B30" s="1" t="s">
        <v>47</v>
      </c>
      <c r="C30" s="1">
        <v>0.25</v>
      </c>
      <c r="D30" s="1">
        <v>13.8</v>
      </c>
      <c r="E30" s="6">
        <f>8551+4694</f>
        <v>13245</v>
      </c>
      <c r="F30" s="6">
        <f>11120+7263</f>
        <v>18383</v>
      </c>
      <c r="I30" s="2"/>
      <c r="K30" s="3"/>
      <c r="L30" s="9">
        <f t="shared" si="1"/>
        <v>77615.7</v>
      </c>
      <c r="M30" s="10">
        <f t="shared" si="2"/>
        <v>107724.38</v>
      </c>
      <c r="N30" s="9">
        <f t="shared" si="3"/>
        <v>0</v>
      </c>
      <c r="O30" s="11">
        <f t="shared" si="4"/>
        <v>0</v>
      </c>
      <c r="P30" s="11">
        <f t="shared" si="5"/>
        <v>107724.38</v>
      </c>
      <c r="Q30" s="11">
        <f t="shared" si="6"/>
        <v>95115.63248</v>
      </c>
      <c r="R30" s="11">
        <f t="shared" si="7"/>
        <v>160414.7972</v>
      </c>
      <c r="S30" s="6" t="str">
        <f t="shared" si="8"/>
        <v>searing</v>
      </c>
      <c r="T30" s="11">
        <f t="shared" si="15"/>
        <v>6769.795906</v>
      </c>
      <c r="U30" s="2">
        <f t="shared" si="10"/>
        <v>0.0122903778</v>
      </c>
    </row>
    <row r="31">
      <c r="B31" s="1" t="s">
        <v>48</v>
      </c>
      <c r="C31" s="1">
        <v>0.25</v>
      </c>
      <c r="D31" s="1">
        <v>13.8</v>
      </c>
      <c r="E31" s="1">
        <v>11591.0</v>
      </c>
      <c r="F31" s="1">
        <v>15823.0</v>
      </c>
      <c r="I31" s="2"/>
      <c r="K31" s="3"/>
      <c r="L31" s="9">
        <f t="shared" si="1"/>
        <v>67923.26</v>
      </c>
      <c r="M31" s="10">
        <f t="shared" si="2"/>
        <v>92722.78</v>
      </c>
      <c r="N31" s="9">
        <f t="shared" si="3"/>
        <v>0</v>
      </c>
      <c r="O31" s="11">
        <f t="shared" si="4"/>
        <v>0</v>
      </c>
      <c r="P31" s="11">
        <f t="shared" si="5"/>
        <v>92722.78</v>
      </c>
      <c r="Q31" s="11">
        <f t="shared" si="6"/>
        <v>82237.21655</v>
      </c>
      <c r="R31" s="11">
        <f t="shared" si="7"/>
        <v>138695.0396</v>
      </c>
      <c r="S31" s="6" t="str">
        <f t="shared" si="8"/>
        <v>rip</v>
      </c>
      <c r="T31" s="11">
        <f t="shared" si="15"/>
        <v>5853.182673</v>
      </c>
      <c r="U31" s="2">
        <f t="shared" si="10"/>
        <v>0.01062629175</v>
      </c>
    </row>
    <row r="32">
      <c r="B32" s="1" t="s">
        <v>49</v>
      </c>
      <c r="C32" s="1">
        <v>0.25</v>
      </c>
      <c r="D32" s="1">
        <v>10.0</v>
      </c>
      <c r="E32" s="1">
        <v>9749.0</v>
      </c>
      <c r="F32" s="1">
        <v>14062.0</v>
      </c>
      <c r="I32" s="2"/>
      <c r="K32" s="3"/>
      <c r="L32" s="9">
        <f t="shared" si="1"/>
        <v>57129.14</v>
      </c>
      <c r="M32" s="10">
        <f t="shared" si="2"/>
        <v>82403.32</v>
      </c>
      <c r="N32" s="9">
        <f t="shared" si="3"/>
        <v>0</v>
      </c>
      <c r="O32" s="11">
        <f t="shared" si="4"/>
        <v>0</v>
      </c>
      <c r="P32" s="11">
        <f t="shared" si="5"/>
        <v>82403.32</v>
      </c>
      <c r="Q32" s="11">
        <f t="shared" si="6"/>
        <v>72055.24639</v>
      </c>
      <c r="R32" s="11">
        <f t="shared" si="7"/>
        <v>121522.9025</v>
      </c>
      <c r="S32" s="6" t="str">
        <f t="shared" si="8"/>
        <v>Lunge</v>
      </c>
      <c r="T32" s="11">
        <f t="shared" si="15"/>
        <v>7029.780135</v>
      </c>
      <c r="U32" s="2">
        <f t="shared" si="10"/>
        <v>0.012762372</v>
      </c>
    </row>
    <row r="33">
      <c r="B33" s="1" t="s">
        <v>50</v>
      </c>
      <c r="C33" s="1">
        <v>0.25</v>
      </c>
      <c r="D33" s="1">
        <v>6.9</v>
      </c>
      <c r="E33" s="1">
        <v>8533.0</v>
      </c>
      <c r="F33" s="1">
        <v>12727.0</v>
      </c>
      <c r="I33" s="5">
        <v>0.075</v>
      </c>
      <c r="K33" s="3"/>
      <c r="L33" s="9">
        <f t="shared" si="1"/>
        <v>50643.355</v>
      </c>
      <c r="M33" s="10">
        <f t="shared" si="2"/>
        <v>75534.745</v>
      </c>
      <c r="N33" s="9">
        <f t="shared" si="3"/>
        <v>0</v>
      </c>
      <c r="O33" s="11">
        <f t="shared" si="4"/>
        <v>0</v>
      </c>
      <c r="P33" s="11">
        <f t="shared" si="5"/>
        <v>75534.745</v>
      </c>
      <c r="Q33" s="11">
        <f t="shared" si="6"/>
        <v>65544.23555</v>
      </c>
      <c r="R33" s="11">
        <f t="shared" si="7"/>
        <v>110541.9265</v>
      </c>
      <c r="S33" s="6" t="str">
        <f t="shared" si="8"/>
        <v>Lighning strike</v>
      </c>
      <c r="T33" s="11">
        <f t="shared" si="15"/>
        <v>9167.025951</v>
      </c>
      <c r="U33" s="2">
        <f t="shared" si="10"/>
        <v>0.01664248285</v>
      </c>
    </row>
    <row r="34">
      <c r="B34" s="1" t="s">
        <v>51</v>
      </c>
      <c r="C34" s="1">
        <v>0.25</v>
      </c>
      <c r="D34" s="1">
        <v>20.7</v>
      </c>
      <c r="E34" s="1">
        <v>9585.0</v>
      </c>
      <c r="F34" s="1">
        <v>11979.0</v>
      </c>
      <c r="I34" s="2"/>
      <c r="K34" s="3"/>
      <c r="L34" s="9">
        <f t="shared" si="1"/>
        <v>56168.1</v>
      </c>
      <c r="M34" s="10">
        <f t="shared" si="2"/>
        <v>70196.94</v>
      </c>
      <c r="N34" s="9">
        <f t="shared" si="3"/>
        <v>0</v>
      </c>
      <c r="O34" s="11">
        <f t="shared" si="4"/>
        <v>0</v>
      </c>
      <c r="P34" s="11">
        <f t="shared" si="5"/>
        <v>70196.94</v>
      </c>
      <c r="Q34" s="11">
        <f t="shared" si="6"/>
        <v>63961.24943</v>
      </c>
      <c r="R34" s="11">
        <f t="shared" si="7"/>
        <v>107872.1824</v>
      </c>
      <c r="S34" s="6" t="str">
        <f t="shared" si="8"/>
        <v>nox enf</v>
      </c>
      <c r="T34" s="11">
        <f t="shared" si="15"/>
        <v>3053.042932</v>
      </c>
      <c r="U34" s="2">
        <f t="shared" si="10"/>
        <v>0.00554271526</v>
      </c>
    </row>
    <row r="35">
      <c r="B35" s="1" t="s">
        <v>52</v>
      </c>
      <c r="C35" s="1">
        <v>0.25</v>
      </c>
      <c r="D35" s="1">
        <v>5.0</v>
      </c>
      <c r="E35" s="1">
        <v>7636.0</v>
      </c>
      <c r="F35" s="1">
        <v>11744.0</v>
      </c>
      <c r="I35" s="5">
        <v>0.075</v>
      </c>
      <c r="K35" s="3"/>
      <c r="L35" s="9">
        <f t="shared" si="1"/>
        <v>45319.66</v>
      </c>
      <c r="M35" s="10">
        <f t="shared" si="2"/>
        <v>69700.64</v>
      </c>
      <c r="N35" s="9">
        <f t="shared" si="3"/>
        <v>0</v>
      </c>
      <c r="O35" s="11">
        <f t="shared" si="4"/>
        <v>0</v>
      </c>
      <c r="P35" s="11">
        <f t="shared" si="5"/>
        <v>69700.64</v>
      </c>
      <c r="Q35" s="11">
        <f t="shared" si="6"/>
        <v>60094.18163</v>
      </c>
      <c r="R35" s="11">
        <f t="shared" si="7"/>
        <v>101350.2797</v>
      </c>
      <c r="S35" s="6" t="str">
        <f t="shared" si="8"/>
        <v>snaring</v>
      </c>
      <c r="T35" s="11">
        <f t="shared" ref="T35:T41" si="16">$Q35/($C35+$D35)</f>
        <v>11446.51079</v>
      </c>
      <c r="U35" s="2">
        <f t="shared" si="10"/>
        <v>0.02078082471</v>
      </c>
    </row>
    <row r="36">
      <c r="B36" s="1" t="s">
        <v>53</v>
      </c>
      <c r="C36" s="1">
        <v>0.25</v>
      </c>
      <c r="D36" s="1">
        <v>20.7</v>
      </c>
      <c r="E36" s="1">
        <v>6955.0</v>
      </c>
      <c r="F36" s="1">
        <v>9923.0</v>
      </c>
      <c r="I36" s="2"/>
      <c r="K36" s="3"/>
      <c r="L36" s="9">
        <f t="shared" si="1"/>
        <v>40756.3</v>
      </c>
      <c r="M36" s="10">
        <f t="shared" si="2"/>
        <v>58148.78</v>
      </c>
      <c r="N36" s="9">
        <f t="shared" si="3"/>
        <v>0</v>
      </c>
      <c r="O36" s="11">
        <f t="shared" si="4"/>
        <v>0</v>
      </c>
      <c r="P36" s="11">
        <f t="shared" si="5"/>
        <v>58148.78</v>
      </c>
      <c r="Q36" s="11">
        <f t="shared" si="6"/>
        <v>50981.77571</v>
      </c>
      <c r="R36" s="11">
        <f t="shared" si="7"/>
        <v>85981.98842</v>
      </c>
      <c r="S36" s="6" t="str">
        <f t="shared" si="8"/>
        <v>placating strike</v>
      </c>
      <c r="T36" s="11">
        <f t="shared" si="16"/>
        <v>2433.497647</v>
      </c>
      <c r="U36" s="2">
        <f t="shared" si="10"/>
        <v>0.004417947878</v>
      </c>
    </row>
    <row r="37">
      <c r="B37" s="1" t="s">
        <v>54</v>
      </c>
      <c r="C37" s="1">
        <v>0.5</v>
      </c>
      <c r="D37" s="1">
        <v>31.1</v>
      </c>
      <c r="E37" s="1">
        <v>5745.0</v>
      </c>
      <c r="F37" s="1">
        <v>8605.0</v>
      </c>
      <c r="I37" s="2"/>
      <c r="K37" s="3"/>
      <c r="L37" s="9">
        <f t="shared" si="1"/>
        <v>33665.7</v>
      </c>
      <c r="M37" s="10">
        <f t="shared" si="2"/>
        <v>50425.3</v>
      </c>
      <c r="N37" s="9">
        <f t="shared" si="3"/>
        <v>0</v>
      </c>
      <c r="O37" s="11">
        <f t="shared" si="4"/>
        <v>0</v>
      </c>
      <c r="P37" s="11">
        <f t="shared" si="5"/>
        <v>50425.3</v>
      </c>
      <c r="Q37" s="11">
        <f t="shared" si="6"/>
        <v>43715.62042</v>
      </c>
      <c r="R37" s="11">
        <f t="shared" si="7"/>
        <v>51861.16727</v>
      </c>
      <c r="S37" s="6" t="str">
        <f t="shared" si="8"/>
        <v>pbs</v>
      </c>
      <c r="T37" s="11">
        <f t="shared" si="16"/>
        <v>1383.405709</v>
      </c>
      <c r="U37" s="2">
        <f t="shared" si="10"/>
        <v>0.00251153492</v>
      </c>
    </row>
    <row r="38">
      <c r="B38" s="1" t="s">
        <v>55</v>
      </c>
      <c r="C38" s="1">
        <v>0.25</v>
      </c>
      <c r="D38" s="1">
        <v>13.8</v>
      </c>
      <c r="E38" s="1">
        <v>5837.0</v>
      </c>
      <c r="F38" s="1">
        <v>6928.0</v>
      </c>
      <c r="I38" s="2"/>
      <c r="K38" s="3"/>
      <c r="L38" s="9">
        <f t="shared" si="1"/>
        <v>34204.82</v>
      </c>
      <c r="M38" s="10">
        <f t="shared" si="2"/>
        <v>40598.08</v>
      </c>
      <c r="N38" s="9">
        <f t="shared" si="3"/>
        <v>0</v>
      </c>
      <c r="O38" s="11">
        <f t="shared" si="4"/>
        <v>0</v>
      </c>
      <c r="P38" s="11">
        <f t="shared" si="5"/>
        <v>40598.08</v>
      </c>
      <c r="Q38" s="11">
        <f t="shared" si="6"/>
        <v>37674.65982</v>
      </c>
      <c r="R38" s="11">
        <f t="shared" si="7"/>
        <v>63539.21806</v>
      </c>
      <c r="S38" s="6" t="str">
        <f t="shared" si="8"/>
        <v>hilt</v>
      </c>
      <c r="T38" s="11">
        <f t="shared" si="16"/>
        <v>2681.47045</v>
      </c>
      <c r="U38" s="2">
        <f t="shared" si="10"/>
        <v>0.004868135664</v>
      </c>
    </row>
    <row r="39">
      <c r="B39" s="1" t="s">
        <v>56</v>
      </c>
      <c r="C39" s="1">
        <v>0.1</v>
      </c>
      <c r="D39" s="1">
        <v>3.0</v>
      </c>
      <c r="E39" s="1">
        <v>7366.0</v>
      </c>
      <c r="F39" s="1">
        <v>34765.0</v>
      </c>
      <c r="I39" s="2"/>
      <c r="K39" s="3"/>
      <c r="L39" s="9">
        <f t="shared" si="1"/>
        <v>43164.76</v>
      </c>
      <c r="M39" s="10">
        <f t="shared" si="2"/>
        <v>203722.9</v>
      </c>
      <c r="N39" s="9">
        <f t="shared" si="3"/>
        <v>0</v>
      </c>
      <c r="O39" s="11">
        <f t="shared" si="4"/>
        <v>0</v>
      </c>
      <c r="P39" s="11">
        <f t="shared" si="5"/>
        <v>203722.9</v>
      </c>
      <c r="Q39" s="11">
        <f t="shared" si="6"/>
        <v>175651.6162</v>
      </c>
      <c r="R39" s="11">
        <f t="shared" si="7"/>
        <v>396562.4905</v>
      </c>
      <c r="S39" s="6" t="str">
        <f t="shared" si="8"/>
        <v>2h</v>
      </c>
      <c r="T39" s="11">
        <f t="shared" si="16"/>
        <v>56661.81167</v>
      </c>
      <c r="U39" s="2">
        <f t="shared" si="10"/>
        <v>0.1028679567</v>
      </c>
    </row>
    <row r="40">
      <c r="B40" s="1" t="s">
        <v>57</v>
      </c>
      <c r="C40" s="1">
        <v>0.1</v>
      </c>
      <c r="D40" s="1">
        <v>1.7</v>
      </c>
      <c r="E40" s="1">
        <v>2860.0</v>
      </c>
      <c r="F40" s="1">
        <v>13500.0</v>
      </c>
      <c r="K40" s="3"/>
      <c r="L40" s="9">
        <f t="shared" si="1"/>
        <v>16759.6</v>
      </c>
      <c r="M40" s="10">
        <f t="shared" si="2"/>
        <v>79110</v>
      </c>
      <c r="N40" s="9">
        <f t="shared" si="3"/>
        <v>0</v>
      </c>
      <c r="O40" s="11">
        <f t="shared" si="4"/>
        <v>0</v>
      </c>
      <c r="P40" s="11">
        <f t="shared" si="5"/>
        <v>79110</v>
      </c>
      <c r="Q40" s="11">
        <f t="shared" si="6"/>
        <v>68210.11345</v>
      </c>
      <c r="R40" s="11">
        <f t="shared" si="7"/>
        <v>153995.5798</v>
      </c>
      <c r="S40" s="6" t="str">
        <f t="shared" si="8"/>
        <v>1h</v>
      </c>
      <c r="T40" s="11">
        <f t="shared" si="16"/>
        <v>37894.50747</v>
      </c>
    </row>
    <row r="41">
      <c r="B41" s="1" t="s">
        <v>58</v>
      </c>
      <c r="C41" s="1">
        <v>0.1</v>
      </c>
      <c r="D41" s="1">
        <v>3.5</v>
      </c>
      <c r="E41" s="1">
        <v>5825.0</v>
      </c>
      <c r="F41" s="1">
        <v>28601.0</v>
      </c>
      <c r="K41" s="3"/>
      <c r="L41" s="9">
        <f t="shared" si="1"/>
        <v>34134.5</v>
      </c>
      <c r="M41" s="10">
        <f t="shared" si="2"/>
        <v>167601.86</v>
      </c>
      <c r="N41" s="9">
        <f t="shared" si="3"/>
        <v>0</v>
      </c>
      <c r="O41" s="11">
        <f t="shared" si="4"/>
        <v>0</v>
      </c>
      <c r="P41" s="11">
        <f t="shared" si="5"/>
        <v>167601.86</v>
      </c>
      <c r="Q41" s="11">
        <f t="shared" si="6"/>
        <v>145018.7144</v>
      </c>
      <c r="R41" s="11">
        <f t="shared" si="7"/>
        <v>327403.6629</v>
      </c>
      <c r="S41" s="6" t="str">
        <f t="shared" si="8"/>
        <v>ranged</v>
      </c>
      <c r="T41" s="11">
        <f t="shared" si="16"/>
        <v>40282.97621</v>
      </c>
    </row>
    <row r="42">
      <c r="F42" s="6">
        <f t="shared" ref="F42:F45" si="17">F9-500</f>
        <v>139753</v>
      </c>
      <c r="G42" s="6" t="str">
        <f>$B8</f>
        <v>sniper shot</v>
      </c>
      <c r="H42" s="1">
        <v>3.0</v>
      </c>
      <c r="I42" s="1">
        <v>300.0</v>
      </c>
      <c r="K42" s="3"/>
      <c r="L42" s="9"/>
      <c r="M42" s="10"/>
      <c r="N42" s="9"/>
      <c r="O42" s="11"/>
      <c r="P42" s="11"/>
      <c r="Q42" s="11"/>
      <c r="R42" s="11"/>
      <c r="T42" s="13">
        <v>13161.5110516708</v>
      </c>
    </row>
    <row r="43">
      <c r="F43" s="6">
        <f t="shared" si="17"/>
        <v>33125</v>
      </c>
      <c r="G43" s="6">
        <f>$C91</f>
        <v>0.25</v>
      </c>
      <c r="H43" s="1">
        <v>0.5</v>
      </c>
      <c r="I43" s="1">
        <v>60.0</v>
      </c>
      <c r="K43" s="3"/>
      <c r="L43" s="9"/>
      <c r="M43" s="10"/>
      <c r="N43" s="9"/>
      <c r="O43" s="11"/>
      <c r="P43" s="11"/>
      <c r="Q43" s="11"/>
      <c r="R43" s="11"/>
      <c r="T43" s="11"/>
    </row>
    <row r="44">
      <c r="F44" s="6">
        <f t="shared" si="17"/>
        <v>85170</v>
      </c>
      <c r="G44" s="6" t="str">
        <f>$B10</f>
        <v>arrow barrage</v>
      </c>
      <c r="H44" s="1">
        <v>1.0</v>
      </c>
      <c r="I44" s="1">
        <v>20.0</v>
      </c>
      <c r="K44" s="3"/>
      <c r="L44" s="9"/>
      <c r="M44" s="10"/>
      <c r="N44" s="9"/>
      <c r="O44" s="11"/>
      <c r="P44" s="11"/>
      <c r="Q44" s="11"/>
      <c r="R44" s="11"/>
      <c r="T44" s="11"/>
    </row>
    <row r="45">
      <c r="F45" s="6">
        <f t="shared" si="17"/>
        <v>83311</v>
      </c>
      <c r="G45" s="6" t="str">
        <f>$B92</f>
        <v>Flaming Weapons</v>
      </c>
      <c r="H45" s="1">
        <v>1.5</v>
      </c>
      <c r="I45" s="1">
        <v>90.0</v>
      </c>
      <c r="K45" s="3"/>
      <c r="L45" s="9"/>
      <c r="M45" s="10"/>
      <c r="N45" s="9"/>
      <c r="O45" s="11"/>
      <c r="P45" s="11"/>
      <c r="Q45" s="11"/>
      <c r="R45" s="11"/>
      <c r="T45" s="11"/>
    </row>
    <row r="46">
      <c r="F46" s="6">
        <f>F16-500</f>
        <v>53815</v>
      </c>
      <c r="G46" s="6" t="str">
        <f>$B12</f>
        <v>storm (salvo)</v>
      </c>
      <c r="H46" s="1">
        <v>2.0</v>
      </c>
      <c r="I46" s="1">
        <v>180.0</v>
      </c>
      <c r="K46" s="3"/>
      <c r="L46" s="9"/>
      <c r="M46" s="10"/>
      <c r="N46" s="9"/>
      <c r="O46" s="11"/>
      <c r="P46" s="11"/>
      <c r="Q46" s="11"/>
      <c r="R46" s="11"/>
      <c r="T46" s="11"/>
    </row>
    <row r="47">
      <c r="F47" s="6">
        <f>G96-500</f>
        <v>86819</v>
      </c>
      <c r="G47" s="6" t="str">
        <f>$B16</f>
        <v>rear shot</v>
      </c>
      <c r="H47" s="1">
        <v>0.5</v>
      </c>
      <c r="I47" s="1">
        <v>10.0</v>
      </c>
      <c r="K47" s="3"/>
      <c r="L47" s="9"/>
      <c r="M47" s="10"/>
      <c r="N47" s="9"/>
      <c r="O47" s="11"/>
      <c r="P47" s="11"/>
      <c r="Q47" s="11"/>
      <c r="R47" s="11"/>
      <c r="T47" s="11"/>
    </row>
    <row r="48">
      <c r="F48" s="6">
        <f>F13-500</f>
        <v>79298</v>
      </c>
      <c r="G48" s="6" t="str">
        <f>$C96</f>
        <v>hidden assault</v>
      </c>
      <c r="H48" s="1">
        <v>0.5</v>
      </c>
      <c r="I48" s="1">
        <v>30.0</v>
      </c>
      <c r="K48" s="3"/>
      <c r="L48" s="9"/>
      <c r="M48" s="10"/>
      <c r="N48" s="9"/>
      <c r="O48" s="11"/>
      <c r="P48" s="11"/>
      <c r="Q48" s="11"/>
      <c r="R48" s="11"/>
      <c r="T48" s="11"/>
    </row>
    <row r="49">
      <c r="F49" s="6">
        <f t="array" ref="F49">""-500</f>
        <v>-500</v>
      </c>
      <c r="G49" s="6" t="str">
        <f>$B13</f>
        <v>rapid salvo</v>
      </c>
      <c r="H49" s="1">
        <v>1.5</v>
      </c>
      <c r="I49" s="1">
        <v>90.0</v>
      </c>
      <c r="K49" s="3"/>
      <c r="L49" s="9"/>
      <c r="M49" s="10"/>
      <c r="N49" s="9"/>
      <c r="O49" s="11"/>
      <c r="P49" s="11"/>
      <c r="Q49" s="11"/>
      <c r="R49" s="11"/>
      <c r="T49" s="11"/>
    </row>
    <row r="50">
      <c r="F50" s="6">
        <f>F15-500</f>
        <v>67469</v>
      </c>
      <c r="G50" s="6" t="str">
        <f t="array" ref="G50">{}</f>
        <v>#REF!</v>
      </c>
      <c r="H50" s="1">
        <v>3.0</v>
      </c>
      <c r="I50" s="1">
        <v>120.0</v>
      </c>
      <c r="K50" s="3"/>
      <c r="L50" s="9"/>
      <c r="M50" s="10"/>
      <c r="N50" s="9"/>
      <c r="O50" s="11"/>
      <c r="P50" s="11"/>
      <c r="Q50" s="11"/>
      <c r="R50" s="11"/>
      <c r="T50" s="11"/>
    </row>
    <row r="51">
      <c r="F51" s="6">
        <f>H97-500</f>
        <v>84829</v>
      </c>
      <c r="G51" s="6" t="str">
        <f>$B15</f>
        <v>ranger's blade</v>
      </c>
      <c r="H51" s="1">
        <v>1.5</v>
      </c>
      <c r="I51" s="1">
        <v>60.0</v>
      </c>
      <c r="K51" s="3"/>
      <c r="L51" s="9"/>
      <c r="M51" s="10"/>
      <c r="N51" s="9"/>
      <c r="O51" s="11"/>
      <c r="P51" s="11"/>
      <c r="Q51" s="11"/>
      <c r="R51" s="11"/>
      <c r="T51" s="11"/>
    </row>
    <row r="52">
      <c r="F52" s="6">
        <f t="shared" ref="F52:F56" si="18">F17-500</f>
        <v>46363</v>
      </c>
      <c r="G52" s="6" t="str">
        <f>$B93</f>
        <v>blazing shot</v>
      </c>
      <c r="H52" s="1">
        <v>0.5</v>
      </c>
      <c r="I52" s="1">
        <v>10.0</v>
      </c>
      <c r="K52" s="3"/>
      <c r="L52" s="9"/>
      <c r="M52" s="10"/>
      <c r="N52" s="9"/>
      <c r="O52" s="11"/>
      <c r="P52" s="11"/>
      <c r="Q52" s="11"/>
      <c r="R52" s="11"/>
      <c r="T52" s="11"/>
    </row>
    <row r="53">
      <c r="F53" s="6">
        <f t="shared" si="18"/>
        <v>44815</v>
      </c>
      <c r="G53" s="6" t="str">
        <f t="shared" ref="G53:G57" si="19">$B17</f>
        <v>smoke bomb</v>
      </c>
      <c r="H53" s="1">
        <v>1.0</v>
      </c>
      <c r="I53" s="1">
        <v>45.0</v>
      </c>
      <c r="K53" s="3"/>
      <c r="L53" s="9"/>
      <c r="M53" s="10"/>
      <c r="N53" s="9"/>
      <c r="O53" s="11"/>
      <c r="P53" s="11"/>
      <c r="Q53" s="11"/>
      <c r="R53" s="11"/>
      <c r="T53" s="11"/>
    </row>
    <row r="54">
      <c r="C54" s="6">
        <f t="shared" ref="C54:C89" si="20">round(H91*(1/(1+$B$6)),2)</f>
        <v>0</v>
      </c>
      <c r="D54" s="6">
        <f t="shared" ref="D54:D62" si="21">round(I91*(1/(1+$B$5)),1)</f>
        <v>0</v>
      </c>
      <c r="F54" s="6">
        <f t="shared" si="18"/>
        <v>37760</v>
      </c>
      <c r="G54" s="6" t="str">
        <f t="shared" si="19"/>
        <v>natural selection</v>
      </c>
      <c r="H54" s="1">
        <v>0.5</v>
      </c>
      <c r="I54" s="1">
        <v>60.0</v>
      </c>
      <c r="K54" s="3"/>
      <c r="L54" s="9"/>
      <c r="M54" s="10"/>
      <c r="N54" s="9"/>
      <c r="O54" s="11"/>
      <c r="P54" s="11"/>
      <c r="Q54" s="11"/>
      <c r="R54" s="11"/>
      <c r="T54" s="11"/>
    </row>
    <row r="55">
      <c r="C55" s="6">
        <f t="shared" si="20"/>
        <v>6055.5</v>
      </c>
      <c r="D55" s="6">
        <f t="shared" si="21"/>
        <v>0</v>
      </c>
      <c r="F55" s="6">
        <f t="shared" si="18"/>
        <v>36669</v>
      </c>
      <c r="G55" s="6" t="str">
        <f t="shared" si="19"/>
        <v>hidden shot</v>
      </c>
      <c r="H55" s="1">
        <v>0.5</v>
      </c>
      <c r="I55" s="1">
        <v>30.0</v>
      </c>
      <c r="K55" s="3"/>
      <c r="L55" s="9"/>
      <c r="M55" s="10"/>
      <c r="N55" s="9"/>
      <c r="O55" s="11"/>
      <c r="P55" s="11"/>
      <c r="Q55" s="11"/>
      <c r="R55" s="11"/>
      <c r="T55" s="11"/>
    </row>
    <row r="56">
      <c r="C56" s="6">
        <f t="shared" si="20"/>
        <v>0</v>
      </c>
      <c r="D56" s="6">
        <f t="shared" si="21"/>
        <v>0</v>
      </c>
      <c r="F56" s="6">
        <f t="shared" si="18"/>
        <v>34695</v>
      </c>
      <c r="G56" s="6" t="str">
        <f t="shared" si="19"/>
        <v>emberstrike</v>
      </c>
      <c r="H56" s="1">
        <v>0.5</v>
      </c>
      <c r="I56" s="1">
        <v>20.0</v>
      </c>
      <c r="K56" s="3"/>
      <c r="L56" s="9"/>
      <c r="M56" s="10"/>
      <c r="N56" s="9"/>
      <c r="O56" s="11"/>
      <c r="P56" s="11"/>
      <c r="Q56" s="11"/>
      <c r="R56" s="11"/>
      <c r="T56" s="11"/>
    </row>
    <row r="57">
      <c r="C57" s="6">
        <f t="shared" si="20"/>
        <v>0</v>
      </c>
      <c r="D57" s="6">
        <f t="shared" si="21"/>
        <v>0</v>
      </c>
      <c r="F57" s="6">
        <f>G98-500</f>
        <v>77176</v>
      </c>
      <c r="G57" s="6" t="str">
        <f t="shared" si="19"/>
        <v>explosive</v>
      </c>
      <c r="H57" s="1">
        <v>1.5</v>
      </c>
      <c r="I57" s="1">
        <v>60.0</v>
      </c>
      <c r="K57" s="3"/>
      <c r="L57" s="9"/>
      <c r="M57" s="10"/>
      <c r="N57" s="9"/>
      <c r="O57" s="11"/>
      <c r="P57" s="11"/>
      <c r="Q57" s="11"/>
      <c r="R57" s="11"/>
      <c r="T57" s="11"/>
    </row>
    <row r="58">
      <c r="C58" s="6">
        <f t="shared" si="20"/>
        <v>0</v>
      </c>
      <c r="D58" s="6">
        <f t="shared" si="21"/>
        <v>0</v>
      </c>
      <c r="F58" s="6">
        <f t="shared" ref="F58:F73" si="22">F22-500</f>
        <v>5260</v>
      </c>
      <c r="G58" s="6" t="str">
        <f>$C98</f>
        <v>stream of arrows</v>
      </c>
      <c r="H58" s="1">
        <v>0.5</v>
      </c>
      <c r="I58" s="1">
        <v>20.0</v>
      </c>
      <c r="K58" s="3"/>
      <c r="L58" s="9"/>
      <c r="M58" s="10"/>
      <c r="N58" s="9"/>
      <c r="O58" s="11"/>
      <c r="P58" s="11"/>
      <c r="Q58" s="11"/>
      <c r="R58" s="11"/>
      <c r="T58" s="11"/>
    </row>
    <row r="59">
      <c r="C59" s="6">
        <f t="shared" si="20"/>
        <v>0</v>
      </c>
      <c r="D59" s="6">
        <f t="shared" si="21"/>
        <v>0</v>
      </c>
      <c r="F59" s="6">
        <f t="shared" si="22"/>
        <v>30433</v>
      </c>
      <c r="G59" s="6" t="str">
        <f t="shared" ref="G59:G72" si="23">$B22</f>
        <v>bloody reminder</v>
      </c>
      <c r="H59" s="1">
        <v>2.0</v>
      </c>
      <c r="I59" s="1">
        <v>180.0</v>
      </c>
      <c r="K59" s="3"/>
      <c r="L59" s="9"/>
      <c r="M59" s="10"/>
      <c r="N59" s="9"/>
      <c r="O59" s="11"/>
      <c r="P59" s="11"/>
      <c r="Q59" s="11"/>
      <c r="R59" s="11"/>
      <c r="T59" s="11"/>
    </row>
    <row r="60">
      <c r="C60" s="6">
        <f t="shared" si="20"/>
        <v>42664.5</v>
      </c>
      <c r="D60" s="6">
        <f t="shared" si="21"/>
        <v>0</v>
      </c>
      <c r="F60" s="6">
        <f t="shared" si="22"/>
        <v>29435</v>
      </c>
      <c r="G60" s="6" t="str">
        <f t="shared" si="23"/>
        <v>master strike</v>
      </c>
      <c r="H60" s="1">
        <v>0.5</v>
      </c>
      <c r="I60" s="1">
        <v>20.0</v>
      </c>
      <c r="K60" s="3"/>
      <c r="L60" s="9"/>
      <c r="M60" s="10"/>
      <c r="N60" s="9"/>
      <c r="O60" s="11"/>
      <c r="P60" s="11"/>
      <c r="Q60" s="11"/>
      <c r="R60" s="11"/>
      <c r="T60" s="11"/>
    </row>
    <row r="61">
      <c r="C61" s="6">
        <f t="shared" si="20"/>
        <v>0</v>
      </c>
      <c r="D61" s="6">
        <f t="shared" si="21"/>
        <v>0</v>
      </c>
      <c r="F61" s="6">
        <f t="shared" si="22"/>
        <v>27581</v>
      </c>
      <c r="G61" s="6" t="str">
        <f t="shared" si="23"/>
        <v>triple shot</v>
      </c>
      <c r="H61" s="1">
        <v>3.0</v>
      </c>
      <c r="I61" s="1">
        <v>60.0</v>
      </c>
      <c r="K61" s="3"/>
      <c r="L61" s="9"/>
      <c r="M61" s="10"/>
      <c r="N61" s="9"/>
      <c r="O61" s="11"/>
      <c r="P61" s="11"/>
      <c r="Q61" s="11"/>
      <c r="R61" s="11"/>
      <c r="T61" s="11"/>
    </row>
    <row r="62">
      <c r="C62" s="6">
        <f t="shared" si="20"/>
        <v>0</v>
      </c>
      <c r="D62" s="6">
        <f t="shared" si="21"/>
        <v>0</v>
      </c>
      <c r="F62" s="6">
        <f t="shared" si="22"/>
        <v>23195</v>
      </c>
      <c r="G62" s="6" t="str">
        <f t="shared" si="23"/>
        <v>sneak attack</v>
      </c>
      <c r="H62" s="1">
        <v>1.5</v>
      </c>
      <c r="I62" s="1">
        <v>60.0</v>
      </c>
      <c r="K62" s="3"/>
      <c r="L62" s="9"/>
      <c r="M62" s="10"/>
      <c r="N62" s="9"/>
      <c r="O62" s="11"/>
      <c r="P62" s="11"/>
      <c r="Q62" s="11"/>
      <c r="R62" s="11"/>
      <c r="T62" s="11"/>
    </row>
    <row r="63">
      <c r="C63" s="6">
        <f t="shared" si="20"/>
        <v>0</v>
      </c>
      <c r="D63" s="6">
        <f>round(if((I100*(1/(1+$B$5))-25)&lt;(I100/2),I100/2,I100*(1/(1+$B$5))-25),1)</f>
        <v>0</v>
      </c>
      <c r="F63" s="6">
        <f t="shared" si="22"/>
        <v>23370</v>
      </c>
      <c r="G63" s="6" t="str">
        <f t="shared" si="23"/>
        <v>miracle shot</v>
      </c>
      <c r="H63" s="1">
        <v>0.5</v>
      </c>
      <c r="I63" s="1">
        <v>10.0</v>
      </c>
      <c r="K63" s="3"/>
      <c r="L63" s="9"/>
      <c r="M63" s="10"/>
      <c r="N63" s="9"/>
      <c r="O63" s="11"/>
      <c r="P63" s="11"/>
      <c r="Q63" s="11"/>
      <c r="R63" s="11"/>
      <c r="T63" s="11"/>
    </row>
    <row r="64">
      <c r="C64" s="6">
        <f t="shared" si="20"/>
        <v>0</v>
      </c>
      <c r="D64" s="6">
        <f t="shared" ref="D64:D72" si="24">round(I101*(1/(1+$B$5)),1)</f>
        <v>0</v>
      </c>
      <c r="F64" s="6">
        <f t="shared" si="22"/>
        <v>18790</v>
      </c>
      <c r="G64" s="6" t="str">
        <f t="shared" si="23"/>
        <v>crippling arrow</v>
      </c>
      <c r="H64" s="1">
        <v>0.5</v>
      </c>
      <c r="I64" s="1">
        <v>30.0</v>
      </c>
      <c r="K64" s="3"/>
      <c r="L64" s="9"/>
      <c r="M64" s="10"/>
      <c r="N64" s="9"/>
      <c r="O64" s="11"/>
      <c r="P64" s="11"/>
      <c r="Q64" s="11"/>
      <c r="R64" s="11"/>
      <c r="T64" s="11"/>
    </row>
    <row r="65">
      <c r="C65" s="6">
        <f t="shared" si="20"/>
        <v>0</v>
      </c>
      <c r="D65" s="6">
        <f t="shared" si="24"/>
        <v>0</v>
      </c>
      <c r="F65" s="6">
        <f t="shared" si="22"/>
        <v>18148</v>
      </c>
      <c r="G65" s="6" t="str">
        <f t="shared" si="23"/>
        <v>evasive manuevers</v>
      </c>
      <c r="H65" s="1">
        <v>1.5</v>
      </c>
      <c r="I65" s="1">
        <v>60.0</v>
      </c>
      <c r="K65" s="3"/>
      <c r="L65" s="9"/>
      <c r="M65" s="10"/>
      <c r="N65" s="9"/>
      <c r="O65" s="11"/>
      <c r="P65" s="11"/>
      <c r="Q65" s="11"/>
      <c r="R65" s="11"/>
      <c r="T65" s="11"/>
    </row>
    <row r="66">
      <c r="C66" s="6">
        <f t="shared" si="20"/>
        <v>0</v>
      </c>
      <c r="D66" s="6">
        <f t="shared" si="24"/>
        <v>0</v>
      </c>
      <c r="F66" s="6">
        <f t="shared" si="22"/>
        <v>17883</v>
      </c>
      <c r="G66" s="6" t="str">
        <f t="shared" si="23"/>
        <v>trick</v>
      </c>
      <c r="H66" s="1">
        <v>0.5</v>
      </c>
      <c r="I66" s="1">
        <v>10.0</v>
      </c>
      <c r="K66" s="3"/>
      <c r="L66" s="9"/>
      <c r="M66" s="10"/>
      <c r="N66" s="9"/>
      <c r="O66" s="11"/>
      <c r="P66" s="11"/>
      <c r="Q66" s="11"/>
      <c r="R66" s="11"/>
      <c r="T66" s="11"/>
    </row>
    <row r="67">
      <c r="C67" s="6">
        <f t="shared" si="20"/>
        <v>0</v>
      </c>
      <c r="D67" s="6">
        <f t="shared" si="24"/>
        <v>0</v>
      </c>
      <c r="F67" s="6">
        <f t="shared" si="22"/>
        <v>15323</v>
      </c>
      <c r="G67" s="6" t="str">
        <f t="shared" si="23"/>
        <v>searing</v>
      </c>
      <c r="H67" s="1">
        <v>0.5</v>
      </c>
      <c r="I67" s="1">
        <v>30.0</v>
      </c>
      <c r="K67" s="3"/>
      <c r="L67" s="9"/>
      <c r="M67" s="10"/>
      <c r="N67" s="9"/>
      <c r="O67" s="11"/>
      <c r="P67" s="11"/>
      <c r="Q67" s="11"/>
      <c r="R67" s="11"/>
      <c r="T67" s="11"/>
    </row>
    <row r="68">
      <c r="C68" s="6">
        <f t="shared" si="20"/>
        <v>0</v>
      </c>
      <c r="D68" s="6">
        <f t="shared" si="24"/>
        <v>0</v>
      </c>
      <c r="F68" s="6">
        <f t="shared" si="22"/>
        <v>13562</v>
      </c>
      <c r="G68" s="6" t="str">
        <f t="shared" si="23"/>
        <v>rip</v>
      </c>
      <c r="H68" s="1">
        <v>0.5</v>
      </c>
      <c r="I68" s="1">
        <v>20.0</v>
      </c>
      <c r="K68" s="3"/>
      <c r="L68" s="9"/>
      <c r="M68" s="10"/>
      <c r="N68" s="9"/>
      <c r="O68" s="11"/>
      <c r="P68" s="11"/>
      <c r="Q68" s="11"/>
      <c r="R68" s="11"/>
      <c r="T68" s="11"/>
    </row>
    <row r="69">
      <c r="C69" s="6">
        <f t="shared" si="20"/>
        <v>0</v>
      </c>
      <c r="D69" s="6">
        <f t="shared" si="24"/>
        <v>0</v>
      </c>
      <c r="F69" s="6">
        <f t="shared" si="22"/>
        <v>12227</v>
      </c>
      <c r="G69" s="6" t="str">
        <f t="shared" si="23"/>
        <v>Lunge</v>
      </c>
      <c r="H69" s="1">
        <v>1.0</v>
      </c>
      <c r="I69" s="1">
        <v>45.0</v>
      </c>
      <c r="K69" s="3"/>
      <c r="L69" s="9"/>
      <c r="M69" s="10"/>
      <c r="N69" s="9"/>
      <c r="O69" s="11"/>
      <c r="P69" s="11"/>
      <c r="Q69" s="11"/>
      <c r="R69" s="11"/>
      <c r="T69" s="11"/>
    </row>
    <row r="70">
      <c r="C70" s="6">
        <f t="shared" si="20"/>
        <v>0</v>
      </c>
      <c r="D70" s="6">
        <f t="shared" si="24"/>
        <v>0</v>
      </c>
      <c r="F70" s="6">
        <f t="shared" si="22"/>
        <v>11479</v>
      </c>
      <c r="G70" s="6" t="str">
        <f t="shared" si="23"/>
        <v>Lighning strike</v>
      </c>
      <c r="H70" s="1">
        <v>0.5</v>
      </c>
      <c r="I70" s="1">
        <v>20.0</v>
      </c>
      <c r="K70" s="3"/>
      <c r="L70" s="9"/>
      <c r="M70" s="10"/>
      <c r="N70" s="9"/>
      <c r="O70" s="11"/>
      <c r="P70" s="11"/>
      <c r="Q70" s="11"/>
      <c r="R70" s="11"/>
      <c r="T70" s="11"/>
    </row>
    <row r="71">
      <c r="C71" s="6">
        <f t="shared" si="20"/>
        <v>0</v>
      </c>
      <c r="D71" s="6">
        <f t="shared" si="24"/>
        <v>0</v>
      </c>
      <c r="F71" s="6">
        <f t="shared" si="22"/>
        <v>11244</v>
      </c>
      <c r="G71" s="6" t="str">
        <f t="shared" si="23"/>
        <v>nox enf</v>
      </c>
      <c r="H71" s="1">
        <v>0.5</v>
      </c>
      <c r="I71" s="1">
        <v>20.0</v>
      </c>
      <c r="K71" s="3"/>
      <c r="L71" s="9"/>
      <c r="M71" s="10"/>
      <c r="N71" s="9"/>
      <c r="O71" s="11"/>
      <c r="P71" s="11"/>
      <c r="Q71" s="11"/>
      <c r="R71" s="11"/>
      <c r="T71" s="11"/>
    </row>
    <row r="72">
      <c r="C72" s="6">
        <f t="shared" si="20"/>
        <v>0</v>
      </c>
      <c r="D72" s="6">
        <f t="shared" si="24"/>
        <v>0</v>
      </c>
      <c r="F72" s="6">
        <f t="shared" si="22"/>
        <v>9423</v>
      </c>
      <c r="G72" s="6" t="str">
        <f t="shared" si="23"/>
        <v>snaring</v>
      </c>
      <c r="H72" s="1">
        <v>0.5</v>
      </c>
      <c r="I72" s="1">
        <v>20.0</v>
      </c>
      <c r="K72" s="3"/>
      <c r="L72" s="4"/>
    </row>
    <row r="73">
      <c r="C73" s="6">
        <f t="shared" si="20"/>
        <v>0</v>
      </c>
      <c r="D73" s="6">
        <f>round(if((I110*(1/(1+$B$5))-5)&lt;(I110/2),I110/2,I110*(1/(1+$B$5))-5),1)</f>
        <v>0</v>
      </c>
      <c r="F73" s="6">
        <f t="shared" si="22"/>
        <v>8105</v>
      </c>
      <c r="G73" s="1" t="s">
        <v>29</v>
      </c>
      <c r="H73" s="1">
        <v>1.0</v>
      </c>
      <c r="I73" s="14">
        <v>90.0</v>
      </c>
      <c r="K73" s="3"/>
      <c r="L73" s="4"/>
    </row>
    <row r="74">
      <c r="C74" s="6">
        <f t="shared" si="20"/>
        <v>0</v>
      </c>
      <c r="D74" s="6">
        <f t="shared" ref="D74:D78" si="25">round(I111*(1/(1+$B$5)),1)</f>
        <v>0</v>
      </c>
      <c r="G74" s="1" t="s">
        <v>31</v>
      </c>
      <c r="H74" s="1">
        <v>1.0</v>
      </c>
      <c r="I74" s="14">
        <v>60.0</v>
      </c>
      <c r="K74" s="3"/>
      <c r="L74" s="4"/>
    </row>
    <row r="75">
      <c r="C75" s="6">
        <f t="shared" si="20"/>
        <v>0</v>
      </c>
      <c r="D75" s="6">
        <f t="shared" si="25"/>
        <v>0</v>
      </c>
      <c r="G75" s="1" t="s">
        <v>59</v>
      </c>
      <c r="H75" s="1">
        <v>1.0</v>
      </c>
      <c r="I75" s="14">
        <v>45.0</v>
      </c>
      <c r="K75" s="3"/>
      <c r="L75" s="4"/>
    </row>
    <row r="76">
      <c r="C76" s="6">
        <f t="shared" si="20"/>
        <v>0</v>
      </c>
      <c r="D76" s="6">
        <f t="shared" si="25"/>
        <v>0</v>
      </c>
      <c r="G76" s="1" t="s">
        <v>60</v>
      </c>
      <c r="H76" s="1">
        <v>0.5</v>
      </c>
      <c r="I76" s="14">
        <v>300.0</v>
      </c>
      <c r="K76" s="3"/>
      <c r="L76" s="4"/>
    </row>
    <row r="77">
      <c r="C77" s="6">
        <f t="shared" si="20"/>
        <v>0</v>
      </c>
      <c r="D77" s="6">
        <f t="shared" si="25"/>
        <v>0</v>
      </c>
      <c r="I77" s="2"/>
      <c r="K77" s="3"/>
      <c r="L77" s="4"/>
    </row>
    <row r="78">
      <c r="C78" s="6">
        <f t="shared" si="20"/>
        <v>0</v>
      </c>
      <c r="D78" s="6">
        <f t="shared" si="25"/>
        <v>0</v>
      </c>
      <c r="I78" s="2"/>
      <c r="K78" s="3"/>
      <c r="L78" s="4"/>
    </row>
    <row r="79">
      <c r="C79" s="6">
        <f t="shared" si="20"/>
        <v>0</v>
      </c>
      <c r="D79" s="6">
        <f>round(if((I116*(1/(1+$B$5))-5)&lt;(I116/2),I116/2,I116*(1/(1+$B$5))-5),1)</f>
        <v>0</v>
      </c>
      <c r="I79" s="2"/>
      <c r="K79" s="3"/>
      <c r="L79" s="4"/>
    </row>
    <row r="80">
      <c r="C80" s="6">
        <f t="shared" si="20"/>
        <v>0</v>
      </c>
      <c r="D80" s="6">
        <f t="shared" ref="D80:D86" si="26">round(I117*(1/(1+$B$5)),1)</f>
        <v>0</v>
      </c>
      <c r="I80" s="2"/>
      <c r="K80" s="3"/>
      <c r="L80" s="4"/>
    </row>
    <row r="81">
      <c r="C81" s="6">
        <f t="shared" si="20"/>
        <v>0</v>
      </c>
      <c r="D81" s="6">
        <f t="shared" si="26"/>
        <v>0</v>
      </c>
      <c r="I81" s="2"/>
      <c r="K81" s="3"/>
      <c r="L81" s="4"/>
    </row>
    <row r="82">
      <c r="C82" s="6">
        <f t="shared" si="20"/>
        <v>0</v>
      </c>
      <c r="D82" s="6">
        <f t="shared" si="26"/>
        <v>0</v>
      </c>
      <c r="I82" s="2"/>
      <c r="K82" s="3"/>
      <c r="L82" s="4"/>
    </row>
    <row r="83">
      <c r="C83" s="6">
        <f t="shared" si="20"/>
        <v>0</v>
      </c>
      <c r="D83" s="6">
        <f t="shared" si="26"/>
        <v>0</v>
      </c>
      <c r="I83" s="2"/>
      <c r="K83" s="3"/>
      <c r="L83" s="4"/>
    </row>
    <row r="84">
      <c r="C84" s="6">
        <f t="shared" si="20"/>
        <v>0</v>
      </c>
      <c r="D84" s="6">
        <f t="shared" si="26"/>
        <v>0</v>
      </c>
      <c r="I84" s="2"/>
      <c r="K84" s="3"/>
      <c r="L84" s="4"/>
    </row>
    <row r="85">
      <c r="C85" s="6">
        <f t="shared" si="20"/>
        <v>0</v>
      </c>
      <c r="D85" s="6">
        <f t="shared" si="26"/>
        <v>0</v>
      </c>
      <c r="I85" s="2"/>
      <c r="K85" s="3"/>
      <c r="L85" s="4"/>
    </row>
    <row r="86">
      <c r="C86" s="6">
        <f t="shared" si="20"/>
        <v>0</v>
      </c>
      <c r="D86" s="6">
        <f t="shared" si="26"/>
        <v>0</v>
      </c>
      <c r="I86" s="2"/>
      <c r="K86" s="3"/>
      <c r="L86" s="4"/>
    </row>
    <row r="87">
      <c r="C87" s="6">
        <f t="shared" si="20"/>
        <v>0</v>
      </c>
      <c r="D87" s="6">
        <f>round(if((I124*(1/(1+$B$5))-25)&lt;(I124/2),I124/2,I124*(1/(1+$B$5))-25),1)</f>
        <v>0</v>
      </c>
      <c r="I87" s="2"/>
      <c r="K87" s="3"/>
      <c r="L87" s="4"/>
    </row>
    <row r="88">
      <c r="C88" s="6">
        <f t="shared" si="20"/>
        <v>0</v>
      </c>
      <c r="D88" s="6">
        <f t="shared" ref="D88:D89" si="27">round(I125*(1/(1+$B$5)),1)</f>
        <v>0</v>
      </c>
      <c r="I88" s="2"/>
      <c r="K88" s="3"/>
      <c r="L88" s="4"/>
    </row>
    <row r="89">
      <c r="C89" s="6">
        <f t="shared" si="20"/>
        <v>0</v>
      </c>
      <c r="D89" s="6">
        <f t="shared" si="27"/>
        <v>0</v>
      </c>
      <c r="I89" s="2"/>
      <c r="K89" s="3"/>
      <c r="L89" s="4"/>
    </row>
    <row r="90">
      <c r="I90" s="2"/>
      <c r="K90" s="3"/>
      <c r="L90" s="4"/>
    </row>
    <row r="91">
      <c r="B91" s="1" t="s">
        <v>61</v>
      </c>
      <c r="C91" s="15">
        <v>0.25</v>
      </c>
      <c r="D91" s="1">
        <v>13.8</v>
      </c>
      <c r="E91" s="1">
        <v>87364.0</v>
      </c>
      <c r="F91" s="1">
        <v>143732.0</v>
      </c>
      <c r="G91" s="1">
        <v>0.0</v>
      </c>
      <c r="H91" s="1">
        <v>0.0</v>
      </c>
      <c r="J91" s="5">
        <v>0.12</v>
      </c>
      <c r="K91" s="1">
        <v>0.333333333333333</v>
      </c>
      <c r="L91" s="7">
        <v>486268.0</v>
      </c>
      <c r="M91" s="16">
        <v>800012.0</v>
      </c>
      <c r="N91" s="17">
        <v>0.0</v>
      </c>
      <c r="O91" s="16">
        <v>0.0</v>
      </c>
      <c r="P91" s="13">
        <v>800012.0</v>
      </c>
      <c r="Q91" s="13">
        <v>681404.0</v>
      </c>
      <c r="R91" s="13">
        <v>1144632.0</v>
      </c>
      <c r="S91" s="13" t="s">
        <v>61</v>
      </c>
      <c r="T91" s="1">
        <v>48498.0</v>
      </c>
      <c r="U91" s="11">
        <f>$R91/($D91+$E91)</f>
        <v>13.09980338</v>
      </c>
    </row>
    <row r="92">
      <c r="B92" s="18" t="s">
        <v>62</v>
      </c>
      <c r="C92" s="1">
        <v>0.25</v>
      </c>
      <c r="D92" s="1">
        <v>13.8</v>
      </c>
      <c r="E92" s="6">
        <f>2*11739</f>
        <v>23478</v>
      </c>
      <c r="F92" s="6">
        <f>2*21800</f>
        <v>43600</v>
      </c>
      <c r="G92" s="1">
        <v>6521.0</v>
      </c>
      <c r="H92" s="1">
        <v>12111.0</v>
      </c>
      <c r="I92" s="2"/>
      <c r="J92" s="1">
        <v>12.0</v>
      </c>
      <c r="K92" s="12">
        <f>1/3</f>
        <v>0.3333333333</v>
      </c>
      <c r="L92" s="9">
        <f t="shared" ref="L92:L93" si="28">if(E92*($B$1+$I92)&lt;(F92+1),F92+1,E92*($I92+$B$1))</f>
        <v>137581.08</v>
      </c>
      <c r="M92" s="10">
        <f t="shared" ref="M92:M93" si="29">F92*($B$1+$I92)</f>
        <v>255496</v>
      </c>
      <c r="N92" s="9">
        <f t="shared" ref="N92:N93" si="30">if(if(G92*($B$1+$I92)&lt;(H92+1),H92+1,G92*($I92+$B$1))=1,0,if(G92*($B$1+$I92)&lt;(H92+1),H92+1,G92*($I92+$B$1)))</f>
        <v>38213.06</v>
      </c>
      <c r="O92" s="11">
        <f t="shared" ref="O92:O93" si="31">H92*($B$1+$I92)</f>
        <v>70970.46</v>
      </c>
      <c r="P92" s="11">
        <f t="shared" ref="P92:P93" si="32">M92+O92*K92*J92</f>
        <v>539377.84</v>
      </c>
      <c r="Q92" s="11">
        <f t="shared" ref="Q92:Q93" si="33">if($A92=1,$B$4,1)*((L92*E92+F92*M92)/(E92+F92)+if(G92&gt;0,(N92*G92+H92*O92)/(G92+H92)*J92*K92,0))</f>
        <v>452247.434</v>
      </c>
      <c r="R92" s="11">
        <f t="shared" ref="R92:R93" si="34">Q92/(C92+0.5*(1/(1+$B$5)))</f>
        <v>762726.1524</v>
      </c>
      <c r="S92" s="6" t="str">
        <f t="shared" ref="S92:S93" si="35">B92</f>
        <v>Flaming Weapons</v>
      </c>
      <c r="T92" s="11">
        <f t="shared" ref="T92:T93" si="36">$Q92/($C92+$D92)</f>
        <v>32188.42947</v>
      </c>
    </row>
    <row r="93">
      <c r="B93" s="18" t="s">
        <v>63</v>
      </c>
      <c r="C93" s="1">
        <v>0.25</v>
      </c>
      <c r="D93" s="1">
        <v>13.8</v>
      </c>
      <c r="E93" s="1">
        <v>25441.0</v>
      </c>
      <c r="F93" s="1">
        <v>41263.0</v>
      </c>
      <c r="I93" s="2"/>
      <c r="K93" s="3"/>
      <c r="L93" s="9">
        <f t="shared" si="28"/>
        <v>149084.26</v>
      </c>
      <c r="M93" s="10">
        <f t="shared" si="29"/>
        <v>241801.18</v>
      </c>
      <c r="N93" s="9">
        <f t="shared" si="30"/>
        <v>0</v>
      </c>
      <c r="O93" s="11">
        <f t="shared" si="31"/>
        <v>0</v>
      </c>
      <c r="P93" s="11">
        <f t="shared" si="32"/>
        <v>241801.18</v>
      </c>
      <c r="Q93" s="11">
        <f t="shared" si="33"/>
        <v>206438.8155</v>
      </c>
      <c r="R93" s="11">
        <f t="shared" si="34"/>
        <v>348164.0173</v>
      </c>
      <c r="S93" s="6" t="str">
        <f t="shared" si="35"/>
        <v>blazing shot</v>
      </c>
      <c r="T93" s="11">
        <f t="shared" si="36"/>
        <v>14693.15413</v>
      </c>
    </row>
    <row r="94">
      <c r="I94" s="2"/>
      <c r="K94" s="3"/>
      <c r="L94" s="4"/>
    </row>
    <row r="95">
      <c r="L95" s="3"/>
      <c r="M95" s="9">
        <f>if(E16*($B$1+$J95)&lt;(F16+1),F16+1,E16*($J95+$B$1))</f>
        <v>213708.34</v>
      </c>
      <c r="N95" s="10">
        <f>F16*($B$1+$J95)</f>
        <v>318285.9</v>
      </c>
      <c r="O95" s="9">
        <f t="shared" ref="O95:O96" si="37">if(if(H95*($B$1+$J95)&lt;(I95+1),I95+1,H95*($J95+$B$1))=1,0,if(H95*($B$1+$J95)&lt;(I95+1),I95+1,H95*($J95+$B$1)))</f>
        <v>0</v>
      </c>
      <c r="P95" s="11">
        <f t="shared" ref="P95:P96" si="38">I95*($B$1+$J95)</f>
        <v>0</v>
      </c>
      <c r="Q95" s="11">
        <f t="shared" ref="Q95:Q96" si="39">N95+P95*L95*K95</f>
        <v>318285.9</v>
      </c>
      <c r="R95" s="11">
        <f>if($A16=1,$B$4,1)*((M95*E16+F16*N95)/(E16+F16)+if(H95&gt;0,(O95*H95+I95*P95)/(H95+I95)*K95*L95,0))</f>
        <v>276275.8648</v>
      </c>
      <c r="S95" s="11">
        <f>R95/(C16+0.5*(1/(1+$B$5)))</f>
        <v>252783.314</v>
      </c>
      <c r="T95" s="6" t="str">
        <f>B16</f>
        <v>rear shot</v>
      </c>
      <c r="U95" s="11">
        <f>$R95/(($C16+$D16))</f>
        <v>6554.58754</v>
      </c>
    </row>
    <row r="96">
      <c r="B96" s="1">
        <v>1.0</v>
      </c>
      <c r="C96" s="1" t="s">
        <v>28</v>
      </c>
      <c r="D96" s="1">
        <v>0.75</v>
      </c>
      <c r="E96" s="1">
        <v>62.2</v>
      </c>
      <c r="F96" s="6">
        <f>22709+34619</f>
        <v>57328</v>
      </c>
      <c r="G96" s="6">
        <f>34300+53019</f>
        <v>87319</v>
      </c>
      <c r="L96" s="3"/>
      <c r="M96" s="9">
        <f>if(F96*($B$1+$J96)&lt;(G96+1),G96+1,F96*($J96+$B$1))</f>
        <v>335942.08</v>
      </c>
      <c r="N96" s="10">
        <f>G96*($B$1+$J96)</f>
        <v>511689.34</v>
      </c>
      <c r="O96" s="9">
        <f t="shared" si="37"/>
        <v>0</v>
      </c>
      <c r="P96" s="11">
        <f t="shared" si="38"/>
        <v>0</v>
      </c>
      <c r="Q96" s="11">
        <f t="shared" si="39"/>
        <v>511689.34</v>
      </c>
      <c r="R96" s="11">
        <f>if($B96=1,$B$4,1)*((M96*F96+G96*N96)/(F96+G96)+if(H96&gt;0,(O96*H96+I96*P96)/(H96+I96)*K96*L96,0))</f>
        <v>1768141.449</v>
      </c>
      <c r="S96" s="11">
        <f>R96/(D96+0.5*(1/(1+$B$5)))</f>
        <v>1617791.172</v>
      </c>
      <c r="T96" s="6" t="str">
        <f>C96</f>
        <v>hidden assault</v>
      </c>
      <c r="U96" s="11">
        <f>$R96/(($D96+$E96))</f>
        <v>28088.02937</v>
      </c>
    </row>
    <row r="97">
      <c r="D97" s="1" t="s">
        <v>64</v>
      </c>
      <c r="E97" s="1">
        <v>1.0</v>
      </c>
      <c r="F97" s="1">
        <v>124.3</v>
      </c>
      <c r="G97" s="6">
        <f>22208+33820</f>
        <v>56028</v>
      </c>
      <c r="H97" s="6">
        <f>33533+51796</f>
        <v>85329</v>
      </c>
      <c r="K97" s="2"/>
      <c r="N97" s="11">
        <f>if(G97*($B$1+$K97)&lt;(H97+1),H97+1,G97*($K97+$B$1))</f>
        <v>328324.08</v>
      </c>
      <c r="O97" s="11">
        <f>H97*($B$1+$K97)</f>
        <v>500027.94</v>
      </c>
      <c r="P97" s="11">
        <f>if(if(I97*($B$1+$K97)&lt;(J97+1),J97+1,I97*($K97+$B$1))=1,0,if(I97*($B$1+$K97)&lt;(J97+1),J97+1,I97*($K97+$B$1)))</f>
        <v>0</v>
      </c>
      <c r="Q97" s="11">
        <f>J97*($B$1+$K97)</f>
        <v>0</v>
      </c>
      <c r="R97" s="11">
        <f>O97+Q97*M97*L97</f>
        <v>500027.94</v>
      </c>
      <c r="S97" s="11">
        <f>if($C97=1,$B$4,1)*((N97*G97+H97*O97)/(G97+H97)+if(I97&gt;0,(P97*I97+J97*Q97)/(I97+J97)*L97*M97,0))</f>
        <v>431971.7145</v>
      </c>
      <c r="T97" s="11">
        <f>S97/(E97+0.5*(1/(1+$B$5)))</f>
        <v>321662.2879</v>
      </c>
      <c r="U97" s="6" t="str">
        <f>D97</f>
        <v>storm of arrows</v>
      </c>
      <c r="V97" s="11">
        <f>$S97/(($E97+$F97))</f>
        <v>3447.499717</v>
      </c>
    </row>
    <row r="98">
      <c r="B98" s="1">
        <v>1.0</v>
      </c>
      <c r="C98" s="1" t="s">
        <v>65</v>
      </c>
      <c r="D98" s="1">
        <v>1.5</v>
      </c>
      <c r="E98" s="1">
        <v>60.0</v>
      </c>
      <c r="F98" s="1">
        <v>65565.0</v>
      </c>
      <c r="G98" s="1">
        <v>77676.0</v>
      </c>
      <c r="J98" s="19">
        <v>0.2</v>
      </c>
      <c r="L98" s="3"/>
      <c r="M98" s="9">
        <f>if(F98*($B$1+$J98)&lt;(G98+1),G98+1,F98*($J98+$B$1))</f>
        <v>397323.9</v>
      </c>
      <c r="N98" s="10">
        <f>G98*($B$1+$J98)</f>
        <v>470716.56</v>
      </c>
      <c r="O98" s="9">
        <f>if(if(H98*($B$1+$J98)&lt;(I98+1),I98+1,H98*($J98+$B$1))=1,0,if(H98*($B$1+$J98)&lt;(I98+1),I98+1,H98*($J98+$B$1)))</f>
        <v>0</v>
      </c>
      <c r="P98" s="11">
        <f>I98*($B$1+$J98)</f>
        <v>0</v>
      </c>
      <c r="Q98" s="11">
        <f>N98+P98*L98*K98</f>
        <v>470716.56</v>
      </c>
      <c r="R98" s="11">
        <f>if($B98=1,$B$4,1)*((M98*F98+G98*N98)/(F98+G98)+if(H98&gt;0,(O98*H98+I98*P98)/(H98+I98)*K98*L98,0))</f>
        <v>1748491.592</v>
      </c>
      <c r="S98" s="11">
        <f>R98/(D98+0.5*(1/(1+$B$5)))</f>
        <v>948753.532</v>
      </c>
      <c r="T98" s="6" t="str">
        <f>C98</f>
        <v>stream of arrows</v>
      </c>
      <c r="U98" s="11">
        <f>$R98/(($D98+$E98))</f>
        <v>28430.75759</v>
      </c>
    </row>
    <row r="99">
      <c r="A99" s="1">
        <v>0.0</v>
      </c>
      <c r="B99" s="1" t="s">
        <v>66</v>
      </c>
      <c r="C99" s="1">
        <v>4.0</v>
      </c>
      <c r="D99" s="1">
        <v>0.0</v>
      </c>
      <c r="E99" s="1">
        <v>6872.0</v>
      </c>
      <c r="F99" s="1">
        <v>25248.0</v>
      </c>
      <c r="K99" s="3"/>
      <c r="L99" s="9">
        <f t="shared" ref="L99:L100" si="40">if(E99*($B$1+$I99)&lt;(F99+1),F99+1,E99*($I99+$B$1))</f>
        <v>40269.92</v>
      </c>
      <c r="M99" s="10">
        <f t="shared" ref="M99:M100" si="41">F99*($B$1+$I99)</f>
        <v>147953.28</v>
      </c>
      <c r="N99" s="9">
        <f t="shared" ref="N99:N100" si="42">if(if(G99*($B$1+$I99)&lt;(H99+1),H99+1,G99*($I99+$B$1))=1,0,if(G99*($B$1+$I99)&lt;(H99+1),H99+1,G99*($I99+$B$1)))</f>
        <v>0</v>
      </c>
      <c r="O99" s="11">
        <f t="shared" ref="O99:O100" si="43">H99*($B$1+$I99)</f>
        <v>0</v>
      </c>
      <c r="P99" s="11">
        <f t="shared" ref="P99:P100" si="44">M99+O99*K99*J99</f>
        <v>147953.28</v>
      </c>
      <c r="Q99" s="11">
        <f t="shared" ref="Q99:Q100" si="45">if($A99=1,$B$4,1)*((L99*E99+F99*M99)/(E99+F99)+if(G99&gt;0,(N99*G99+H99*O99)/(G99+H99)*J99*K99,0))</f>
        <v>124914.6732</v>
      </c>
      <c r="R99" s="11">
        <f t="shared" ref="R99:R100" si="46">Q99/(C99+0.5*(1/(1+$B$5)))</f>
        <v>28762.72798</v>
      </c>
      <c r="S99" s="6" t="str">
        <f t="shared" ref="S99:S100" si="47">B99</f>
        <v>Hullpiercer</v>
      </c>
      <c r="T99" s="11">
        <f t="shared" ref="T99:T100" si="48">$Q99/($C99+$D99)</f>
        <v>31228.6683</v>
      </c>
    </row>
    <row r="100">
      <c r="A100" s="1">
        <v>0.0</v>
      </c>
      <c r="B100" s="1" t="s">
        <v>67</v>
      </c>
      <c r="C100" s="1">
        <v>4.0</v>
      </c>
      <c r="D100" s="1">
        <v>0.0</v>
      </c>
      <c r="E100" s="1">
        <v>7251.0</v>
      </c>
      <c r="F100" s="1">
        <v>25248.0</v>
      </c>
      <c r="K100" s="3"/>
      <c r="L100" s="9">
        <f t="shared" si="40"/>
        <v>42490.86</v>
      </c>
      <c r="M100" s="10">
        <f t="shared" si="41"/>
        <v>147953.28</v>
      </c>
      <c r="N100" s="9">
        <f t="shared" si="42"/>
        <v>0</v>
      </c>
      <c r="O100" s="11">
        <f t="shared" si="43"/>
        <v>0</v>
      </c>
      <c r="P100" s="11">
        <f t="shared" si="44"/>
        <v>147953.28</v>
      </c>
      <c r="Q100" s="11">
        <f t="shared" si="45"/>
        <v>124423.0788</v>
      </c>
      <c r="R100" s="11">
        <f t="shared" si="46"/>
        <v>28649.53395</v>
      </c>
      <c r="S100" s="6" t="str">
        <f t="shared" si="47"/>
        <v>Metallic longbow</v>
      </c>
      <c r="T100" s="11">
        <f t="shared" si="48"/>
        <v>31105.76971</v>
      </c>
    </row>
    <row r="101">
      <c r="I101" s="2"/>
      <c r="K101" s="3"/>
      <c r="L101" s="4"/>
    </row>
  </sheetData>
  <autoFilter ref="$A$7:$T$4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20" t="s">
        <v>68</v>
      </c>
      <c r="B1" s="2">
        <f>1.3+5.81</f>
        <v>7.11</v>
      </c>
      <c r="I1" s="2"/>
      <c r="K1" s="3"/>
      <c r="L1" s="4"/>
    </row>
    <row r="2">
      <c r="A2" s="1" t="s">
        <v>1</v>
      </c>
      <c r="B2" s="5">
        <v>0.704</v>
      </c>
      <c r="I2" s="2"/>
      <c r="K2" s="3"/>
      <c r="L2" s="4"/>
    </row>
    <row r="3">
      <c r="A3" s="1" t="s">
        <v>2</v>
      </c>
      <c r="B3" s="19">
        <v>0.331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71</v>
      </c>
      <c r="C8" s="1">
        <v>0.5</v>
      </c>
      <c r="D8" s="1">
        <v>20.0</v>
      </c>
      <c r="E8" s="1">
        <v>40634.0</v>
      </c>
      <c r="F8" s="1">
        <v>48795.0</v>
      </c>
      <c r="G8" s="6">
        <f t="shared" ref="G8:H8" si="1">E8</f>
        <v>40634</v>
      </c>
      <c r="H8" s="6">
        <f t="shared" si="1"/>
        <v>48795</v>
      </c>
      <c r="I8" s="2"/>
      <c r="J8" s="1">
        <v>4.0</v>
      </c>
      <c r="K8" s="7">
        <v>1.0</v>
      </c>
      <c r="L8" s="9">
        <f t="shared" ref="L8:L31" si="3">if(E8*($B$1+$I8)&lt;(F8+1),F8+1,E8*($I8+$B$1))</f>
        <v>288907.74</v>
      </c>
      <c r="M8" s="10">
        <f t="shared" ref="M8:M31" si="4">F8*($B$1+$I8)</f>
        <v>346932.45</v>
      </c>
      <c r="N8" s="9">
        <f t="shared" ref="N8:N31" si="5">if(if(G8*($B$1+$I8)&lt;(H8+1),H8+1,G8*($I8+$B$1))=1,0,if(G8*($B$1+$I8)&lt;(H8+1),H8+1,G8*($I8+$B$1)))</f>
        <v>288907.74</v>
      </c>
      <c r="O8" s="11">
        <f t="shared" ref="O8:O31" si="6">H8*($B$1+$I8)</f>
        <v>346932.45</v>
      </c>
      <c r="P8" s="11">
        <f t="shared" ref="P8:P31" si="7">M8+O8*K8*J8</f>
        <v>1734662.25</v>
      </c>
      <c r="Q8" s="11">
        <f t="shared" ref="Q8:Q31" si="8">(if($A8=1,$B$4,1)*((L8*E8+F8*M8)/(E8+F8)+if(G8&gt;0,(N8*G8+H8*O8)/(G8+H8)*J8*K8,0)))*(if($U8=0,1+$B$3,1))</f>
        <v>2133377.832</v>
      </c>
      <c r="R8" s="11">
        <f t="shared" ref="R8:R31" si="9">Q8/(C8+0.5*(1/(1+$B$5)))</f>
        <v>2133377.832</v>
      </c>
      <c r="S8" s="6" t="str">
        <f t="shared" ref="S8:S31" si="10">B8</f>
        <v>Psychic Trauma</v>
      </c>
      <c r="T8" s="11">
        <f t="shared" ref="T8:T9" si="11">$Q8/(($C8+$D8))</f>
        <v>104067.2113</v>
      </c>
    </row>
    <row r="9">
      <c r="B9" s="1" t="s">
        <v>72</v>
      </c>
      <c r="C9" s="1">
        <v>0.75</v>
      </c>
      <c r="D9" s="1">
        <v>30.0</v>
      </c>
      <c r="E9" s="1">
        <v>16991.0</v>
      </c>
      <c r="F9" s="1">
        <v>28743.0</v>
      </c>
      <c r="G9" s="6">
        <f t="shared" ref="G9:H9" si="2">E9</f>
        <v>16991</v>
      </c>
      <c r="H9" s="6">
        <f t="shared" si="2"/>
        <v>28743</v>
      </c>
      <c r="I9" s="2"/>
      <c r="J9" s="1">
        <v>12.0</v>
      </c>
      <c r="K9" s="7">
        <v>1.0</v>
      </c>
      <c r="L9" s="9">
        <f t="shared" si="3"/>
        <v>120806.01</v>
      </c>
      <c r="M9" s="10">
        <f t="shared" si="4"/>
        <v>204362.73</v>
      </c>
      <c r="N9" s="9">
        <f t="shared" si="5"/>
        <v>120806.01</v>
      </c>
      <c r="O9" s="11">
        <f t="shared" si="6"/>
        <v>204362.73</v>
      </c>
      <c r="P9" s="11">
        <f t="shared" si="7"/>
        <v>2656715.49</v>
      </c>
      <c r="Q9" s="11">
        <f t="shared" si="8"/>
        <v>2998954.441</v>
      </c>
      <c r="R9" s="11">
        <f t="shared" si="9"/>
        <v>2399163.553</v>
      </c>
      <c r="S9" s="6" t="str">
        <f t="shared" si="10"/>
        <v>Ether Balance</v>
      </c>
      <c r="T9" s="11">
        <f t="shared" si="11"/>
        <v>97526.97368</v>
      </c>
    </row>
    <row r="10">
      <c r="B10" s="1" t="s">
        <v>73</v>
      </c>
      <c r="C10" s="1">
        <v>0.5</v>
      </c>
      <c r="D10" s="1">
        <v>24.0</v>
      </c>
      <c r="E10" s="1">
        <v>31651.0</v>
      </c>
      <c r="F10" s="1">
        <v>33666.0</v>
      </c>
      <c r="G10" s="1">
        <v>10494.0</v>
      </c>
      <c r="H10" s="1">
        <v>12509.0</v>
      </c>
      <c r="I10" s="2"/>
      <c r="J10" s="1">
        <v>24.0</v>
      </c>
      <c r="K10" s="12">
        <f>1/4</f>
        <v>0.25</v>
      </c>
      <c r="L10" s="9">
        <f t="shared" si="3"/>
        <v>225038.61</v>
      </c>
      <c r="M10" s="10">
        <f t="shared" si="4"/>
        <v>239365.26</v>
      </c>
      <c r="N10" s="9">
        <f t="shared" si="5"/>
        <v>74612.34</v>
      </c>
      <c r="O10" s="11">
        <f t="shared" si="6"/>
        <v>88938.99</v>
      </c>
      <c r="P10" s="11">
        <f t="shared" si="7"/>
        <v>772999.2</v>
      </c>
      <c r="Q10" s="11">
        <f t="shared" si="8"/>
        <v>967426.4846</v>
      </c>
      <c r="R10" s="11">
        <f t="shared" si="9"/>
        <v>967426.4846</v>
      </c>
      <c r="S10" s="6" t="str">
        <f t="shared" si="10"/>
        <v>Brainshock</v>
      </c>
      <c r="T10" s="11">
        <f t="shared" ref="T10:T16" si="13">$Q10/(($C10+if($D10&lt;=$J10,$J10,$D10)))</f>
        <v>39486.79529</v>
      </c>
    </row>
    <row r="11">
      <c r="B11" s="1" t="s">
        <v>74</v>
      </c>
      <c r="C11" s="1">
        <v>0.75</v>
      </c>
      <c r="D11" s="1">
        <v>10.0</v>
      </c>
      <c r="E11" s="1">
        <v>16553.0</v>
      </c>
      <c r="F11" s="1">
        <v>19731.0</v>
      </c>
      <c r="G11" s="6">
        <f t="shared" ref="G11:H11" si="12">E11</f>
        <v>16553</v>
      </c>
      <c r="H11" s="6">
        <f t="shared" si="12"/>
        <v>19731</v>
      </c>
      <c r="I11" s="2"/>
      <c r="J11" s="1">
        <v>8.0</v>
      </c>
      <c r="K11" s="7">
        <v>1.0</v>
      </c>
      <c r="L11" s="9">
        <f t="shared" si="3"/>
        <v>117691.83</v>
      </c>
      <c r="M11" s="10">
        <f t="shared" si="4"/>
        <v>140287.41</v>
      </c>
      <c r="N11" s="9">
        <f t="shared" si="5"/>
        <v>117691.83</v>
      </c>
      <c r="O11" s="11">
        <f t="shared" si="6"/>
        <v>140287.41</v>
      </c>
      <c r="P11" s="11">
        <f t="shared" si="7"/>
        <v>1262586.69</v>
      </c>
      <c r="Q11" s="11">
        <f t="shared" si="8"/>
        <v>1557020.327</v>
      </c>
      <c r="R11" s="11">
        <f t="shared" si="9"/>
        <v>1245616.262</v>
      </c>
      <c r="S11" s="6" t="str">
        <f t="shared" si="10"/>
        <v>Hostage</v>
      </c>
      <c r="T11" s="11">
        <f t="shared" si="13"/>
        <v>144839.1002</v>
      </c>
    </row>
    <row r="12">
      <c r="B12" s="1" t="s">
        <v>75</v>
      </c>
      <c r="C12" s="1">
        <v>0.51</v>
      </c>
      <c r="D12" s="1">
        <v>7.5</v>
      </c>
      <c r="E12" s="1">
        <v>17894.0</v>
      </c>
      <c r="F12" s="1">
        <v>21335.0</v>
      </c>
      <c r="G12" s="6">
        <f t="shared" ref="G12:H12" si="14">E12</f>
        <v>17894</v>
      </c>
      <c r="H12" s="6">
        <f t="shared" si="14"/>
        <v>21335</v>
      </c>
      <c r="I12" s="2"/>
      <c r="J12" s="1">
        <v>3.0</v>
      </c>
      <c r="K12" s="7">
        <v>1.0</v>
      </c>
      <c r="L12" s="9">
        <f t="shared" si="3"/>
        <v>127226.34</v>
      </c>
      <c r="M12" s="10">
        <f t="shared" si="4"/>
        <v>151691.85</v>
      </c>
      <c r="N12" s="9">
        <f t="shared" si="5"/>
        <v>127226.34</v>
      </c>
      <c r="O12" s="11">
        <f t="shared" si="6"/>
        <v>151691.85</v>
      </c>
      <c r="P12" s="11">
        <f t="shared" si="7"/>
        <v>606767.4</v>
      </c>
      <c r="Q12" s="11">
        <f t="shared" si="8"/>
        <v>748192.9</v>
      </c>
      <c r="R12" s="11">
        <f t="shared" si="9"/>
        <v>740785.0495</v>
      </c>
      <c r="S12" s="6" t="str">
        <f t="shared" si="10"/>
        <v>Destructive Mind</v>
      </c>
      <c r="T12" s="11">
        <f t="shared" si="13"/>
        <v>93407.3533</v>
      </c>
    </row>
    <row r="13">
      <c r="B13" s="1" t="s">
        <v>76</v>
      </c>
      <c r="C13" s="1">
        <v>0.25</v>
      </c>
      <c r="D13" s="1">
        <v>30.0</v>
      </c>
      <c r="E13" s="1">
        <v>28273.0</v>
      </c>
      <c r="F13" s="1">
        <v>47872.0</v>
      </c>
      <c r="I13" s="2"/>
      <c r="K13" s="3"/>
      <c r="L13" s="9">
        <f t="shared" si="3"/>
        <v>201021.03</v>
      </c>
      <c r="M13" s="10">
        <f t="shared" si="4"/>
        <v>340369.92</v>
      </c>
      <c r="N13" s="9">
        <f t="shared" si="5"/>
        <v>0</v>
      </c>
      <c r="O13" s="11">
        <f t="shared" si="6"/>
        <v>0</v>
      </c>
      <c r="P13" s="11">
        <f t="shared" si="7"/>
        <v>340369.92</v>
      </c>
      <c r="Q13" s="11">
        <f t="shared" si="8"/>
        <v>384165.2197</v>
      </c>
      <c r="R13" s="11">
        <f t="shared" si="9"/>
        <v>512220.293</v>
      </c>
      <c r="S13" s="6" t="str">
        <f t="shared" si="10"/>
        <v>Bewilderment</v>
      </c>
      <c r="T13" s="11">
        <f t="shared" si="13"/>
        <v>12699.67669</v>
      </c>
    </row>
    <row r="14">
      <c r="B14" s="1" t="s">
        <v>77</v>
      </c>
      <c r="C14" s="1">
        <v>0.5</v>
      </c>
      <c r="D14" s="1">
        <v>3.0</v>
      </c>
      <c r="E14" s="1">
        <v>23409.0</v>
      </c>
      <c r="F14" s="1">
        <v>27903.0</v>
      </c>
      <c r="G14" s="1">
        <v>6688.0</v>
      </c>
      <c r="H14" s="1">
        <v>7972.0</v>
      </c>
      <c r="I14" s="2"/>
      <c r="J14" s="1">
        <v>24.0</v>
      </c>
      <c r="K14" s="12">
        <f>1/4</f>
        <v>0.25</v>
      </c>
      <c r="L14" s="9">
        <f t="shared" si="3"/>
        <v>166437.99</v>
      </c>
      <c r="M14" s="10">
        <f t="shared" si="4"/>
        <v>198390.33</v>
      </c>
      <c r="N14" s="9">
        <f t="shared" si="5"/>
        <v>47551.68</v>
      </c>
      <c r="O14" s="11">
        <f t="shared" si="6"/>
        <v>56680.92</v>
      </c>
      <c r="P14" s="11">
        <f t="shared" si="7"/>
        <v>538475.85</v>
      </c>
      <c r="Q14" s="11">
        <f t="shared" si="8"/>
        <v>664049.1345</v>
      </c>
      <c r="R14" s="11">
        <f t="shared" si="9"/>
        <v>664049.1345</v>
      </c>
      <c r="S14" s="6" t="str">
        <f t="shared" si="10"/>
        <v>Asylum</v>
      </c>
      <c r="T14" s="11">
        <f t="shared" si="13"/>
        <v>27104.04631</v>
      </c>
    </row>
    <row r="15">
      <c r="B15" s="1" t="s">
        <v>78</v>
      </c>
      <c r="C15" s="1">
        <v>0.5</v>
      </c>
      <c r="D15" s="1">
        <v>4.0</v>
      </c>
      <c r="E15" s="1">
        <v>31651.0</v>
      </c>
      <c r="F15" s="1">
        <v>33666.0</v>
      </c>
      <c r="G15" s="1">
        <v>10494.0</v>
      </c>
      <c r="H15" s="1">
        <v>12509.0</v>
      </c>
      <c r="I15" s="2"/>
      <c r="J15" s="1">
        <v>1.0</v>
      </c>
      <c r="K15" s="7">
        <v>1.0</v>
      </c>
      <c r="L15" s="9">
        <f t="shared" si="3"/>
        <v>225038.61</v>
      </c>
      <c r="M15" s="10">
        <f t="shared" si="4"/>
        <v>239365.26</v>
      </c>
      <c r="N15" s="9">
        <f t="shared" si="5"/>
        <v>74612.34</v>
      </c>
      <c r="O15" s="11">
        <f t="shared" si="6"/>
        <v>88938.99</v>
      </c>
      <c r="P15" s="11">
        <f t="shared" si="7"/>
        <v>328304.25</v>
      </c>
      <c r="Q15" s="11">
        <f t="shared" si="8"/>
        <v>419033.5032</v>
      </c>
      <c r="R15" s="11">
        <f t="shared" si="9"/>
        <v>419033.5032</v>
      </c>
      <c r="S15" s="6" t="str">
        <f t="shared" si="10"/>
        <v>Brainshock spam</v>
      </c>
      <c r="T15" s="11">
        <f t="shared" si="13"/>
        <v>93118.55628</v>
      </c>
      <c r="U15" s="11"/>
    </row>
    <row r="16">
      <c r="A16" s="1">
        <v>1.0</v>
      </c>
      <c r="B16" s="1" t="s">
        <v>79</v>
      </c>
      <c r="C16" s="1">
        <v>1.0</v>
      </c>
      <c r="D16" s="1">
        <v>10.0</v>
      </c>
      <c r="E16" s="1">
        <v>13002.0</v>
      </c>
      <c r="F16" s="1">
        <v>15503.0</v>
      </c>
      <c r="G16" s="6">
        <f t="shared" ref="G16:H16" si="15">E16</f>
        <v>13002</v>
      </c>
      <c r="H16" s="6">
        <f t="shared" si="15"/>
        <v>15503</v>
      </c>
      <c r="I16" s="2"/>
      <c r="J16" s="1">
        <v>5.0</v>
      </c>
      <c r="K16" s="7">
        <v>1.0</v>
      </c>
      <c r="L16" s="9">
        <f t="shared" si="3"/>
        <v>92444.22</v>
      </c>
      <c r="M16" s="10">
        <f t="shared" si="4"/>
        <v>110226.33</v>
      </c>
      <c r="N16" s="9">
        <f t="shared" si="5"/>
        <v>92444.22</v>
      </c>
      <c r="O16" s="11">
        <f t="shared" si="6"/>
        <v>110226.33</v>
      </c>
      <c r="P16" s="11">
        <f t="shared" si="7"/>
        <v>661357.98</v>
      </c>
      <c r="Q16" s="11">
        <f t="shared" si="8"/>
        <v>815493.3226</v>
      </c>
      <c r="R16" s="11">
        <f t="shared" si="9"/>
        <v>543662.215</v>
      </c>
      <c r="S16" s="6" t="str">
        <f t="shared" si="10"/>
        <v>Spell Curse</v>
      </c>
      <c r="T16" s="11">
        <f t="shared" si="13"/>
        <v>74135.7566</v>
      </c>
    </row>
    <row r="17">
      <c r="B17" s="1" t="s">
        <v>80</v>
      </c>
      <c r="C17" s="1">
        <v>0.91</v>
      </c>
      <c r="D17" s="1">
        <v>60.0</v>
      </c>
      <c r="E17" s="1">
        <v>55163.0</v>
      </c>
      <c r="F17" s="1">
        <v>61692.0</v>
      </c>
      <c r="K17" s="3"/>
      <c r="L17" s="9">
        <f t="shared" si="3"/>
        <v>392208.93</v>
      </c>
      <c r="M17" s="10">
        <f t="shared" si="4"/>
        <v>438630.12</v>
      </c>
      <c r="N17" s="9">
        <f t="shared" si="5"/>
        <v>0</v>
      </c>
      <c r="O17" s="11">
        <f t="shared" si="6"/>
        <v>0</v>
      </c>
      <c r="P17" s="11">
        <f t="shared" si="7"/>
        <v>438630.12</v>
      </c>
      <c r="Q17" s="11">
        <f t="shared" si="8"/>
        <v>554649.4788</v>
      </c>
      <c r="R17" s="11">
        <f t="shared" si="9"/>
        <v>393368.4247</v>
      </c>
      <c r="S17" s="6" t="str">
        <f t="shared" si="10"/>
        <v>Master Strike</v>
      </c>
      <c r="T17" s="11">
        <f>$Q17/(($C17+$D17))</f>
        <v>9106.049562</v>
      </c>
    </row>
    <row r="18">
      <c r="B18" s="1" t="s">
        <v>81</v>
      </c>
      <c r="C18" s="1">
        <v>1.0</v>
      </c>
      <c r="D18" s="1">
        <v>12.5</v>
      </c>
      <c r="E18" s="1">
        <v>25024.0</v>
      </c>
      <c r="F18" s="1">
        <v>29836.0</v>
      </c>
      <c r="G18" s="1">
        <v>3336.0</v>
      </c>
      <c r="H18" s="1">
        <v>3978.0</v>
      </c>
      <c r="I18" s="2"/>
      <c r="J18" s="1">
        <v>18.0</v>
      </c>
      <c r="K18" s="12">
        <f>1/2.2</f>
        <v>0.4545454545</v>
      </c>
      <c r="L18" s="9">
        <f t="shared" si="3"/>
        <v>177920.64</v>
      </c>
      <c r="M18" s="10">
        <f t="shared" si="4"/>
        <v>212133.96</v>
      </c>
      <c r="N18" s="9">
        <f t="shared" si="5"/>
        <v>23718.96</v>
      </c>
      <c r="O18" s="11">
        <f t="shared" si="6"/>
        <v>28283.58</v>
      </c>
      <c r="P18" s="11">
        <f t="shared" si="7"/>
        <v>443545.0691</v>
      </c>
      <c r="Q18" s="11">
        <f t="shared" si="8"/>
        <v>546913.9652</v>
      </c>
      <c r="R18" s="11">
        <f t="shared" si="9"/>
        <v>364609.3101</v>
      </c>
      <c r="S18" s="6" t="str">
        <f t="shared" si="10"/>
        <v>Silence</v>
      </c>
      <c r="T18" s="11">
        <f t="shared" ref="T18:T23" si="16">$Q18/(($C18+if($D18&lt;=$J18,$J18,$D18)))</f>
        <v>28784.94553</v>
      </c>
    </row>
    <row r="19">
      <c r="B19" s="1" t="s">
        <v>82</v>
      </c>
      <c r="C19" s="1">
        <v>0.25</v>
      </c>
      <c r="D19" s="1">
        <v>6.0</v>
      </c>
      <c r="E19" s="1">
        <v>25930.0</v>
      </c>
      <c r="F19" s="1">
        <v>40305.0</v>
      </c>
      <c r="I19" s="2"/>
      <c r="J19" s="1">
        <v>5.0</v>
      </c>
      <c r="K19" s="7">
        <v>1.0</v>
      </c>
      <c r="L19" s="9">
        <f t="shared" si="3"/>
        <v>184362.3</v>
      </c>
      <c r="M19" s="10">
        <f t="shared" si="4"/>
        <v>286568.55</v>
      </c>
      <c r="N19" s="9">
        <f t="shared" si="5"/>
        <v>0</v>
      </c>
      <c r="O19" s="11">
        <f t="shared" si="6"/>
        <v>0</v>
      </c>
      <c r="P19" s="11">
        <f t="shared" si="7"/>
        <v>286568.55</v>
      </c>
      <c r="Q19" s="11">
        <f t="shared" si="8"/>
        <v>328166.5019</v>
      </c>
      <c r="R19" s="11">
        <f t="shared" si="9"/>
        <v>437555.3359</v>
      </c>
      <c r="S19" s="6" t="str">
        <f t="shared" si="10"/>
        <v>Counterblade</v>
      </c>
      <c r="T19" s="11">
        <f t="shared" si="16"/>
        <v>52506.64031</v>
      </c>
    </row>
    <row r="20">
      <c r="B20" s="1" t="s">
        <v>83</v>
      </c>
      <c r="C20" s="1">
        <v>0.5</v>
      </c>
      <c r="D20" s="1">
        <v>3.0</v>
      </c>
      <c r="E20" s="1">
        <v>23409.0</v>
      </c>
      <c r="F20" s="1">
        <v>27903.0</v>
      </c>
      <c r="G20" s="1">
        <v>6688.0</v>
      </c>
      <c r="H20" s="1">
        <v>7972.0</v>
      </c>
      <c r="I20" s="2"/>
      <c r="J20" s="1">
        <v>1.0</v>
      </c>
      <c r="K20" s="7">
        <v>1.0</v>
      </c>
      <c r="L20" s="9">
        <f t="shared" si="3"/>
        <v>166437.99</v>
      </c>
      <c r="M20" s="10">
        <f t="shared" si="4"/>
        <v>198390.33</v>
      </c>
      <c r="N20" s="9">
        <f t="shared" si="5"/>
        <v>47551.68</v>
      </c>
      <c r="O20" s="11">
        <f t="shared" si="6"/>
        <v>56680.92</v>
      </c>
      <c r="P20" s="11">
        <f t="shared" si="7"/>
        <v>255071.25</v>
      </c>
      <c r="Q20" s="11">
        <f t="shared" si="8"/>
        <v>314554.5326</v>
      </c>
      <c r="R20" s="11">
        <f t="shared" si="9"/>
        <v>314554.5326</v>
      </c>
      <c r="S20" s="6" t="str">
        <f t="shared" si="10"/>
        <v>Asylum spam,</v>
      </c>
      <c r="T20" s="11">
        <f t="shared" si="16"/>
        <v>89872.72359</v>
      </c>
      <c r="U20" s="11"/>
    </row>
    <row r="21">
      <c r="A21" s="1">
        <v>1.0</v>
      </c>
      <c r="B21" s="1" t="s">
        <v>84</v>
      </c>
      <c r="C21" s="1">
        <v>1.5</v>
      </c>
      <c r="D21" s="1">
        <v>22.5</v>
      </c>
      <c r="E21" s="1">
        <v>50859.0</v>
      </c>
      <c r="F21" s="1">
        <v>74950.0</v>
      </c>
      <c r="I21" s="2"/>
      <c r="K21" s="3"/>
      <c r="L21" s="9">
        <f t="shared" si="3"/>
        <v>361607.49</v>
      </c>
      <c r="M21" s="10">
        <f t="shared" si="4"/>
        <v>532894.5</v>
      </c>
      <c r="N21" s="9">
        <f t="shared" si="5"/>
        <v>0</v>
      </c>
      <c r="O21" s="11">
        <f t="shared" si="6"/>
        <v>0</v>
      </c>
      <c r="P21" s="11">
        <f t="shared" si="7"/>
        <v>532894.5</v>
      </c>
      <c r="Q21" s="11">
        <f t="shared" si="8"/>
        <v>617119.1578</v>
      </c>
      <c r="R21" s="11">
        <f t="shared" si="9"/>
        <v>308559.5789</v>
      </c>
      <c r="S21" s="6" t="str">
        <f t="shared" si="10"/>
        <v>Shock Wave</v>
      </c>
      <c r="T21" s="11">
        <f t="shared" si="16"/>
        <v>25713.29824</v>
      </c>
    </row>
    <row r="22">
      <c r="B22" s="1" t="s">
        <v>85</v>
      </c>
      <c r="C22" s="1">
        <v>1.0</v>
      </c>
      <c r="D22" s="1">
        <v>22.5</v>
      </c>
      <c r="E22" s="1">
        <v>38027.0</v>
      </c>
      <c r="F22" s="1">
        <v>43106.0</v>
      </c>
      <c r="I22" s="2"/>
      <c r="K22" s="3"/>
      <c r="L22" s="9">
        <f t="shared" si="3"/>
        <v>270371.97</v>
      </c>
      <c r="M22" s="10">
        <f t="shared" si="4"/>
        <v>306483.66</v>
      </c>
      <c r="N22" s="9">
        <f t="shared" si="5"/>
        <v>0</v>
      </c>
      <c r="O22" s="11">
        <f t="shared" si="6"/>
        <v>0</v>
      </c>
      <c r="P22" s="11">
        <f t="shared" si="7"/>
        <v>306483.66</v>
      </c>
      <c r="Q22" s="11">
        <f t="shared" si="8"/>
        <v>385401.8676</v>
      </c>
      <c r="R22" s="11">
        <f t="shared" si="9"/>
        <v>256934.5784</v>
      </c>
      <c r="S22" s="6" t="str">
        <f t="shared" si="10"/>
        <v>Cannibalize Though</v>
      </c>
      <c r="T22" s="11">
        <f t="shared" si="16"/>
        <v>16400.07947</v>
      </c>
    </row>
    <row r="23">
      <c r="B23" s="1" t="s">
        <v>86</v>
      </c>
      <c r="C23" s="1">
        <v>1.0</v>
      </c>
      <c r="D23" s="1">
        <v>15.0</v>
      </c>
      <c r="E23" s="1">
        <v>35738.0</v>
      </c>
      <c r="F23" s="1">
        <v>38541.0</v>
      </c>
      <c r="I23" s="2"/>
      <c r="K23" s="3"/>
      <c r="L23" s="9">
        <f t="shared" si="3"/>
        <v>254097.18</v>
      </c>
      <c r="M23" s="10">
        <f t="shared" si="4"/>
        <v>274026.51</v>
      </c>
      <c r="N23" s="9">
        <f t="shared" si="5"/>
        <v>0</v>
      </c>
      <c r="O23" s="11">
        <f t="shared" si="6"/>
        <v>0</v>
      </c>
      <c r="P23" s="11">
        <f t="shared" si="7"/>
        <v>274026.51</v>
      </c>
      <c r="Q23" s="11">
        <f t="shared" si="8"/>
        <v>351966.8085</v>
      </c>
      <c r="R23" s="11">
        <f t="shared" si="9"/>
        <v>234644.539</v>
      </c>
      <c r="S23" s="6" t="str">
        <f t="shared" si="10"/>
        <v>Medusa Gaze</v>
      </c>
      <c r="T23" s="11">
        <f t="shared" si="16"/>
        <v>21997.92553</v>
      </c>
    </row>
    <row r="24">
      <c r="B24" s="1" t="s">
        <v>87</v>
      </c>
      <c r="C24" s="1">
        <v>0.25</v>
      </c>
      <c r="D24" s="1">
        <v>15.0</v>
      </c>
      <c r="E24" s="1">
        <v>8326.0</v>
      </c>
      <c r="F24" s="1">
        <v>11815.0</v>
      </c>
      <c r="G24" s="1">
        <v>876.0</v>
      </c>
      <c r="H24" s="1">
        <v>1244.0</v>
      </c>
      <c r="I24" s="2"/>
      <c r="J24" s="1">
        <v>12.0</v>
      </c>
      <c r="K24" s="12">
        <f>1/2</f>
        <v>0.5</v>
      </c>
      <c r="L24" s="9">
        <f t="shared" si="3"/>
        <v>59197.86</v>
      </c>
      <c r="M24" s="10">
        <f t="shared" si="4"/>
        <v>84004.65</v>
      </c>
      <c r="N24" s="9">
        <f t="shared" si="5"/>
        <v>6228.36</v>
      </c>
      <c r="O24" s="11">
        <f t="shared" si="6"/>
        <v>8844.84</v>
      </c>
      <c r="P24" s="11">
        <f t="shared" si="7"/>
        <v>137073.69</v>
      </c>
      <c r="Q24" s="11">
        <f t="shared" si="8"/>
        <v>160161.9236</v>
      </c>
      <c r="R24" s="11">
        <f t="shared" si="9"/>
        <v>213549.2315</v>
      </c>
      <c r="S24" s="6" t="str">
        <f t="shared" si="10"/>
        <v>Daydream</v>
      </c>
      <c r="T24" s="11">
        <f>$Q24/(($C24+$D24))</f>
        <v>10502.42122</v>
      </c>
    </row>
    <row r="25">
      <c r="B25" s="1" t="s">
        <v>88</v>
      </c>
      <c r="C25" s="1">
        <v>0.5</v>
      </c>
      <c r="D25" s="1">
        <v>1.5</v>
      </c>
      <c r="E25" s="1">
        <v>15959.0</v>
      </c>
      <c r="F25" s="1">
        <v>20756.0</v>
      </c>
      <c r="I25" s="2"/>
      <c r="K25" s="3"/>
      <c r="L25" s="9">
        <f t="shared" si="3"/>
        <v>113468.49</v>
      </c>
      <c r="M25" s="10">
        <f t="shared" si="4"/>
        <v>147575.16</v>
      </c>
      <c r="N25" s="9">
        <f t="shared" si="5"/>
        <v>0</v>
      </c>
      <c r="O25" s="11">
        <f t="shared" si="6"/>
        <v>0</v>
      </c>
      <c r="P25" s="11">
        <f t="shared" si="7"/>
        <v>147575.16</v>
      </c>
      <c r="Q25" s="11">
        <f t="shared" si="8"/>
        <v>176690.1558</v>
      </c>
      <c r="R25" s="11">
        <f t="shared" si="9"/>
        <v>176690.1558</v>
      </c>
      <c r="S25" s="6" t="str">
        <f t="shared" si="10"/>
        <v>Hemorrhage</v>
      </c>
      <c r="T25" s="11">
        <f t="shared" ref="T25:T31" si="18">$Q25/(($C25+if($D25&lt;=$J25,$J25,$D25)))</f>
        <v>88345.07792</v>
      </c>
    </row>
    <row r="26">
      <c r="B26" s="1" t="s">
        <v>89</v>
      </c>
      <c r="C26" s="1">
        <v>0.75</v>
      </c>
      <c r="D26" s="1">
        <v>15.0</v>
      </c>
      <c r="E26" s="1">
        <v>4762.0</v>
      </c>
      <c r="F26" s="1">
        <v>6314.0</v>
      </c>
      <c r="G26" s="6">
        <f t="shared" ref="G26:H26" si="17">E26</f>
        <v>4762</v>
      </c>
      <c r="H26" s="6">
        <f t="shared" si="17"/>
        <v>6314</v>
      </c>
      <c r="I26" s="2"/>
      <c r="J26" s="1">
        <v>4.0</v>
      </c>
      <c r="K26" s="7">
        <v>1.0</v>
      </c>
      <c r="L26" s="9">
        <f t="shared" si="3"/>
        <v>33857.82</v>
      </c>
      <c r="M26" s="10">
        <f t="shared" si="4"/>
        <v>44892.54</v>
      </c>
      <c r="N26" s="9">
        <f t="shared" si="5"/>
        <v>33857.82</v>
      </c>
      <c r="O26" s="11">
        <f t="shared" si="6"/>
        <v>44892.54</v>
      </c>
      <c r="P26" s="11">
        <f t="shared" si="7"/>
        <v>224462.7</v>
      </c>
      <c r="Q26" s="11">
        <f t="shared" si="8"/>
        <v>267186.8557</v>
      </c>
      <c r="R26" s="11">
        <f t="shared" si="9"/>
        <v>213749.4846</v>
      </c>
      <c r="S26" s="6" t="str">
        <f t="shared" si="10"/>
        <v>Mindbend</v>
      </c>
      <c r="T26" s="11">
        <f t="shared" si="18"/>
        <v>16964.24481</v>
      </c>
    </row>
    <row r="27">
      <c r="A27" s="1">
        <v>1.0</v>
      </c>
      <c r="B27" s="1" t="s">
        <v>90</v>
      </c>
      <c r="C27" s="1">
        <v>1.0</v>
      </c>
      <c r="D27" s="1">
        <v>4.5</v>
      </c>
      <c r="E27" s="1">
        <v>5787.0</v>
      </c>
      <c r="F27" s="1">
        <v>6772.0</v>
      </c>
      <c r="G27" s="1">
        <v>3073.0</v>
      </c>
      <c r="H27" s="1">
        <v>3664.0</v>
      </c>
      <c r="I27" s="2"/>
      <c r="J27" s="1">
        <v>12.0</v>
      </c>
      <c r="K27" s="12">
        <f>1/2.4</f>
        <v>0.4166666667</v>
      </c>
      <c r="L27" s="9">
        <f t="shared" si="3"/>
        <v>41145.57</v>
      </c>
      <c r="M27" s="10">
        <f t="shared" si="4"/>
        <v>48148.92</v>
      </c>
      <c r="N27" s="9">
        <f t="shared" si="5"/>
        <v>21849.03</v>
      </c>
      <c r="O27" s="11">
        <f t="shared" si="6"/>
        <v>26051.04</v>
      </c>
      <c r="P27" s="11">
        <f t="shared" si="7"/>
        <v>178404.12</v>
      </c>
      <c r="Q27" s="11">
        <f t="shared" si="8"/>
        <v>220405.0867</v>
      </c>
      <c r="R27" s="11">
        <f t="shared" si="9"/>
        <v>146936.7245</v>
      </c>
      <c r="S27" s="6" t="str">
        <f t="shared" si="10"/>
        <v>Simple Minds</v>
      </c>
      <c r="T27" s="11">
        <f t="shared" si="18"/>
        <v>16954.23744</v>
      </c>
    </row>
    <row r="28">
      <c r="B28" s="1" t="s">
        <v>91</v>
      </c>
      <c r="C28" s="1">
        <v>0.25</v>
      </c>
      <c r="D28" s="1">
        <v>15.0</v>
      </c>
      <c r="E28" s="1">
        <v>8936.0</v>
      </c>
      <c r="F28" s="1">
        <v>13890.0</v>
      </c>
      <c r="J28" s="2"/>
      <c r="K28" s="3"/>
      <c r="L28" s="9">
        <f t="shared" si="3"/>
        <v>63534.96</v>
      </c>
      <c r="M28" s="10">
        <f t="shared" si="4"/>
        <v>98757.9</v>
      </c>
      <c r="N28" s="9">
        <f t="shared" si="5"/>
        <v>0</v>
      </c>
      <c r="O28" s="11">
        <f t="shared" si="6"/>
        <v>0</v>
      </c>
      <c r="P28" s="11">
        <f t="shared" si="7"/>
        <v>98757.9</v>
      </c>
      <c r="Q28" s="11">
        <f t="shared" si="8"/>
        <v>113093.3448</v>
      </c>
      <c r="R28" s="11">
        <f t="shared" si="9"/>
        <v>150791.1264</v>
      </c>
      <c r="S28" s="6" t="str">
        <f t="shared" si="10"/>
        <v>Null staff</v>
      </c>
      <c r="T28" s="11">
        <f t="shared" si="18"/>
        <v>7415.957036</v>
      </c>
      <c r="U28" s="11"/>
    </row>
    <row r="29">
      <c r="A29" s="1">
        <v>1.0</v>
      </c>
      <c r="B29" s="1" t="s">
        <v>92</v>
      </c>
      <c r="C29" s="1">
        <v>1.0</v>
      </c>
      <c r="D29" s="1">
        <v>22.5</v>
      </c>
      <c r="E29" s="1">
        <v>14860.0</v>
      </c>
      <c r="F29" s="1">
        <v>17718.0</v>
      </c>
      <c r="I29" s="2"/>
      <c r="K29" s="3"/>
      <c r="L29" s="9">
        <f t="shared" si="3"/>
        <v>105654.6</v>
      </c>
      <c r="M29" s="10">
        <f t="shared" si="4"/>
        <v>125974.98</v>
      </c>
      <c r="N29" s="9">
        <f t="shared" si="5"/>
        <v>0</v>
      </c>
      <c r="O29" s="11">
        <f t="shared" si="6"/>
        <v>0</v>
      </c>
      <c r="P29" s="11">
        <f t="shared" si="7"/>
        <v>125974.98</v>
      </c>
      <c r="Q29" s="11">
        <f t="shared" si="8"/>
        <v>155335.8488</v>
      </c>
      <c r="R29" s="11">
        <f t="shared" si="9"/>
        <v>103557.2325</v>
      </c>
      <c r="S29" s="6" t="str">
        <f t="shared" si="10"/>
        <v>Ego Shock</v>
      </c>
      <c r="T29" s="11">
        <f t="shared" si="18"/>
        <v>6610.036117</v>
      </c>
    </row>
    <row r="30">
      <c r="B30" s="1" t="s">
        <v>93</v>
      </c>
      <c r="C30" s="1">
        <v>0.25</v>
      </c>
      <c r="D30" s="1">
        <v>4.0</v>
      </c>
      <c r="E30" s="1">
        <v>5094.0</v>
      </c>
      <c r="F30" s="1">
        <v>7919.0</v>
      </c>
      <c r="I30" s="2"/>
      <c r="K30" s="3"/>
      <c r="L30" s="9">
        <f t="shared" si="3"/>
        <v>36218.34</v>
      </c>
      <c r="M30" s="10">
        <f t="shared" si="4"/>
        <v>56304.09</v>
      </c>
      <c r="N30" s="9">
        <f t="shared" si="5"/>
        <v>0</v>
      </c>
      <c r="O30" s="11">
        <f t="shared" si="6"/>
        <v>0</v>
      </c>
      <c r="P30" s="11">
        <f t="shared" si="7"/>
        <v>56304.09</v>
      </c>
      <c r="Q30" s="11">
        <f t="shared" si="8"/>
        <v>64475.5417</v>
      </c>
      <c r="R30" s="11">
        <f t="shared" si="9"/>
        <v>85967.38894</v>
      </c>
      <c r="S30" s="6" t="str">
        <f t="shared" si="10"/>
        <v>Spellblade's counter</v>
      </c>
      <c r="T30" s="11">
        <f t="shared" si="18"/>
        <v>15170.71569</v>
      </c>
    </row>
    <row r="31">
      <c r="A31" s="1">
        <v>1.0</v>
      </c>
      <c r="B31" s="1" t="s">
        <v>94</v>
      </c>
      <c r="C31" s="1">
        <v>0.75</v>
      </c>
      <c r="D31" s="1">
        <v>22.5</v>
      </c>
      <c r="E31" s="1">
        <v>4718.0</v>
      </c>
      <c r="F31" s="1">
        <v>6139.0</v>
      </c>
      <c r="I31" s="2"/>
      <c r="K31" s="3"/>
      <c r="L31" s="9">
        <f t="shared" si="3"/>
        <v>33544.98</v>
      </c>
      <c r="M31" s="10">
        <f t="shared" si="4"/>
        <v>43648.29</v>
      </c>
      <c r="N31" s="9">
        <f t="shared" si="5"/>
        <v>0</v>
      </c>
      <c r="O31" s="11">
        <f t="shared" si="6"/>
        <v>0</v>
      </c>
      <c r="P31" s="11">
        <f t="shared" si="7"/>
        <v>43648.29</v>
      </c>
      <c r="Q31" s="11">
        <f t="shared" si="8"/>
        <v>52252.14815</v>
      </c>
      <c r="R31" s="11">
        <f t="shared" si="9"/>
        <v>41801.71852</v>
      </c>
      <c r="S31" s="6" t="str">
        <f t="shared" si="10"/>
        <v>Stupefy</v>
      </c>
      <c r="T31" s="11">
        <f t="shared" si="18"/>
        <v>2247.404221</v>
      </c>
    </row>
    <row r="32">
      <c r="J32" s="2"/>
      <c r="L32" s="3"/>
      <c r="M32" s="9"/>
      <c r="N32" s="10"/>
      <c r="O32" s="9"/>
      <c r="P32" s="11"/>
      <c r="Q32" s="11"/>
      <c r="R32" s="11"/>
      <c r="S32" s="11"/>
      <c r="U32" s="11"/>
    </row>
    <row r="33">
      <c r="I33" s="2"/>
      <c r="K33" s="3"/>
      <c r="L33" s="9"/>
      <c r="M33" s="10"/>
      <c r="N33" s="9"/>
      <c r="O33" s="11"/>
      <c r="P33" s="11"/>
      <c r="Q33" s="11"/>
      <c r="R33" s="11"/>
      <c r="T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E48" s="6"/>
      <c r="G48" s="6"/>
      <c r="H48" s="6"/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E50" s="6"/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9">E27</f>
        <v>5787</v>
      </c>
      <c r="G61" s="6">
        <f t="shared" si="19"/>
        <v>6772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20">F$61*0.85^($E62-1)</f>
        <v>5787</v>
      </c>
      <c r="G62" s="6">
        <f t="shared" si="20"/>
        <v>6772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21">F$61*0.85^($D63-1)</f>
        <v>4918.95</v>
      </c>
      <c r="F63" s="6">
        <f t="shared" si="21"/>
        <v>5756.2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23">D63+1</f>
        <v>3</v>
      </c>
      <c r="E64" s="6">
        <f t="shared" ref="E64:F64" si="22">F$61*0.85^($D64-1)</f>
        <v>4181.1075</v>
      </c>
      <c r="F64" s="6">
        <f t="shared" si="22"/>
        <v>4892.77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23"/>
        <v>4</v>
      </c>
      <c r="E65" s="6">
        <f t="shared" ref="E65:F65" si="24">F$61*0.85^($D65-1)</f>
        <v>3553.941375</v>
      </c>
      <c r="F65" s="6">
        <f t="shared" si="24"/>
        <v>4158.8545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23"/>
        <v>5</v>
      </c>
      <c r="E66" s="6">
        <f t="shared" ref="E66:F66" si="25">F$61*0.85^($D66-1)</f>
        <v>3020.850169</v>
      </c>
      <c r="F66" s="6">
        <f t="shared" si="25"/>
        <v>3535.026325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23"/>
        <v>6</v>
      </c>
      <c r="E67" s="6">
        <f t="shared" ref="E67:F67" si="26">F$61*0.85^($D67-1)</f>
        <v>2567.722643</v>
      </c>
      <c r="F67" s="6">
        <f t="shared" si="26"/>
        <v>3004.772376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23"/>
        <v>7</v>
      </c>
      <c r="E68" s="6">
        <f t="shared" ref="E68:F68" si="27">F$61*0.85^($D68-1)</f>
        <v>2182.564247</v>
      </c>
      <c r="F68" s="6">
        <f t="shared" si="27"/>
        <v>2554.05652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23"/>
        <v>8</v>
      </c>
      <c r="E69" s="6">
        <f t="shared" ref="E69:F69" si="28">F$61*0.85^($D69-1)</f>
        <v>1855.17961</v>
      </c>
      <c r="F69" s="6">
        <f t="shared" si="28"/>
        <v>2170.948042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23"/>
        <v>9</v>
      </c>
      <c r="E70" s="6">
        <f t="shared" ref="E70:F70" si="29">F$61*0.85^($D70-1)</f>
        <v>1576.902668</v>
      </c>
      <c r="F70" s="6">
        <f t="shared" si="29"/>
        <v>1845.305836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23"/>
        <v>10</v>
      </c>
      <c r="E71" s="6">
        <f t="shared" ref="E71:F71" si="30">F$61*0.85^($D71-1)</f>
        <v>1340.367268</v>
      </c>
      <c r="F71" s="6">
        <f t="shared" si="30"/>
        <v>1568.50996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23"/>
        <v>11</v>
      </c>
      <c r="E72" s="6">
        <f t="shared" ref="E72:F72" si="31">F$61*0.85^($D72-1)</f>
        <v>1139.312178</v>
      </c>
      <c r="F72" s="6">
        <f t="shared" si="31"/>
        <v>1333.233466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23"/>
        <v>12</v>
      </c>
      <c r="E73" s="6">
        <f t="shared" ref="E73:F73" si="32">F$61*0.85^($D73-1)</f>
        <v>968.4153512</v>
      </c>
      <c r="F73" s="6">
        <f t="shared" si="32"/>
        <v>1133.248446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23"/>
        <v>13</v>
      </c>
      <c r="E74" s="6">
        <f t="shared" ref="E74:F74" si="33">F$61*0.85^($D74-1)</f>
        <v>823.1530485</v>
      </c>
      <c r="F74" s="6">
        <f t="shared" si="33"/>
        <v>963.2611793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23"/>
        <v>14</v>
      </c>
      <c r="E75" s="6">
        <f t="shared" ref="E75:F75" si="34">F$61*0.85^($D75-1)</f>
        <v>699.6800913</v>
      </c>
      <c r="F75" s="6">
        <f t="shared" si="34"/>
        <v>818.7720024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23"/>
        <v>15</v>
      </c>
      <c r="E76" s="6">
        <f t="shared" ref="E76:F76" si="35">F$61*0.85^($D76-1)</f>
        <v>594.7280776</v>
      </c>
      <c r="F76" s="6">
        <f t="shared" si="35"/>
        <v>695.9562021</v>
      </c>
      <c r="I76" s="2"/>
      <c r="K76" s="3"/>
      <c r="L76" s="4"/>
    </row>
    <row r="77">
      <c r="B77" s="1" t="s">
        <v>90</v>
      </c>
      <c r="D77" s="6">
        <f t="shared" si="23"/>
        <v>16</v>
      </c>
      <c r="E77" s="6">
        <f t="shared" ref="E77:F77" si="36">F$61*0.85^($D77-1)</f>
        <v>505.5188659</v>
      </c>
      <c r="F77" s="6">
        <f t="shared" si="36"/>
        <v>591.5627718</v>
      </c>
      <c r="I77" s="2"/>
      <c r="K77" s="3"/>
      <c r="L77" s="4"/>
    </row>
    <row r="78">
      <c r="D78" s="6">
        <f t="shared" si="23"/>
        <v>17</v>
      </c>
      <c r="E78" s="6">
        <f t="shared" ref="E78:F78" si="37">F$61*0.85^($D78-1)</f>
        <v>429.691036</v>
      </c>
      <c r="F78" s="6">
        <f t="shared" si="37"/>
        <v>502.828356</v>
      </c>
      <c r="I78" s="2"/>
      <c r="K78" s="3"/>
      <c r="L78" s="4"/>
    </row>
    <row r="79">
      <c r="D79" s="6">
        <f t="shared" si="23"/>
        <v>18</v>
      </c>
      <c r="E79" s="6">
        <f t="shared" ref="E79:F79" si="38">F$61*0.85^($D79-1)</f>
        <v>365.2373806</v>
      </c>
      <c r="F79" s="6">
        <f t="shared" si="38"/>
        <v>427.4041026</v>
      </c>
      <c r="I79" s="2"/>
      <c r="K79" s="3"/>
      <c r="L79" s="4"/>
    </row>
    <row r="80">
      <c r="D80" s="6">
        <f t="shared" si="23"/>
        <v>19</v>
      </c>
      <c r="E80" s="6">
        <f t="shared" ref="E80:F80" si="39">F$61*0.85^($D80-1)</f>
        <v>310.4517735</v>
      </c>
      <c r="F80" s="6">
        <f t="shared" si="39"/>
        <v>363.2934872</v>
      </c>
      <c r="I80" s="2"/>
      <c r="K80" s="3"/>
      <c r="L80" s="4"/>
    </row>
    <row r="81">
      <c r="D81" s="6">
        <f t="shared" si="23"/>
        <v>20</v>
      </c>
      <c r="E81" s="6">
        <f t="shared" ref="E81:F81" si="40">F$61*0.85^($D81-1)</f>
        <v>263.8840075</v>
      </c>
      <c r="F81" s="6">
        <f t="shared" si="40"/>
        <v>308.7994641</v>
      </c>
      <c r="I81" s="2"/>
      <c r="K81" s="3"/>
      <c r="L81" s="4"/>
    </row>
    <row r="82">
      <c r="E82" s="6">
        <f t="shared" ref="E82:F82" si="41">sum(E63:E81)</f>
        <v>31297.65729</v>
      </c>
      <c r="F82" s="6">
        <f t="shared" si="41"/>
        <v>36624.80304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B86" s="1" t="s">
        <v>95</v>
      </c>
      <c r="C86" s="1">
        <v>2.0</v>
      </c>
      <c r="D86" s="1">
        <v>0.0</v>
      </c>
      <c r="E86" s="6">
        <f t="shared" ref="E86:E88" si="42">C86*150</f>
        <v>300</v>
      </c>
      <c r="I86" s="2"/>
      <c r="K86" s="3"/>
      <c r="L86" s="4"/>
    </row>
    <row r="87">
      <c r="B87" s="1" t="s">
        <v>96</v>
      </c>
      <c r="C87" s="1">
        <v>2.0</v>
      </c>
      <c r="D87" s="1">
        <v>0.0</v>
      </c>
      <c r="E87" s="6">
        <f t="shared" si="42"/>
        <v>300</v>
      </c>
      <c r="I87" s="2"/>
      <c r="K87" s="3"/>
      <c r="L87" s="4"/>
    </row>
    <row r="88">
      <c r="B88" s="1" t="s">
        <v>97</v>
      </c>
      <c r="C88" s="1">
        <v>1.5</v>
      </c>
      <c r="D88" s="19">
        <v>0.35</v>
      </c>
      <c r="E88" s="6">
        <f t="shared" si="42"/>
        <v>225</v>
      </c>
      <c r="F88" s="6">
        <f>E88*D88</f>
        <v>78.75</v>
      </c>
      <c r="I88" s="2"/>
      <c r="K88" s="3"/>
      <c r="L88" s="4"/>
    </row>
    <row r="89">
      <c r="E89" s="6">
        <f>sum(E86:E88)</f>
        <v>825</v>
      </c>
      <c r="F89" s="6">
        <f>F88/E89</f>
        <v>0.09545454545</v>
      </c>
      <c r="I89" s="2"/>
      <c r="K89" s="3"/>
      <c r="L89" s="4"/>
    </row>
    <row r="90">
      <c r="E90" s="1" t="s">
        <v>98</v>
      </c>
      <c r="F90" s="1" t="s">
        <v>99</v>
      </c>
      <c r="I90" s="2"/>
      <c r="K90" s="3"/>
      <c r="L90" s="4"/>
    </row>
    <row r="91">
      <c r="B91" s="1" t="s">
        <v>100</v>
      </c>
      <c r="C91" s="21">
        <v>0.71875</v>
      </c>
      <c r="D91" s="19">
        <v>0.0</v>
      </c>
      <c r="I91" s="2"/>
      <c r="K91" s="3"/>
      <c r="L91" s="4"/>
    </row>
    <row r="92">
      <c r="C92" s="21">
        <v>0.7708333333333334</v>
      </c>
      <c r="D92" s="19">
        <v>9.0E-4</v>
      </c>
      <c r="E92" s="1" t="s">
        <v>101</v>
      </c>
      <c r="F92" s="6">
        <f>F88*2/3</f>
        <v>52.5</v>
      </c>
      <c r="G92" s="1" t="s">
        <v>102</v>
      </c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U$5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1.3+14.17+0.15</f>
        <v>15.62</v>
      </c>
      <c r="C1" s="2">
        <f>B1</f>
        <v>15.62</v>
      </c>
      <c r="I1" s="2"/>
      <c r="K1" s="3"/>
      <c r="L1" s="4"/>
    </row>
    <row r="2">
      <c r="A2" s="1" t="s">
        <v>1</v>
      </c>
      <c r="B2" s="5">
        <v>0.369</v>
      </c>
      <c r="I2" s="2"/>
      <c r="K2" s="3"/>
      <c r="L2" s="4"/>
    </row>
    <row r="3">
      <c r="A3" s="1" t="s">
        <v>2</v>
      </c>
      <c r="B3" s="19">
        <v>0.0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A5" s="20" t="s">
        <v>103</v>
      </c>
      <c r="B5" s="5">
        <v>10.207</v>
      </c>
      <c r="C5" s="22">
        <f>1312%-60%*1.03</f>
        <v>12.502</v>
      </c>
      <c r="I5" s="2"/>
      <c r="K5" s="3"/>
      <c r="L5" s="4"/>
    </row>
    <row r="6">
      <c r="A6" s="20" t="s">
        <v>104</v>
      </c>
      <c r="B6" s="23">
        <v>16428.0</v>
      </c>
      <c r="C6">
        <f>18143</f>
        <v>18143</v>
      </c>
      <c r="D6" s="24">
        <f t="shared" ref="D6:E6" si="1">(floor((log(B$6,2)*0.28-1.2)*100,0.001)/100)</f>
        <v>2.72108</v>
      </c>
      <c r="E6" s="24">
        <f t="shared" si="1"/>
        <v>2.76119</v>
      </c>
      <c r="I6" s="2"/>
      <c r="K6" s="3"/>
      <c r="L6" s="4"/>
    </row>
    <row r="7">
      <c r="A7" s="20" t="s">
        <v>105</v>
      </c>
      <c r="B7" s="23">
        <v>19781.0</v>
      </c>
      <c r="I7" s="2"/>
      <c r="K7" s="3"/>
      <c r="L7" s="4"/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5" t="s">
        <v>14</v>
      </c>
      <c r="J8" s="1" t="s">
        <v>15</v>
      </c>
      <c r="K8" s="7" t="s">
        <v>16</v>
      </c>
      <c r="L8" s="8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T8" s="1" t="s">
        <v>69</v>
      </c>
      <c r="U8" s="1" t="s">
        <v>70</v>
      </c>
    </row>
    <row r="9">
      <c r="B9" s="20" t="s">
        <v>106</v>
      </c>
      <c r="C9" s="20">
        <v>0.25</v>
      </c>
      <c r="D9" s="20">
        <v>5.0</v>
      </c>
      <c r="E9" s="20">
        <v>20058.0</v>
      </c>
      <c r="F9" s="20">
        <v>28572.0</v>
      </c>
      <c r="G9" s="6"/>
      <c r="H9" s="6"/>
      <c r="I9" s="2"/>
      <c r="J9" s="1"/>
      <c r="K9" s="7"/>
      <c r="L9" s="9">
        <f t="shared" ref="L9:L32" si="3">if(E9*($B$1+$I9)&lt;(F9+1),F9+1,E9*($I9+$B$1))</f>
        <v>313305.96</v>
      </c>
      <c r="M9" s="10">
        <f t="shared" ref="M9:M32" si="4">F9*($B$1+$I9)</f>
        <v>446294.64</v>
      </c>
      <c r="N9" s="9">
        <f t="shared" ref="N9:N32" si="5">if(if(G9*($B$1+$I9)&lt;(H9+1),H9+1,G9*($I9+$B$1))=1,0,if(G9*($B$1+$I9)&lt;(H9+1),H9+1,G9*($I9+$B$1)))</f>
        <v>0</v>
      </c>
      <c r="O9" s="11">
        <f t="shared" ref="O9:O32" si="6">H9*($B$1+$I9)</f>
        <v>0</v>
      </c>
      <c r="P9" s="11">
        <f t="shared" ref="P9:P32" si="7">M9+O9*K9*J9</f>
        <v>446294.64</v>
      </c>
      <c r="Q9" s="11">
        <f t="shared" ref="Q9:Q32" si="8">(if($A9=1,$B$4,1)*((L9*E9+F9*M9)/(E9+F9)+if(G9&gt;0,(N9*G9+H9*O9)/(G9+H9)*J9*K9,0)))*(if($U9=0,1+$B$3,1))</f>
        <v>391441.9371</v>
      </c>
      <c r="R9" s="11">
        <f t="shared" ref="R9:R14" si="9">Q9/(C9+0.5*(1/(1+$B$5)))</f>
        <v>1328655.952</v>
      </c>
      <c r="S9" s="6" t="str">
        <f t="shared" ref="S9:S32" si="10">B9</f>
        <v>Thuri's</v>
      </c>
      <c r="T9" s="11">
        <f t="shared" ref="T9:T10" si="11">$Q9/(($C9+$D9))</f>
        <v>74560.36897</v>
      </c>
    </row>
    <row r="10">
      <c r="B10" s="20" t="s">
        <v>107</v>
      </c>
      <c r="C10" s="20">
        <v>0.25</v>
      </c>
      <c r="D10" s="20">
        <v>15.0</v>
      </c>
      <c r="E10" s="20">
        <v>45426.0</v>
      </c>
      <c r="F10" s="20">
        <v>52542.0</v>
      </c>
      <c r="G10" s="6">
        <f t="shared" ref="G10:H10" si="2">E10</f>
        <v>45426</v>
      </c>
      <c r="H10" s="6">
        <f t="shared" si="2"/>
        <v>52542</v>
      </c>
      <c r="I10" s="2"/>
      <c r="J10" s="20">
        <v>1.0</v>
      </c>
      <c r="K10" s="25">
        <v>11.0</v>
      </c>
      <c r="L10" s="9">
        <f t="shared" si="3"/>
        <v>709554.12</v>
      </c>
      <c r="M10" s="10">
        <f t="shared" si="4"/>
        <v>820706.04</v>
      </c>
      <c r="N10" s="9">
        <f t="shared" si="5"/>
        <v>709554.12</v>
      </c>
      <c r="O10" s="11">
        <f t="shared" si="6"/>
        <v>820706.04</v>
      </c>
      <c r="P10" s="11">
        <f t="shared" si="7"/>
        <v>9848472.48</v>
      </c>
      <c r="Q10" s="11">
        <f t="shared" si="8"/>
        <v>9230002.72</v>
      </c>
      <c r="R10" s="11">
        <f t="shared" si="9"/>
        <v>31329034.75</v>
      </c>
      <c r="S10" s="6" t="str">
        <f t="shared" si="10"/>
        <v>Dagger Storm</v>
      </c>
      <c r="T10" s="11">
        <f t="shared" si="11"/>
        <v>605246.08</v>
      </c>
    </row>
    <row r="11">
      <c r="B11" s="20" t="s">
        <v>108</v>
      </c>
      <c r="C11" s="20">
        <v>0.25</v>
      </c>
      <c r="D11" s="20">
        <v>5.0</v>
      </c>
      <c r="E11" s="20">
        <v>36539.0</v>
      </c>
      <c r="F11" s="20">
        <v>52048.0</v>
      </c>
      <c r="G11" s="1"/>
      <c r="H11" s="1"/>
      <c r="I11" s="2"/>
      <c r="J11" s="1"/>
      <c r="K11" s="12"/>
      <c r="L11" s="9">
        <f t="shared" si="3"/>
        <v>570739.18</v>
      </c>
      <c r="M11" s="10">
        <f t="shared" si="4"/>
        <v>812989.76</v>
      </c>
      <c r="N11" s="9">
        <f t="shared" si="5"/>
        <v>0</v>
      </c>
      <c r="O11" s="11">
        <f t="shared" si="6"/>
        <v>0</v>
      </c>
      <c r="P11" s="11">
        <f t="shared" si="7"/>
        <v>812989.76</v>
      </c>
      <c r="Q11" s="11">
        <f t="shared" si="8"/>
        <v>713069.9756</v>
      </c>
      <c r="R11" s="11">
        <f t="shared" si="9"/>
        <v>2420345.337</v>
      </c>
      <c r="S11" s="6" t="str">
        <f t="shared" si="10"/>
        <v>Daro's Dull Blade</v>
      </c>
      <c r="T11" s="11">
        <f t="shared" ref="T11:T14" si="12">$Q11/(($C11+if($D11&lt;=$J11,$J11,$D11)))</f>
        <v>135822.8525</v>
      </c>
    </row>
    <row r="12">
      <c r="A12" s="20">
        <v>1.0</v>
      </c>
      <c r="B12" s="20" t="s">
        <v>109</v>
      </c>
      <c r="C12" s="20">
        <v>0.25</v>
      </c>
      <c r="D12" s="20">
        <v>10.0</v>
      </c>
      <c r="E12" s="1">
        <f>14121+15586</f>
        <v>29707</v>
      </c>
      <c r="F12" s="1">
        <f>18375+24394</f>
        <v>42769</v>
      </c>
      <c r="G12" s="26">
        <v>44280.0</v>
      </c>
      <c r="H12" s="26">
        <v>69301.0</v>
      </c>
      <c r="I12" s="2"/>
      <c r="J12" s="20">
        <v>1.0</v>
      </c>
      <c r="K12" s="25">
        <v>1.0</v>
      </c>
      <c r="L12" s="9">
        <f t="shared" si="3"/>
        <v>464023.34</v>
      </c>
      <c r="M12" s="10">
        <f t="shared" si="4"/>
        <v>668051.78</v>
      </c>
      <c r="N12" s="9">
        <f t="shared" si="5"/>
        <v>691653.6</v>
      </c>
      <c r="O12" s="11">
        <f t="shared" si="6"/>
        <v>1082481.62</v>
      </c>
      <c r="P12" s="11">
        <f t="shared" si="7"/>
        <v>1750533.4</v>
      </c>
      <c r="Q12" s="11">
        <f t="shared" si="8"/>
        <v>1514538.869</v>
      </c>
      <c r="R12" s="11">
        <f t="shared" si="9"/>
        <v>5140739.639</v>
      </c>
      <c r="S12" s="6" t="str">
        <f t="shared" si="10"/>
        <v>Echoing Howl</v>
      </c>
      <c r="T12" s="11">
        <f t="shared" si="12"/>
        <v>147759.8896</v>
      </c>
    </row>
    <row r="13">
      <c r="A13" s="20">
        <v>1.0</v>
      </c>
      <c r="B13" s="20" t="s">
        <v>110</v>
      </c>
      <c r="C13" s="20">
        <v>0.25</v>
      </c>
      <c r="D13" s="20">
        <v>10.0</v>
      </c>
      <c r="E13" s="1">
        <f>21241+14648+6222</f>
        <v>42111</v>
      </c>
      <c r="F13" s="1">
        <f>27459+20865+6222</f>
        <v>54546</v>
      </c>
      <c r="G13" s="26">
        <v>6222.0</v>
      </c>
      <c r="H13" s="26">
        <v>6222.0</v>
      </c>
      <c r="I13" s="2"/>
      <c r="J13" s="20">
        <v>14.0</v>
      </c>
      <c r="K13" s="7">
        <f>1/3.5</f>
        <v>0.2857142857</v>
      </c>
      <c r="L13" s="9">
        <f t="shared" si="3"/>
        <v>657773.82</v>
      </c>
      <c r="M13" s="10">
        <f t="shared" si="4"/>
        <v>852008.52</v>
      </c>
      <c r="N13" s="9">
        <f t="shared" si="5"/>
        <v>97187.64</v>
      </c>
      <c r="O13" s="11">
        <f t="shared" si="6"/>
        <v>97187.64</v>
      </c>
      <c r="P13" s="11">
        <f t="shared" si="7"/>
        <v>1240759.08</v>
      </c>
      <c r="Q13" s="11">
        <f t="shared" si="8"/>
        <v>1156135.954</v>
      </c>
      <c r="R13" s="11">
        <f t="shared" si="9"/>
        <v>3924226.741</v>
      </c>
      <c r="S13" s="6" t="str">
        <f t="shared" si="10"/>
        <v>Darksong Spin</v>
      </c>
      <c r="T13" s="11">
        <f t="shared" si="12"/>
        <v>81132.34768</v>
      </c>
    </row>
    <row r="14">
      <c r="B14" s="20" t="s">
        <v>111</v>
      </c>
      <c r="C14" s="20">
        <v>0.5</v>
      </c>
      <c r="D14" s="20">
        <v>10.0</v>
      </c>
      <c r="E14" s="20">
        <v>67929.0</v>
      </c>
      <c r="F14" s="20">
        <v>89856.0</v>
      </c>
      <c r="I14" s="2"/>
      <c r="K14" s="3"/>
      <c r="L14" s="9">
        <f t="shared" si="3"/>
        <v>1061050.98</v>
      </c>
      <c r="M14" s="10">
        <f t="shared" si="4"/>
        <v>1403550.72</v>
      </c>
      <c r="N14" s="9">
        <f t="shared" si="5"/>
        <v>0</v>
      </c>
      <c r="O14" s="11">
        <f t="shared" si="6"/>
        <v>0</v>
      </c>
      <c r="P14" s="11">
        <f t="shared" si="7"/>
        <v>1403550.72</v>
      </c>
      <c r="Q14" s="11">
        <f t="shared" si="8"/>
        <v>1256099.03</v>
      </c>
      <c r="R14" s="11">
        <f t="shared" si="9"/>
        <v>2306398.269</v>
      </c>
      <c r="S14" s="6" t="str">
        <f t="shared" si="10"/>
        <v>Luda's</v>
      </c>
      <c r="T14" s="11">
        <f t="shared" si="12"/>
        <v>119628.4791</v>
      </c>
    </row>
    <row r="15">
      <c r="B15" s="20" t="s">
        <v>112</v>
      </c>
      <c r="C15" s="20">
        <v>0.5</v>
      </c>
      <c r="D15" s="20">
        <v>15.0</v>
      </c>
      <c r="E15" s="20">
        <v>28899.0</v>
      </c>
      <c r="F15" s="20">
        <v>43221.0</v>
      </c>
      <c r="G15" s="1"/>
      <c r="H15" s="1"/>
      <c r="I15" s="2"/>
      <c r="J15" s="1"/>
      <c r="K15" s="12"/>
      <c r="L15" s="9">
        <f t="shared" si="3"/>
        <v>451402.38</v>
      </c>
      <c r="M15" s="10">
        <f t="shared" si="4"/>
        <v>675112.02</v>
      </c>
      <c r="N15" s="9">
        <f t="shared" si="5"/>
        <v>0</v>
      </c>
      <c r="O15" s="11">
        <f t="shared" si="6"/>
        <v>0</v>
      </c>
      <c r="P15" s="11">
        <f t="shared" si="7"/>
        <v>675112.02</v>
      </c>
      <c r="Q15" s="11">
        <f t="shared" si="8"/>
        <v>585469.9667</v>
      </c>
      <c r="R15" s="11">
        <f>Q15/(E15+0.5*(1/(1+$B$5)))</f>
        <v>20.25914609</v>
      </c>
      <c r="S15" s="6" t="str">
        <f t="shared" si="10"/>
        <v>Lanet's</v>
      </c>
      <c r="T15" s="11">
        <f>$Q15/(($E15+if($D15&lt;=$J15,$J15,$D15)))</f>
        <v>20.24866731</v>
      </c>
    </row>
    <row r="16">
      <c r="B16" s="20" t="s">
        <v>113</v>
      </c>
      <c r="C16" s="20">
        <v>0.5</v>
      </c>
      <c r="D16" s="20">
        <v>5.0</v>
      </c>
      <c r="E16" s="20">
        <v>21976.0</v>
      </c>
      <c r="F16" s="20">
        <v>31985.0</v>
      </c>
      <c r="G16" s="1"/>
      <c r="H16" s="1"/>
      <c r="I16" s="2"/>
      <c r="J16" s="1"/>
      <c r="K16" s="7"/>
      <c r="L16" s="9">
        <f t="shared" si="3"/>
        <v>343265.12</v>
      </c>
      <c r="M16" s="10">
        <f t="shared" si="4"/>
        <v>499605.7</v>
      </c>
      <c r="N16" s="9">
        <f t="shared" si="5"/>
        <v>0</v>
      </c>
      <c r="O16" s="11">
        <f t="shared" si="6"/>
        <v>0</v>
      </c>
      <c r="P16" s="11">
        <f t="shared" si="7"/>
        <v>499605.7</v>
      </c>
      <c r="Q16" s="11">
        <f t="shared" si="8"/>
        <v>435934.8899</v>
      </c>
      <c r="R16" s="11">
        <f t="shared" ref="R16:R32" si="13">Q16/(C16+0.5*(1/(1+$B$5)))</f>
        <v>800446.0245</v>
      </c>
      <c r="S16" s="6" t="str">
        <f t="shared" si="10"/>
        <v>Howl of Death</v>
      </c>
      <c r="T16" s="11">
        <f t="shared" ref="T16:T17" si="14">$Q16/(($C16+if($D16&lt;=$J16,$J16,$D16)))</f>
        <v>79260.88907</v>
      </c>
      <c r="U16" s="11"/>
    </row>
    <row r="17">
      <c r="A17" s="1"/>
      <c r="B17" s="20" t="s">
        <v>114</v>
      </c>
      <c r="C17" s="20">
        <v>0.25</v>
      </c>
      <c r="D17" s="20">
        <v>30.0</v>
      </c>
      <c r="E17" s="20">
        <v>28167.0</v>
      </c>
      <c r="F17" s="20">
        <v>40123.0</v>
      </c>
      <c r="G17" s="6"/>
      <c r="H17" s="6"/>
      <c r="I17" s="2"/>
      <c r="J17" s="1"/>
      <c r="K17" s="7"/>
      <c r="L17" s="9">
        <f t="shared" si="3"/>
        <v>439968.54</v>
      </c>
      <c r="M17" s="10">
        <f t="shared" si="4"/>
        <v>626721.26</v>
      </c>
      <c r="N17" s="9">
        <f t="shared" si="5"/>
        <v>0</v>
      </c>
      <c r="O17" s="11">
        <f t="shared" si="6"/>
        <v>0</v>
      </c>
      <c r="P17" s="11">
        <f t="shared" si="7"/>
        <v>626721.26</v>
      </c>
      <c r="Q17" s="11">
        <f t="shared" si="8"/>
        <v>549692.9416</v>
      </c>
      <c r="R17" s="11">
        <f t="shared" si="13"/>
        <v>1865801.104</v>
      </c>
      <c r="S17" s="6" t="str">
        <f t="shared" si="10"/>
        <v>Turnstrike</v>
      </c>
      <c r="T17" s="11">
        <f t="shared" si="14"/>
        <v>18171.66749</v>
      </c>
    </row>
    <row r="18">
      <c r="B18" s="20" t="s">
        <v>115</v>
      </c>
      <c r="C18" s="20">
        <v>0.25</v>
      </c>
      <c r="D18" s="20">
        <v>15.0</v>
      </c>
      <c r="E18" s="20">
        <v>15089.0</v>
      </c>
      <c r="F18" s="20">
        <v>21494.0</v>
      </c>
      <c r="K18" s="3"/>
      <c r="L18" s="9">
        <f t="shared" si="3"/>
        <v>235690.18</v>
      </c>
      <c r="M18" s="10">
        <f t="shared" si="4"/>
        <v>335736.28</v>
      </c>
      <c r="N18" s="9">
        <f t="shared" si="5"/>
        <v>0</v>
      </c>
      <c r="O18" s="11">
        <f t="shared" si="6"/>
        <v>0</v>
      </c>
      <c r="P18" s="11">
        <f t="shared" si="7"/>
        <v>335736.28</v>
      </c>
      <c r="Q18" s="11">
        <f t="shared" si="8"/>
        <v>294471.3317</v>
      </c>
      <c r="R18" s="11">
        <f t="shared" si="13"/>
        <v>999512.4448</v>
      </c>
      <c r="S18" s="6" t="str">
        <f t="shared" si="10"/>
        <v>Bump</v>
      </c>
      <c r="T18" s="11">
        <f>$Q18/(($C18+$D18))</f>
        <v>19309.59552</v>
      </c>
    </row>
    <row r="19">
      <c r="B19" s="20" t="s">
        <v>116</v>
      </c>
      <c r="C19" s="20">
        <v>0.25</v>
      </c>
      <c r="D19" s="20">
        <v>10.0</v>
      </c>
      <c r="E19" s="20">
        <v>60983.0</v>
      </c>
      <c r="F19" s="20">
        <v>80221.0</v>
      </c>
      <c r="G19" s="1"/>
      <c r="H19" s="1"/>
      <c r="I19" s="2"/>
      <c r="J19" s="1"/>
      <c r="K19" s="12"/>
      <c r="L19" s="9">
        <f t="shared" si="3"/>
        <v>952554.46</v>
      </c>
      <c r="M19" s="10">
        <f t="shared" si="4"/>
        <v>1253052.02</v>
      </c>
      <c r="N19" s="9">
        <f t="shared" si="5"/>
        <v>0</v>
      </c>
      <c r="O19" s="11">
        <f t="shared" si="6"/>
        <v>0</v>
      </c>
      <c r="P19" s="11">
        <f t="shared" si="7"/>
        <v>1253052.02</v>
      </c>
      <c r="Q19" s="11">
        <f t="shared" si="8"/>
        <v>1123273.524</v>
      </c>
      <c r="R19" s="11">
        <f t="shared" si="13"/>
        <v>3812683.088</v>
      </c>
      <c r="S19" s="6" t="str">
        <f t="shared" si="10"/>
        <v>Misfortune's Kiss</v>
      </c>
      <c r="T19" s="11">
        <f t="shared" ref="T19:T24" si="15">$Q19/(($C19+if($D19&lt;=$J19,$J19,$D19)))</f>
        <v>109587.6609</v>
      </c>
    </row>
    <row r="20">
      <c r="A20" s="20">
        <v>1.0</v>
      </c>
      <c r="B20" s="20" t="s">
        <v>117</v>
      </c>
      <c r="C20" s="20">
        <v>1.25</v>
      </c>
      <c r="D20" s="20">
        <v>6.0</v>
      </c>
      <c r="E20" s="20">
        <v>28514.0</v>
      </c>
      <c r="F20" s="20">
        <v>41499.0</v>
      </c>
      <c r="I20" s="2"/>
      <c r="J20" s="1"/>
      <c r="K20" s="7"/>
      <c r="L20" s="9">
        <f t="shared" si="3"/>
        <v>445388.68</v>
      </c>
      <c r="M20" s="10">
        <f t="shared" si="4"/>
        <v>648214.38</v>
      </c>
      <c r="N20" s="9">
        <f t="shared" si="5"/>
        <v>0</v>
      </c>
      <c r="O20" s="11">
        <f t="shared" si="6"/>
        <v>0</v>
      </c>
      <c r="P20" s="11">
        <f t="shared" si="7"/>
        <v>648214.38</v>
      </c>
      <c r="Q20" s="11">
        <f t="shared" si="8"/>
        <v>565610.1207</v>
      </c>
      <c r="R20" s="11">
        <f t="shared" si="13"/>
        <v>436894.4687</v>
      </c>
      <c r="S20" s="6" t="str">
        <f t="shared" si="10"/>
        <v>Jarols Sorrowful</v>
      </c>
      <c r="T20" s="11">
        <f t="shared" si="15"/>
        <v>78015.18906</v>
      </c>
    </row>
    <row r="21">
      <c r="B21" s="20" t="s">
        <v>118</v>
      </c>
      <c r="C21" s="20">
        <v>1.0</v>
      </c>
      <c r="D21" s="20">
        <v>10.0</v>
      </c>
      <c r="E21" s="20">
        <v>14854.0</v>
      </c>
      <c r="F21" s="20">
        <v>14854.0</v>
      </c>
      <c r="G21" s="20">
        <v>8260.0</v>
      </c>
      <c r="H21" s="20">
        <v>8260.0</v>
      </c>
      <c r="I21" s="2"/>
      <c r="J21" s="20">
        <v>16.0</v>
      </c>
      <c r="K21" s="7">
        <f>1/4</f>
        <v>0.25</v>
      </c>
      <c r="L21" s="9">
        <f t="shared" si="3"/>
        <v>232019.48</v>
      </c>
      <c r="M21" s="10">
        <f t="shared" si="4"/>
        <v>232019.48</v>
      </c>
      <c r="N21" s="9">
        <f t="shared" si="5"/>
        <v>129021.2</v>
      </c>
      <c r="O21" s="11">
        <f t="shared" si="6"/>
        <v>129021.2</v>
      </c>
      <c r="P21" s="11">
        <f t="shared" si="7"/>
        <v>748104.28</v>
      </c>
      <c r="Q21" s="11">
        <f t="shared" si="8"/>
        <v>748104.28</v>
      </c>
      <c r="R21" s="11">
        <f t="shared" si="13"/>
        <v>716153.1277</v>
      </c>
      <c r="S21" s="6" t="str">
        <f t="shared" si="10"/>
        <v>Banshee</v>
      </c>
      <c r="T21" s="11">
        <f t="shared" si="15"/>
        <v>44006.13412</v>
      </c>
      <c r="U21" s="11"/>
    </row>
    <row r="22">
      <c r="A22" s="1"/>
      <c r="B22" s="20" t="s">
        <v>119</v>
      </c>
      <c r="C22" s="20">
        <v>0.125</v>
      </c>
      <c r="D22" s="20">
        <v>10.0</v>
      </c>
      <c r="E22" s="20">
        <v>69433.0</v>
      </c>
      <c r="F22" s="20">
        <v>84863.0</v>
      </c>
      <c r="I22" s="2"/>
      <c r="K22" s="3"/>
      <c r="L22" s="9">
        <f t="shared" si="3"/>
        <v>1084543.46</v>
      </c>
      <c r="M22" s="10">
        <f t="shared" si="4"/>
        <v>1325560.06</v>
      </c>
      <c r="N22" s="9">
        <f t="shared" si="5"/>
        <v>0</v>
      </c>
      <c r="O22" s="11">
        <f t="shared" si="6"/>
        <v>0</v>
      </c>
      <c r="P22" s="11">
        <f t="shared" si="7"/>
        <v>1325560.06</v>
      </c>
      <c r="Q22" s="11">
        <f t="shared" si="8"/>
        <v>1217102.902</v>
      </c>
      <c r="R22" s="11">
        <f t="shared" si="13"/>
        <v>7175680.793</v>
      </c>
      <c r="S22" s="6" t="str">
        <f t="shared" si="10"/>
        <v>Evade</v>
      </c>
      <c r="T22" s="11">
        <f t="shared" si="15"/>
        <v>120207.6941</v>
      </c>
    </row>
    <row r="23">
      <c r="B23" s="20" t="s">
        <v>120</v>
      </c>
      <c r="C23" s="20">
        <v>0.25</v>
      </c>
      <c r="D23" s="20">
        <v>60.0</v>
      </c>
      <c r="E23" s="20">
        <v>79395.0</v>
      </c>
      <c r="F23" s="20">
        <v>104698.0</v>
      </c>
      <c r="I23" s="2"/>
      <c r="K23" s="3"/>
      <c r="L23" s="9">
        <f t="shared" si="3"/>
        <v>1240149.9</v>
      </c>
      <c r="M23" s="10">
        <f t="shared" si="4"/>
        <v>1635382.76</v>
      </c>
      <c r="N23" s="9">
        <f t="shared" si="5"/>
        <v>0</v>
      </c>
      <c r="O23" s="11">
        <f t="shared" si="6"/>
        <v>0</v>
      </c>
      <c r="P23" s="11">
        <f t="shared" si="7"/>
        <v>1635382.76</v>
      </c>
      <c r="Q23" s="11">
        <f t="shared" si="8"/>
        <v>1464928.083</v>
      </c>
      <c r="R23" s="11">
        <f t="shared" si="13"/>
        <v>4972347.701</v>
      </c>
      <c r="S23" s="6" t="str">
        <f t="shared" si="10"/>
        <v>Sinister</v>
      </c>
      <c r="T23" s="11">
        <f t="shared" si="15"/>
        <v>24314.15905</v>
      </c>
    </row>
    <row r="24">
      <c r="B24" s="20" t="s">
        <v>121</v>
      </c>
      <c r="C24" s="20">
        <v>0.25</v>
      </c>
      <c r="D24" s="20">
        <v>30.0</v>
      </c>
      <c r="E24" s="20">
        <v>53448.0</v>
      </c>
      <c r="F24" s="20">
        <v>68183.0</v>
      </c>
      <c r="I24" s="2"/>
      <c r="K24" s="3"/>
      <c r="L24" s="9">
        <f t="shared" si="3"/>
        <v>834857.76</v>
      </c>
      <c r="M24" s="10">
        <f t="shared" si="4"/>
        <v>1065018.46</v>
      </c>
      <c r="N24" s="9">
        <f t="shared" si="5"/>
        <v>0</v>
      </c>
      <c r="O24" s="11">
        <f t="shared" si="6"/>
        <v>0</v>
      </c>
      <c r="P24" s="11">
        <f t="shared" si="7"/>
        <v>1065018.46</v>
      </c>
      <c r="Q24" s="11">
        <f t="shared" si="8"/>
        <v>963879.5308</v>
      </c>
      <c r="R24" s="11">
        <f t="shared" si="13"/>
        <v>3271658.333</v>
      </c>
      <c r="S24" s="6" t="str">
        <f t="shared" si="10"/>
        <v>Evasive</v>
      </c>
      <c r="T24" s="11">
        <f t="shared" si="15"/>
        <v>31863.78614</v>
      </c>
    </row>
    <row r="25">
      <c r="B25" s="20" t="s">
        <v>122</v>
      </c>
      <c r="C25" s="20">
        <v>0.5</v>
      </c>
      <c r="D25" s="20">
        <v>15.0</v>
      </c>
      <c r="E25" s="20">
        <v>10061.0</v>
      </c>
      <c r="F25" s="20">
        <v>14329.0</v>
      </c>
      <c r="G25" s="1"/>
      <c r="H25" s="1"/>
      <c r="I25" s="2"/>
      <c r="J25" s="1"/>
      <c r="K25" s="12"/>
      <c r="L25" s="9">
        <f t="shared" si="3"/>
        <v>157152.82</v>
      </c>
      <c r="M25" s="10">
        <f t="shared" si="4"/>
        <v>223818.98</v>
      </c>
      <c r="N25" s="9">
        <f t="shared" si="5"/>
        <v>0</v>
      </c>
      <c r="O25" s="11">
        <f t="shared" si="6"/>
        <v>0</v>
      </c>
      <c r="P25" s="11">
        <f t="shared" si="7"/>
        <v>223818.98</v>
      </c>
      <c r="Q25" s="11">
        <f t="shared" si="8"/>
        <v>196318.8473</v>
      </c>
      <c r="R25" s="11">
        <f t="shared" si="13"/>
        <v>360472.7324</v>
      </c>
      <c r="S25" s="6" t="str">
        <f t="shared" si="10"/>
        <v>Messenger's</v>
      </c>
      <c r="T25" s="11">
        <f>$Q25/(($C25+$D25))</f>
        <v>12665.73209</v>
      </c>
    </row>
    <row r="26">
      <c r="B26" s="20" t="s">
        <v>123</v>
      </c>
      <c r="C26" s="20">
        <v>0.25</v>
      </c>
      <c r="D26" s="20">
        <v>60.0</v>
      </c>
      <c r="E26" s="20">
        <v>52334.0</v>
      </c>
      <c r="F26" s="20">
        <v>74977.0</v>
      </c>
      <c r="I26" s="2"/>
      <c r="K26" s="3"/>
      <c r="L26" s="9">
        <f t="shared" si="3"/>
        <v>817457.08</v>
      </c>
      <c r="M26" s="10">
        <f t="shared" si="4"/>
        <v>1171140.74</v>
      </c>
      <c r="N26" s="9">
        <f t="shared" si="5"/>
        <v>0</v>
      </c>
      <c r="O26" s="11">
        <f t="shared" si="6"/>
        <v>0</v>
      </c>
      <c r="P26" s="11">
        <f t="shared" si="7"/>
        <v>1171140.74</v>
      </c>
      <c r="Q26" s="11">
        <f t="shared" si="8"/>
        <v>1025751.255</v>
      </c>
      <c r="R26" s="11">
        <f t="shared" si="13"/>
        <v>3481667.092</v>
      </c>
      <c r="S26" s="6" t="str">
        <f t="shared" si="10"/>
        <v>Dragonwrath</v>
      </c>
      <c r="T26" s="11">
        <f t="shared" ref="T26:T32" si="16">$Q26/(($C26+if($D26&lt;=$J26,$J26,$D26)))</f>
        <v>17024.9171</v>
      </c>
    </row>
    <row r="27">
      <c r="B27" s="20" t="s">
        <v>124</v>
      </c>
      <c r="C27" s="20">
        <v>0.25</v>
      </c>
      <c r="D27" s="20">
        <v>22.5</v>
      </c>
      <c r="E27" s="20">
        <v>17604.0</v>
      </c>
      <c r="F27" s="20">
        <v>25077.0</v>
      </c>
      <c r="G27" s="6"/>
      <c r="H27" s="6"/>
      <c r="I27" s="2"/>
      <c r="J27" s="1"/>
      <c r="K27" s="7"/>
      <c r="L27" s="9">
        <f t="shared" si="3"/>
        <v>274974.48</v>
      </c>
      <c r="M27" s="10">
        <f t="shared" si="4"/>
        <v>391702.74</v>
      </c>
      <c r="N27" s="9">
        <f t="shared" si="5"/>
        <v>0</v>
      </c>
      <c r="O27" s="11">
        <f t="shared" si="6"/>
        <v>0</v>
      </c>
      <c r="P27" s="11">
        <f t="shared" si="7"/>
        <v>391702.74</v>
      </c>
      <c r="Q27" s="11">
        <f t="shared" si="8"/>
        <v>343557.5632</v>
      </c>
      <c r="R27" s="11">
        <f t="shared" si="13"/>
        <v>1166123.907</v>
      </c>
      <c r="S27" s="6" t="str">
        <f t="shared" si="10"/>
        <v>Round Bash</v>
      </c>
      <c r="T27" s="11">
        <f t="shared" si="16"/>
        <v>15101.43135</v>
      </c>
    </row>
    <row r="28">
      <c r="A28" s="1"/>
      <c r="B28" s="20" t="s">
        <v>125</v>
      </c>
      <c r="C28" s="20">
        <v>0.25</v>
      </c>
      <c r="D28" s="20">
        <v>30.0</v>
      </c>
      <c r="E28" s="20">
        <v>49989.0</v>
      </c>
      <c r="F28" s="20">
        <v>62811.0</v>
      </c>
      <c r="G28" s="20">
        <v>5187.0</v>
      </c>
      <c r="H28" s="20">
        <v>5187.0</v>
      </c>
      <c r="I28" s="2"/>
      <c r="J28" s="20">
        <v>15.0</v>
      </c>
      <c r="K28" s="12">
        <f t="shared" ref="K28:K31" si="17">1/3</f>
        <v>0.3333333333</v>
      </c>
      <c r="L28" s="9">
        <f t="shared" si="3"/>
        <v>780828.18</v>
      </c>
      <c r="M28" s="10">
        <f t="shared" si="4"/>
        <v>981107.82</v>
      </c>
      <c r="N28" s="9">
        <f t="shared" si="5"/>
        <v>81020.94</v>
      </c>
      <c r="O28" s="11">
        <f t="shared" si="6"/>
        <v>81020.94</v>
      </c>
      <c r="P28" s="11">
        <f t="shared" si="7"/>
        <v>1386212.52</v>
      </c>
      <c r="Q28" s="11">
        <f t="shared" si="8"/>
        <v>1297455.615</v>
      </c>
      <c r="R28" s="11">
        <f t="shared" si="13"/>
        <v>4403902.498</v>
      </c>
      <c r="S28" s="6" t="str">
        <f t="shared" si="10"/>
        <v>Scream1</v>
      </c>
      <c r="T28" s="11">
        <f t="shared" si="16"/>
        <v>42891.0947</v>
      </c>
    </row>
    <row r="29">
      <c r="B29" s="20" t="s">
        <v>126</v>
      </c>
      <c r="C29" s="20">
        <v>0.25</v>
      </c>
      <c r="D29" s="20">
        <v>30.0</v>
      </c>
      <c r="E29" s="1"/>
      <c r="F29" s="1"/>
      <c r="G29" s="20">
        <v>10373.0</v>
      </c>
      <c r="H29" s="20">
        <v>10373.0</v>
      </c>
      <c r="J29" s="20">
        <v>15.0</v>
      </c>
      <c r="K29" s="12">
        <f t="shared" si="17"/>
        <v>0.3333333333</v>
      </c>
      <c r="L29" s="9">
        <f t="shared" si="3"/>
        <v>1</v>
      </c>
      <c r="M29" s="10">
        <f t="shared" si="4"/>
        <v>0</v>
      </c>
      <c r="N29" s="9">
        <f t="shared" si="5"/>
        <v>162026.26</v>
      </c>
      <c r="O29" s="11">
        <f t="shared" si="6"/>
        <v>162026.26</v>
      </c>
      <c r="P29" s="11">
        <f t="shared" si="7"/>
        <v>810131.3</v>
      </c>
      <c r="Q29" s="11" t="str">
        <f t="shared" si="8"/>
        <v>#DIV/0!</v>
      </c>
      <c r="R29" s="11" t="str">
        <f t="shared" si="13"/>
        <v>#DIV/0!</v>
      </c>
      <c r="S29" s="6" t="str">
        <f t="shared" si="10"/>
        <v>Scream2</v>
      </c>
      <c r="T29" s="11" t="str">
        <f t="shared" si="16"/>
        <v>#DIV/0!</v>
      </c>
      <c r="U29" s="11"/>
    </row>
    <row r="30">
      <c r="A30" s="1"/>
      <c r="B30" s="20" t="s">
        <v>127</v>
      </c>
      <c r="C30" s="20">
        <v>0.25</v>
      </c>
      <c r="D30" s="20">
        <v>30.0</v>
      </c>
      <c r="E30" s="1"/>
      <c r="F30" s="1"/>
      <c r="G30" s="20">
        <v>15560.0</v>
      </c>
      <c r="H30" s="20">
        <v>15560.0</v>
      </c>
      <c r="I30" s="2"/>
      <c r="J30" s="20">
        <v>15.0</v>
      </c>
      <c r="K30" s="12">
        <f t="shared" si="17"/>
        <v>0.3333333333</v>
      </c>
      <c r="L30" s="9">
        <f t="shared" si="3"/>
        <v>1</v>
      </c>
      <c r="M30" s="10">
        <f t="shared" si="4"/>
        <v>0</v>
      </c>
      <c r="N30" s="9">
        <f t="shared" si="5"/>
        <v>243047.2</v>
      </c>
      <c r="O30" s="11">
        <f t="shared" si="6"/>
        <v>243047.2</v>
      </c>
      <c r="P30" s="11">
        <f t="shared" si="7"/>
        <v>1215236</v>
      </c>
      <c r="Q30" s="11" t="str">
        <f t="shared" si="8"/>
        <v>#DIV/0!</v>
      </c>
      <c r="R30" s="11" t="str">
        <f t="shared" si="13"/>
        <v>#DIV/0!</v>
      </c>
      <c r="S30" s="6" t="str">
        <f t="shared" si="10"/>
        <v>Scream3</v>
      </c>
      <c r="T30" s="11" t="str">
        <f t="shared" si="16"/>
        <v>#DIV/0!</v>
      </c>
    </row>
    <row r="31">
      <c r="B31" s="20" t="s">
        <v>128</v>
      </c>
      <c r="C31" s="20">
        <v>0.25</v>
      </c>
      <c r="D31" s="20">
        <v>30.0</v>
      </c>
      <c r="E31" s="20">
        <v>49989.0</v>
      </c>
      <c r="F31" s="20">
        <v>62811.0</v>
      </c>
      <c r="G31" s="20">
        <v>10373.0</v>
      </c>
      <c r="H31" s="20">
        <v>10373.0</v>
      </c>
      <c r="I31" s="2"/>
      <c r="J31" s="20">
        <v>45.0</v>
      </c>
      <c r="K31" s="3">
        <f t="shared" si="17"/>
        <v>0.3333333333</v>
      </c>
      <c r="L31" s="9">
        <f t="shared" si="3"/>
        <v>780828.18</v>
      </c>
      <c r="M31" s="10">
        <f t="shared" si="4"/>
        <v>981107.82</v>
      </c>
      <c r="N31" s="9">
        <f t="shared" si="5"/>
        <v>162026.26</v>
      </c>
      <c r="O31" s="11">
        <f t="shared" si="6"/>
        <v>162026.26</v>
      </c>
      <c r="P31" s="11">
        <f t="shared" si="7"/>
        <v>3411501.72</v>
      </c>
      <c r="Q31" s="11">
        <f t="shared" si="8"/>
        <v>3322744.815</v>
      </c>
      <c r="R31" s="11">
        <f t="shared" si="13"/>
        <v>11278261.87</v>
      </c>
      <c r="S31" s="6" t="str">
        <f t="shared" si="10"/>
        <v>Scream Total</v>
      </c>
      <c r="T31" s="11">
        <f t="shared" si="16"/>
        <v>73430.82463</v>
      </c>
    </row>
    <row r="32">
      <c r="A32" s="1"/>
      <c r="B32" s="20" t="s">
        <v>129</v>
      </c>
      <c r="C32" s="20">
        <v>0.25</v>
      </c>
      <c r="D32" s="20">
        <v>15.0</v>
      </c>
      <c r="E32" s="20">
        <v>13273.0</v>
      </c>
      <c r="F32" s="20">
        <v>18907.0</v>
      </c>
      <c r="I32" s="2"/>
      <c r="K32" s="3"/>
      <c r="L32" s="9">
        <f t="shared" si="3"/>
        <v>207324.26</v>
      </c>
      <c r="M32" s="10">
        <f t="shared" si="4"/>
        <v>295327.34</v>
      </c>
      <c r="N32" s="9">
        <f t="shared" si="5"/>
        <v>0</v>
      </c>
      <c r="O32" s="11">
        <f t="shared" si="6"/>
        <v>0</v>
      </c>
      <c r="P32" s="11">
        <f t="shared" si="7"/>
        <v>295327.34</v>
      </c>
      <c r="Q32" s="11">
        <f t="shared" si="8"/>
        <v>259029.4879</v>
      </c>
      <c r="R32" s="11">
        <f t="shared" si="13"/>
        <v>879213.59</v>
      </c>
      <c r="S32" s="6" t="str">
        <f t="shared" si="10"/>
        <v>Rhythm Blade</v>
      </c>
      <c r="T32" s="11">
        <f t="shared" si="16"/>
        <v>16985.54019</v>
      </c>
    </row>
    <row r="33">
      <c r="B33" s="20" t="s">
        <v>130</v>
      </c>
      <c r="C33" s="20">
        <v>0.5</v>
      </c>
      <c r="D33" s="20">
        <v>12.5</v>
      </c>
      <c r="E33">
        <f>27654+12715</f>
        <v>40369</v>
      </c>
      <c r="F33">
        <f>37305+18109</f>
        <v>55414</v>
      </c>
      <c r="J33" s="2"/>
      <c r="L33" s="3"/>
      <c r="M33" s="9"/>
      <c r="N33" s="10"/>
      <c r="O33" s="9"/>
      <c r="P33" s="11"/>
      <c r="Q33" s="11"/>
      <c r="R33" s="11"/>
      <c r="S33" s="11"/>
      <c r="U33" s="11"/>
    </row>
    <row r="34">
      <c r="B34" s="20" t="s">
        <v>131</v>
      </c>
      <c r="C34" s="20">
        <v>0.25</v>
      </c>
      <c r="D34" s="20">
        <v>5.0</v>
      </c>
      <c r="E34" s="20">
        <v>8535.0</v>
      </c>
      <c r="F34" s="20">
        <v>12423.0</v>
      </c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0" t="s">
        <v>132</v>
      </c>
      <c r="J39" s="27">
        <f>I44</f>
        <v>52286.8898</v>
      </c>
      <c r="K39" s="3"/>
      <c r="L39" s="9"/>
      <c r="M39" s="10"/>
      <c r="N39" s="9"/>
      <c r="O39" s="11"/>
      <c r="P39" s="11"/>
      <c r="Q39" s="11"/>
      <c r="R39" s="11"/>
      <c r="T39" s="11"/>
    </row>
    <row r="40">
      <c r="E40" s="20" t="s">
        <v>133</v>
      </c>
      <c r="F40" s="20" t="s">
        <v>134</v>
      </c>
      <c r="G40" s="20" t="s">
        <v>135</v>
      </c>
      <c r="H40" s="20" t="s">
        <v>136</v>
      </c>
      <c r="I40" s="20" t="s">
        <v>137</v>
      </c>
      <c r="J40" s="20" t="s">
        <v>138</v>
      </c>
      <c r="K40" s="25" t="s">
        <v>139</v>
      </c>
      <c r="L40" s="9"/>
      <c r="M40" s="10"/>
      <c r="N40" s="9"/>
      <c r="O40" s="11"/>
      <c r="P40" s="11"/>
      <c r="Q40" s="11"/>
      <c r="R40" s="11"/>
      <c r="T40" s="11"/>
    </row>
    <row r="41">
      <c r="E41" t="str">
        <f t="shared" ref="E41:E67" si="19">B9</f>
        <v>Thuri's</v>
      </c>
      <c r="F41" s="27">
        <f t="shared" ref="F41:F66" si="20">Max(F9+H9*J9*K9*if(D41="",1,0)-$B$7,(F9+H9*J9*K9*if(D41="",1,0))/1.5)+0*(0/2*if(A9=1,3,1))</f>
        <v>19048</v>
      </c>
      <c r="G41" s="27">
        <f t="shared" ref="G41:G66" si="21">(1+C$5)/(1+B$5)*(E$6/D$6)*F41</f>
        <v>23286.97601</v>
      </c>
      <c r="H41" s="27">
        <f t="shared" ref="H41:I41" si="18">F41/2*if($A9=1,3,1)</f>
        <v>9524</v>
      </c>
      <c r="I41" s="27">
        <f t="shared" si="18"/>
        <v>11643.488</v>
      </c>
      <c r="J41" s="28" t="str">
        <f t="shared" ref="J41:J66" si="23">iferror(if((((Min(I41,B$7)+G41)/(G41+Min($J$39,I41)))^-1-1)=0,"",((Min(I41,B$7)+G41)/(G41+Min($J$39,I41)))^-1-1),"")</f>
        <v/>
      </c>
      <c r="K41" s="3"/>
      <c r="L41" s="9"/>
      <c r="M41" s="10"/>
      <c r="N41" s="9"/>
      <c r="O41" s="11"/>
      <c r="P41" s="11"/>
      <c r="Q41" s="11"/>
      <c r="R41" s="11"/>
      <c r="T41" s="11"/>
    </row>
    <row r="42">
      <c r="C42" s="20"/>
      <c r="D42" s="20">
        <v>1.0</v>
      </c>
      <c r="E42" t="str">
        <f t="shared" si="19"/>
        <v>Dagger Storm</v>
      </c>
      <c r="F42" s="27">
        <f t="shared" si="20"/>
        <v>35028</v>
      </c>
      <c r="G42" s="27">
        <f t="shared" si="21"/>
        <v>42823.1938</v>
      </c>
      <c r="H42" s="27">
        <f t="shared" ref="H42:I42" si="22">F42/2*if($A10=1,3,1)</f>
        <v>17514</v>
      </c>
      <c r="I42" s="27">
        <f t="shared" si="22"/>
        <v>21411.5969</v>
      </c>
      <c r="J42" s="28">
        <f t="shared" si="23"/>
        <v>0.02604612891</v>
      </c>
      <c r="K42" s="29">
        <v>1218043.22</v>
      </c>
      <c r="L42" s="9">
        <f t="shared" ref="L42:L65" si="25">if((J42*K42)=0,"",(J42*K42))</f>
        <v>31725.31072</v>
      </c>
      <c r="M42" s="10"/>
      <c r="N42" s="9"/>
      <c r="O42" s="11"/>
      <c r="P42" s="11"/>
      <c r="Q42" s="11"/>
      <c r="R42" s="11"/>
      <c r="T42" s="11"/>
    </row>
    <row r="43">
      <c r="C43" s="20"/>
      <c r="E43" t="str">
        <f t="shared" si="19"/>
        <v>Daro's Dull Blade</v>
      </c>
      <c r="F43" s="27">
        <f t="shared" si="20"/>
        <v>34698.66667</v>
      </c>
      <c r="G43" s="27">
        <f t="shared" si="21"/>
        <v>42420.57004</v>
      </c>
      <c r="H43" s="27">
        <f t="shared" ref="H43:I43" si="24">F43/2*if($A11=1,3,1)</f>
        <v>17349.33333</v>
      </c>
      <c r="I43" s="27">
        <f t="shared" si="24"/>
        <v>21210.28502</v>
      </c>
      <c r="J43" s="28">
        <f t="shared" si="23"/>
        <v>0.02297827884</v>
      </c>
      <c r="K43" s="29">
        <v>119149.68</v>
      </c>
      <c r="L43" s="9">
        <f t="shared" si="25"/>
        <v>2737.854571</v>
      </c>
      <c r="M43" s="10"/>
      <c r="N43" s="9"/>
      <c r="O43" s="11"/>
      <c r="P43" s="11"/>
      <c r="Q43" s="11"/>
      <c r="R43" s="11"/>
      <c r="T43" s="11"/>
    </row>
    <row r="44">
      <c r="C44" s="20"/>
      <c r="D44" s="20">
        <v>1.0</v>
      </c>
      <c r="E44" t="str">
        <f t="shared" si="19"/>
        <v>Echoing Howl</v>
      </c>
      <c r="F44" s="27">
        <f t="shared" si="20"/>
        <v>28512.66667</v>
      </c>
      <c r="G44" s="27">
        <f t="shared" si="21"/>
        <v>34857.92653</v>
      </c>
      <c r="H44" s="27">
        <f t="shared" ref="H44:I44" si="26">F44/2*if($A12=1,3,1)</f>
        <v>42769</v>
      </c>
      <c r="I44" s="27">
        <f t="shared" si="26"/>
        <v>52286.8898</v>
      </c>
      <c r="J44" s="28">
        <f t="shared" si="23"/>
        <v>0.5949218233</v>
      </c>
      <c r="K44" s="29">
        <v>129853.27</v>
      </c>
      <c r="L44" s="9">
        <f t="shared" si="25"/>
        <v>77252.54415</v>
      </c>
      <c r="M44" s="10"/>
      <c r="N44" s="9"/>
      <c r="O44" s="11"/>
      <c r="P44" s="11"/>
      <c r="Q44" s="11"/>
      <c r="R44" s="11"/>
      <c r="T44" s="11"/>
    </row>
    <row r="45">
      <c r="E45" t="str">
        <f t="shared" si="19"/>
        <v>Darksong Spin</v>
      </c>
      <c r="F45" s="27">
        <f t="shared" si="20"/>
        <v>59653</v>
      </c>
      <c r="G45" s="27">
        <f t="shared" si="21"/>
        <v>72928.28537</v>
      </c>
      <c r="H45" s="27">
        <f t="shared" ref="H45:I45" si="27">F45/2*if($A13=1,3,1)</f>
        <v>89479.5</v>
      </c>
      <c r="I45" s="27">
        <f t="shared" si="27"/>
        <v>109392.4281</v>
      </c>
      <c r="J45" s="28">
        <f t="shared" si="23"/>
        <v>0.3506217275</v>
      </c>
      <c r="K45" s="29">
        <v>158956.88</v>
      </c>
      <c r="L45" s="9">
        <f t="shared" si="25"/>
        <v>55733.73587</v>
      </c>
      <c r="M45" s="10"/>
      <c r="N45" s="9"/>
      <c r="O45" s="11"/>
      <c r="P45" s="11"/>
      <c r="Q45" s="11"/>
      <c r="R45" s="11"/>
      <c r="T45" s="11"/>
    </row>
    <row r="46">
      <c r="C46" s="20"/>
      <c r="E46" t="str">
        <f t="shared" si="19"/>
        <v>Luda's</v>
      </c>
      <c r="F46" s="27">
        <f t="shared" si="20"/>
        <v>70075</v>
      </c>
      <c r="G46" s="27">
        <f t="shared" si="21"/>
        <v>85669.6159</v>
      </c>
      <c r="H46" s="27">
        <f t="shared" ref="H46:I46" si="28">F46/2*if($A14=1,3,1)</f>
        <v>35037.5</v>
      </c>
      <c r="I46" s="27">
        <f t="shared" si="28"/>
        <v>42834.80795</v>
      </c>
      <c r="J46" s="28">
        <f t="shared" si="23"/>
        <v>0.2186218426</v>
      </c>
      <c r="K46" s="29">
        <v>151424.8</v>
      </c>
      <c r="L46" s="9">
        <f t="shared" si="25"/>
        <v>33104.76879</v>
      </c>
      <c r="M46" s="10"/>
      <c r="N46" s="9"/>
      <c r="O46" s="11"/>
      <c r="P46" s="11"/>
      <c r="Q46" s="11"/>
      <c r="R46" s="11"/>
      <c r="T46" s="11"/>
    </row>
    <row r="47">
      <c r="C47" s="20"/>
      <c r="E47" t="str">
        <f t="shared" si="19"/>
        <v>Lanet's</v>
      </c>
      <c r="F47" s="27">
        <f t="shared" si="20"/>
        <v>28814</v>
      </c>
      <c r="G47" s="27">
        <f t="shared" si="21"/>
        <v>35226.31912</v>
      </c>
      <c r="H47" s="27">
        <f t="shared" ref="H47:I47" si="29">F47/2*if($A15=1,3,1)</f>
        <v>14407</v>
      </c>
      <c r="I47" s="27">
        <f t="shared" si="29"/>
        <v>17613.15956</v>
      </c>
      <c r="J47" s="28" t="str">
        <f t="shared" si="23"/>
        <v/>
      </c>
      <c r="K47" s="3"/>
      <c r="L47" s="9" t="str">
        <f t="shared" si="25"/>
        <v/>
      </c>
      <c r="M47" s="10"/>
      <c r="N47" s="9"/>
      <c r="O47" s="11"/>
      <c r="P47" s="11"/>
      <c r="Q47" s="11"/>
      <c r="R47" s="11"/>
      <c r="T47" s="11"/>
    </row>
    <row r="48">
      <c r="E48" t="str">
        <f t="shared" si="19"/>
        <v>Howl of Death</v>
      </c>
      <c r="F48" s="27">
        <f t="shared" si="20"/>
        <v>21323.33333</v>
      </c>
      <c r="G48" s="27">
        <f t="shared" si="21"/>
        <v>26068.66609</v>
      </c>
      <c r="H48" s="27">
        <f t="shared" ref="H48:I48" si="30">F48/2*if($A16=1,3,1)</f>
        <v>10661.66667</v>
      </c>
      <c r="I48" s="27">
        <f t="shared" si="30"/>
        <v>13034.33305</v>
      </c>
      <c r="J48" s="28" t="str">
        <f t="shared" si="23"/>
        <v/>
      </c>
      <c r="K48" s="3"/>
      <c r="L48" s="9" t="str">
        <f t="shared" si="25"/>
        <v/>
      </c>
      <c r="M48" s="10"/>
      <c r="N48" s="9"/>
      <c r="O48" s="11"/>
      <c r="P48" s="11"/>
      <c r="Q48" s="11"/>
      <c r="R48" s="11"/>
      <c r="T48" s="11"/>
    </row>
    <row r="49">
      <c r="C49" s="20"/>
      <c r="E49" t="str">
        <f t="shared" si="19"/>
        <v>Turnstrike</v>
      </c>
      <c r="F49" s="27">
        <f t="shared" si="20"/>
        <v>26748.66667</v>
      </c>
      <c r="G49" s="27">
        <f t="shared" si="21"/>
        <v>32701.36281</v>
      </c>
      <c r="H49" s="27">
        <f t="shared" ref="H49:I49" si="31">F49/2*if($A17=1,3,1)</f>
        <v>13374.33333</v>
      </c>
      <c r="I49" s="27">
        <f t="shared" si="31"/>
        <v>16350.68141</v>
      </c>
      <c r="J49" s="28" t="str">
        <f t="shared" si="23"/>
        <v/>
      </c>
      <c r="K49" s="3"/>
      <c r="L49" s="9" t="str">
        <f t="shared" si="25"/>
        <v/>
      </c>
      <c r="M49" s="10"/>
      <c r="N49" s="9"/>
      <c r="O49" s="11"/>
      <c r="P49" s="11"/>
      <c r="Q49" s="11"/>
      <c r="R49" s="11"/>
      <c r="T49" s="11"/>
    </row>
    <row r="50">
      <c r="C50" s="20"/>
      <c r="E50" t="str">
        <f t="shared" si="19"/>
        <v>Bump</v>
      </c>
      <c r="F50" s="27">
        <f t="shared" si="20"/>
        <v>14329.33333</v>
      </c>
      <c r="G50" s="27">
        <f t="shared" si="21"/>
        <v>17518.20882</v>
      </c>
      <c r="H50" s="27">
        <f t="shared" ref="H50:I50" si="32">F50/2*if($A18=1,3,1)</f>
        <v>7164.666667</v>
      </c>
      <c r="I50" s="27">
        <f t="shared" si="32"/>
        <v>8759.104408</v>
      </c>
      <c r="J50" s="28" t="str">
        <f t="shared" si="23"/>
        <v/>
      </c>
      <c r="K50" s="3"/>
      <c r="L50" s="9" t="str">
        <f t="shared" si="25"/>
        <v/>
      </c>
      <c r="M50" s="10"/>
      <c r="N50" s="9"/>
      <c r="O50" s="11"/>
      <c r="P50" s="11"/>
      <c r="Q50" s="11"/>
      <c r="R50" s="11"/>
      <c r="T50" s="11"/>
    </row>
    <row r="51">
      <c r="C51" s="20"/>
      <c r="E51" t="str">
        <f t="shared" si="19"/>
        <v>Misfortune's Kiss</v>
      </c>
      <c r="F51" s="27">
        <f t="shared" si="20"/>
        <v>60440</v>
      </c>
      <c r="G51" s="27">
        <f t="shared" si="21"/>
        <v>73890.42576</v>
      </c>
      <c r="H51" s="27">
        <f t="shared" ref="H51:I51" si="33">F51/2*if($A19=1,3,1)</f>
        <v>30220</v>
      </c>
      <c r="I51" s="27">
        <f t="shared" si="33"/>
        <v>36945.21288</v>
      </c>
      <c r="J51" s="28">
        <f t="shared" si="23"/>
        <v>0.1832385142</v>
      </c>
      <c r="K51" s="29">
        <v>23513.43</v>
      </c>
      <c r="L51" s="9">
        <f t="shared" si="25"/>
        <v>4308.565977</v>
      </c>
      <c r="M51" s="10"/>
      <c r="N51" s="9"/>
      <c r="O51" s="11"/>
      <c r="P51" s="11"/>
      <c r="Q51" s="11"/>
      <c r="R51" s="11"/>
      <c r="T51" s="11"/>
    </row>
    <row r="52">
      <c r="E52" t="str">
        <f t="shared" si="19"/>
        <v>Jarols Sorrowful</v>
      </c>
      <c r="F52" s="27">
        <f t="shared" si="20"/>
        <v>27666</v>
      </c>
      <c r="G52" s="27">
        <f t="shared" si="21"/>
        <v>33822.84115</v>
      </c>
      <c r="H52" s="27">
        <f t="shared" ref="H52:I52" si="34">F52/2*if($A20=1,3,1)</f>
        <v>41499</v>
      </c>
      <c r="I52" s="27">
        <f t="shared" si="34"/>
        <v>50734.26172</v>
      </c>
      <c r="J52" s="28">
        <f t="shared" si="23"/>
        <v>0.5774448446</v>
      </c>
      <c r="K52" s="3"/>
      <c r="L52" s="9" t="str">
        <f t="shared" si="25"/>
        <v/>
      </c>
      <c r="M52" s="10"/>
      <c r="N52" s="9"/>
      <c r="O52" s="11"/>
      <c r="P52" s="11"/>
      <c r="Q52" s="11"/>
      <c r="R52" s="11"/>
      <c r="T52" s="11"/>
    </row>
    <row r="53">
      <c r="E53" t="str">
        <f t="shared" si="19"/>
        <v>Banshee</v>
      </c>
      <c r="F53" s="27">
        <f t="shared" si="20"/>
        <v>31929.33333</v>
      </c>
      <c r="G53" s="27">
        <f t="shared" si="21"/>
        <v>39034.94431</v>
      </c>
      <c r="H53" s="27">
        <f t="shared" ref="H53:I53" si="35">F53/2*if($A21=1,3,1)</f>
        <v>15964.66667</v>
      </c>
      <c r="I53" s="27">
        <f t="shared" si="35"/>
        <v>19517.47216</v>
      </c>
      <c r="J53" s="28" t="str">
        <f t="shared" si="23"/>
        <v/>
      </c>
      <c r="K53" s="3"/>
      <c r="L53" s="9" t="str">
        <f t="shared" si="25"/>
        <v/>
      </c>
      <c r="M53" s="10"/>
      <c r="N53" s="9"/>
      <c r="O53" s="11"/>
      <c r="P53" s="11"/>
      <c r="Q53" s="11"/>
      <c r="R53" s="11"/>
      <c r="T53" s="11"/>
    </row>
    <row r="54">
      <c r="C54" s="20"/>
      <c r="E54" t="str">
        <f t="shared" si="19"/>
        <v>Evade</v>
      </c>
      <c r="F54" s="27">
        <f t="shared" si="20"/>
        <v>65082</v>
      </c>
      <c r="G54" s="27">
        <f t="shared" si="21"/>
        <v>79565.46475</v>
      </c>
      <c r="H54" s="27">
        <f t="shared" ref="H54:I54" si="36">F54/2*if($A22=1,3,1)</f>
        <v>32541</v>
      </c>
      <c r="I54" s="27">
        <f t="shared" si="36"/>
        <v>39782.73237</v>
      </c>
      <c r="J54" s="28">
        <f t="shared" si="23"/>
        <v>0.2013331066</v>
      </c>
      <c r="K54" s="29">
        <v>307839.18</v>
      </c>
      <c r="L54" s="9">
        <f t="shared" si="25"/>
        <v>61978.21843</v>
      </c>
      <c r="M54" s="10"/>
      <c r="N54" s="9"/>
      <c r="O54" s="11"/>
      <c r="P54" s="11"/>
      <c r="Q54" s="11"/>
      <c r="R54" s="11"/>
      <c r="T54" s="11"/>
    </row>
    <row r="55">
      <c r="C55" s="20"/>
      <c r="E55" t="str">
        <f t="shared" si="19"/>
        <v>Sinister</v>
      </c>
      <c r="F55" s="27">
        <f t="shared" si="20"/>
        <v>84917</v>
      </c>
      <c r="G55" s="27">
        <f t="shared" si="21"/>
        <v>103814.5811</v>
      </c>
      <c r="H55" s="27">
        <f t="shared" ref="H55:I55" si="37">F55/2*if($A23=1,3,1)</f>
        <v>42458.5</v>
      </c>
      <c r="I55" s="27">
        <f t="shared" si="37"/>
        <v>51907.29057</v>
      </c>
      <c r="J55" s="28">
        <f t="shared" si="23"/>
        <v>0.2599307376</v>
      </c>
      <c r="K55" s="3"/>
      <c r="L55" s="9" t="str">
        <f t="shared" si="25"/>
        <v/>
      </c>
      <c r="M55" s="10"/>
      <c r="N55" s="9"/>
      <c r="O55" s="11"/>
      <c r="P55" s="11"/>
      <c r="Q55" s="11"/>
      <c r="R55" s="11"/>
      <c r="T55" s="11"/>
    </row>
    <row r="56">
      <c r="C56" s="20"/>
      <c r="E56" t="str">
        <f t="shared" si="19"/>
        <v>Evasive</v>
      </c>
      <c r="F56" s="27">
        <f t="shared" si="20"/>
        <v>48402</v>
      </c>
      <c r="G56" s="27">
        <f t="shared" si="21"/>
        <v>59173.4677</v>
      </c>
      <c r="H56" s="27">
        <f t="shared" ref="H56:I56" si="38">F56/2*if($A24=1,3,1)</f>
        <v>24201</v>
      </c>
      <c r="I56" s="27">
        <f t="shared" si="38"/>
        <v>29586.73385</v>
      </c>
      <c r="J56" s="28">
        <f t="shared" si="23"/>
        <v>0.124194794</v>
      </c>
      <c r="K56" s="30">
        <v>78168.69</v>
      </c>
      <c r="L56" s="9">
        <f t="shared" si="25"/>
        <v>9708.144349</v>
      </c>
      <c r="M56" s="10"/>
      <c r="N56" s="9"/>
      <c r="O56" s="11"/>
      <c r="P56" s="11"/>
      <c r="Q56" s="11"/>
      <c r="R56" s="11"/>
      <c r="T56" s="11"/>
    </row>
    <row r="57">
      <c r="C57" s="20"/>
      <c r="E57" t="str">
        <f t="shared" si="19"/>
        <v>Messenger's</v>
      </c>
      <c r="F57" s="27">
        <f t="shared" si="20"/>
        <v>9552.666667</v>
      </c>
      <c r="G57" s="27">
        <f t="shared" si="21"/>
        <v>11678.5342</v>
      </c>
      <c r="H57" s="27">
        <f t="shared" ref="H57:I57" si="39">F57/2*if($A25=1,3,1)</f>
        <v>4776.333333</v>
      </c>
      <c r="I57" s="27">
        <f t="shared" si="39"/>
        <v>5839.267101</v>
      </c>
      <c r="J57" s="28" t="str">
        <f t="shared" si="23"/>
        <v/>
      </c>
      <c r="K57" s="3"/>
      <c r="L57" s="9" t="str">
        <f t="shared" si="25"/>
        <v/>
      </c>
      <c r="M57" s="10"/>
      <c r="N57" s="9"/>
      <c r="O57" s="11"/>
      <c r="P57" s="11"/>
      <c r="Q57" s="11"/>
      <c r="R57" s="11"/>
      <c r="T57" s="11"/>
    </row>
    <row r="58">
      <c r="E58" t="str">
        <f t="shared" si="19"/>
        <v>Dragonwrath</v>
      </c>
      <c r="F58" s="27">
        <f t="shared" si="20"/>
        <v>55196</v>
      </c>
      <c r="G58" s="27">
        <f t="shared" si="21"/>
        <v>67479.41662</v>
      </c>
      <c r="H58" s="27">
        <f t="shared" ref="H58:I58" si="40">F58/2*if($A26=1,3,1)</f>
        <v>27598</v>
      </c>
      <c r="I58" s="27">
        <f t="shared" si="40"/>
        <v>33739.70831</v>
      </c>
      <c r="J58" s="28">
        <f t="shared" si="23"/>
        <v>0.1599660974</v>
      </c>
      <c r="K58" s="3"/>
      <c r="L58" s="9" t="str">
        <f t="shared" si="25"/>
        <v/>
      </c>
      <c r="M58" s="10"/>
      <c r="N58" s="9"/>
      <c r="O58" s="11"/>
      <c r="P58" s="11"/>
      <c r="Q58" s="11"/>
      <c r="R58" s="11"/>
      <c r="T58" s="11"/>
    </row>
    <row r="59">
      <c r="E59" t="str">
        <f t="shared" si="19"/>
        <v>Round Bash</v>
      </c>
      <c r="F59" s="27">
        <f t="shared" si="20"/>
        <v>16718</v>
      </c>
      <c r="G59" s="27">
        <f t="shared" si="21"/>
        <v>20438.45364</v>
      </c>
      <c r="H59" s="27">
        <f t="shared" ref="H59:I59" si="41">F59/2*if($A27=1,3,1)</f>
        <v>8359</v>
      </c>
      <c r="I59" s="27">
        <f t="shared" si="41"/>
        <v>10219.22682</v>
      </c>
      <c r="J59" s="28" t="str">
        <f t="shared" si="23"/>
        <v/>
      </c>
      <c r="K59" s="3"/>
      <c r="L59" s="9" t="str">
        <f t="shared" si="25"/>
        <v/>
      </c>
      <c r="M59" s="10"/>
      <c r="N59" s="9"/>
      <c r="O59" s="11"/>
      <c r="P59" s="11"/>
      <c r="Q59" s="11"/>
      <c r="R59" s="11"/>
      <c r="T59" s="11"/>
    </row>
    <row r="60">
      <c r="E60" t="str">
        <f t="shared" si="19"/>
        <v>Scream1</v>
      </c>
      <c r="F60" s="27">
        <f t="shared" si="20"/>
        <v>68965</v>
      </c>
      <c r="G60" s="27">
        <f t="shared" si="21"/>
        <v>84312.59452</v>
      </c>
      <c r="H60" s="27">
        <f t="shared" ref="H60:I60" si="42">F60/2*if($A28=1,3,1)</f>
        <v>34482.5</v>
      </c>
      <c r="I60" s="27">
        <f t="shared" si="42"/>
        <v>42156.29726</v>
      </c>
      <c r="J60" s="28">
        <f t="shared" si="23"/>
        <v>0.2149536421</v>
      </c>
      <c r="K60" s="3"/>
      <c r="L60" s="9" t="str">
        <f t="shared" si="25"/>
        <v/>
      </c>
      <c r="M60" s="10"/>
      <c r="N60" s="9"/>
      <c r="O60" s="11"/>
      <c r="P60" s="11"/>
      <c r="Q60" s="11"/>
      <c r="R60" s="11"/>
      <c r="T60" s="11"/>
    </row>
    <row r="61">
      <c r="D61" s="20">
        <v>1.0</v>
      </c>
      <c r="E61" t="str">
        <f t="shared" si="19"/>
        <v>Scream2</v>
      </c>
      <c r="F61" s="27">
        <f t="shared" si="20"/>
        <v>0</v>
      </c>
      <c r="G61" s="27">
        <f t="shared" si="21"/>
        <v>0</v>
      </c>
      <c r="H61" s="27">
        <f t="shared" ref="H61:I61" si="43">F61/2*if($A29=1,3,1)</f>
        <v>0</v>
      </c>
      <c r="I61" s="27">
        <f t="shared" si="43"/>
        <v>0</v>
      </c>
      <c r="J61" s="28" t="str">
        <f t="shared" si="23"/>
        <v/>
      </c>
      <c r="K61" s="3"/>
      <c r="L61" s="9" t="str">
        <f t="shared" si="25"/>
        <v/>
      </c>
      <c r="M61" s="10"/>
      <c r="N61" s="9"/>
      <c r="O61" s="11"/>
      <c r="P61" s="11"/>
      <c r="Q61" s="11"/>
      <c r="R61" s="11"/>
      <c r="T61" s="11"/>
    </row>
    <row r="62">
      <c r="B62" s="1"/>
      <c r="D62" s="20">
        <v>1.0</v>
      </c>
      <c r="E62" t="str">
        <f t="shared" si="19"/>
        <v>Scream3</v>
      </c>
      <c r="F62" s="27">
        <f t="shared" si="20"/>
        <v>0</v>
      </c>
      <c r="G62" s="27">
        <f t="shared" si="21"/>
        <v>0</v>
      </c>
      <c r="H62" s="27">
        <f t="shared" ref="H62:I62" si="44">F62/2*if($A30=1,3,1)</f>
        <v>0</v>
      </c>
      <c r="I62" s="27">
        <f t="shared" si="44"/>
        <v>0</v>
      </c>
      <c r="J62" s="28" t="str">
        <f t="shared" si="23"/>
        <v/>
      </c>
      <c r="K62" s="3"/>
      <c r="L62" s="9" t="str">
        <f t="shared" si="25"/>
        <v/>
      </c>
      <c r="M62" s="10"/>
      <c r="N62" s="9"/>
      <c r="O62" s="11"/>
      <c r="P62" s="11"/>
      <c r="Q62" s="11"/>
      <c r="R62" s="11"/>
      <c r="T62" s="11"/>
    </row>
    <row r="63">
      <c r="B63" s="1"/>
      <c r="D63" s="20">
        <v>1.0</v>
      </c>
      <c r="E63" t="str">
        <f t="shared" si="19"/>
        <v>Scream Total</v>
      </c>
      <c r="F63" s="27">
        <f t="shared" si="20"/>
        <v>43030</v>
      </c>
      <c r="G63" s="27">
        <f t="shared" si="21"/>
        <v>52605.9732</v>
      </c>
      <c r="H63" s="27">
        <f t="shared" ref="H63:I63" si="45">F63/2*if($A31=1,3,1)</f>
        <v>21515</v>
      </c>
      <c r="I63" s="27">
        <f t="shared" si="45"/>
        <v>26302.9866</v>
      </c>
      <c r="J63" s="28">
        <f t="shared" si="23"/>
        <v>0.0900988992</v>
      </c>
      <c r="K63" s="3"/>
      <c r="L63" s="9" t="str">
        <f t="shared" si="25"/>
        <v/>
      </c>
      <c r="M63" s="10"/>
      <c r="N63" s="9"/>
      <c r="O63" s="11"/>
      <c r="P63" s="11"/>
      <c r="Q63" s="11"/>
      <c r="R63" s="11"/>
      <c r="T63" s="11"/>
    </row>
    <row r="64">
      <c r="B64" s="1"/>
      <c r="E64" t="str">
        <f t="shared" si="19"/>
        <v>Rhythm Blade</v>
      </c>
      <c r="F64" s="27">
        <f t="shared" si="20"/>
        <v>12604.66667</v>
      </c>
      <c r="G64" s="27">
        <f t="shared" si="21"/>
        <v>15409.73174</v>
      </c>
      <c r="H64" s="27">
        <f t="shared" ref="H64:I64" si="46">F64/2*if($A32=1,3,1)</f>
        <v>6302.333333</v>
      </c>
      <c r="I64" s="27">
        <f t="shared" si="46"/>
        <v>7704.865872</v>
      </c>
      <c r="J64" s="28" t="str">
        <f t="shared" si="23"/>
        <v/>
      </c>
      <c r="K64" s="3"/>
      <c r="L64" s="9" t="str">
        <f t="shared" si="25"/>
        <v/>
      </c>
      <c r="M64" s="10"/>
      <c r="N64" s="9"/>
      <c r="O64" s="11"/>
      <c r="P64" s="11"/>
      <c r="Q64" s="11"/>
      <c r="R64" s="11"/>
      <c r="T64" s="11"/>
    </row>
    <row r="65">
      <c r="B65" s="1"/>
      <c r="C65" s="20"/>
      <c r="E65" t="str">
        <f t="shared" si="19"/>
        <v>Jael's Dreadful</v>
      </c>
      <c r="F65" s="27">
        <f t="shared" si="20"/>
        <v>36942.66667</v>
      </c>
      <c r="G65" s="27">
        <f t="shared" si="21"/>
        <v>45163.95382</v>
      </c>
      <c r="H65" s="27">
        <f t="shared" ref="H65:I65" si="47">F65/2*if($A33=1,3,1)</f>
        <v>18471.33333</v>
      </c>
      <c r="I65" s="27">
        <f t="shared" si="47"/>
        <v>22581.97691</v>
      </c>
      <c r="J65" s="28">
        <f t="shared" si="23"/>
        <v>0.04312847641</v>
      </c>
      <c r="K65" s="29">
        <v>39794.63</v>
      </c>
      <c r="L65" s="9">
        <f t="shared" si="25"/>
        <v>1716.281761</v>
      </c>
      <c r="M65" s="10"/>
      <c r="N65" s="9"/>
      <c r="O65" s="11"/>
      <c r="P65" s="11"/>
      <c r="Q65" s="11"/>
      <c r="R65" s="11"/>
      <c r="T65" s="11"/>
    </row>
    <row r="66">
      <c r="B66" s="1"/>
      <c r="E66" t="str">
        <f t="shared" si="19"/>
        <v>Tarven's</v>
      </c>
      <c r="F66" s="27">
        <f t="shared" si="20"/>
        <v>8282</v>
      </c>
      <c r="G66" s="27">
        <f t="shared" si="21"/>
        <v>10125.0911</v>
      </c>
      <c r="H66" s="27">
        <f t="shared" ref="H66:I66" si="48">F66/2*if($A34=1,3,1)</f>
        <v>4141</v>
      </c>
      <c r="I66" s="27">
        <f t="shared" si="48"/>
        <v>5062.54555</v>
      </c>
      <c r="J66" s="28" t="str">
        <f t="shared" si="23"/>
        <v/>
      </c>
      <c r="K66" s="3"/>
      <c r="L66" s="9" t="str">
        <f>if(J66="","",J66*K66)</f>
        <v/>
      </c>
      <c r="M66" s="10"/>
      <c r="N66" s="16" t="s">
        <v>140</v>
      </c>
      <c r="O66" s="13" t="s">
        <v>141</v>
      </c>
      <c r="P66" s="13" t="s">
        <v>142</v>
      </c>
      <c r="Q66" s="11"/>
      <c r="R66" s="11"/>
      <c r="T66" s="11"/>
    </row>
    <row r="67">
      <c r="B67" s="1"/>
      <c r="E67" t="str">
        <f t="shared" si="19"/>
        <v/>
      </c>
      <c r="F67">
        <f>Max(F35+H35*J35*K35-$B$7,(F35+H35*J35*K35)/1.5)/2</f>
        <v>0</v>
      </c>
      <c r="I67" s="2"/>
      <c r="J67" s="31"/>
      <c r="K67" s="3"/>
      <c r="L67" s="9">
        <f>sum(L42:L66)</f>
        <v>278265.4246</v>
      </c>
      <c r="M67" s="10">
        <f>J39-B7</f>
        <v>32505.8898</v>
      </c>
      <c r="N67" s="9">
        <v>51551.131060775886</v>
      </c>
      <c r="O67" s="11">
        <v>1630.5969019337172</v>
      </c>
      <c r="P67" s="11">
        <f t="shared" ref="P67:P68" si="49">N67/O67</f>
        <v>31.61488348</v>
      </c>
      <c r="Q67" s="11"/>
      <c r="R67" s="11"/>
      <c r="T67" s="11"/>
    </row>
    <row r="68">
      <c r="B68" s="1"/>
      <c r="D68" s="6"/>
      <c r="E68" s="6"/>
      <c r="F68" s="6"/>
      <c r="I68" s="2"/>
      <c r="K68" s="3"/>
      <c r="L68" s="9"/>
      <c r="M68" s="10"/>
      <c r="N68" s="9">
        <v>278265.4246262847</v>
      </c>
      <c r="O68" s="11">
        <v>32505.88979666571</v>
      </c>
      <c r="P68" s="11">
        <f t="shared" si="49"/>
        <v>8.5604617</v>
      </c>
      <c r="Q68" s="11"/>
      <c r="R68" s="11"/>
      <c r="T68" s="11"/>
    </row>
    <row r="69">
      <c r="B69" s="1"/>
      <c r="D69" s="6"/>
      <c r="E69" s="6"/>
      <c r="F69" s="6"/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/>
      <c r="D70" s="6"/>
      <c r="E70" s="6"/>
      <c r="F70" s="6"/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/>
      <c r="D71" s="6"/>
      <c r="E71" s="6"/>
      <c r="F71" s="6"/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/>
      <c r="D72" s="6"/>
      <c r="E72" s="6"/>
      <c r="F72" s="6"/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/>
      <c r="D73" s="6"/>
      <c r="E73" s="6"/>
      <c r="F73" s="6"/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/>
      <c r="D74" s="6"/>
      <c r="E74" s="6"/>
      <c r="F74" s="6"/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/>
      <c r="D75" s="6"/>
      <c r="E75" s="6"/>
      <c r="F75" s="6"/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/>
      <c r="D76" s="6"/>
      <c r="E76" s="6"/>
      <c r="F76" s="6"/>
      <c r="I76" s="2"/>
      <c r="K76" s="3"/>
      <c r="L76" s="9"/>
      <c r="M76" s="10"/>
      <c r="N76" s="9"/>
      <c r="O76" s="11"/>
      <c r="P76" s="11"/>
      <c r="Q76" s="11"/>
      <c r="R76" s="11"/>
      <c r="T76" s="11"/>
    </row>
    <row r="77">
      <c r="B77" s="1"/>
      <c r="D77" s="6"/>
      <c r="E77" s="6"/>
      <c r="F77" s="6"/>
      <c r="I77" s="2"/>
      <c r="K77" s="3"/>
      <c r="L77" s="4"/>
    </row>
    <row r="78">
      <c r="B78" s="1"/>
      <c r="D78" s="6"/>
      <c r="E78" s="6"/>
      <c r="F78" s="6"/>
      <c r="I78" s="2"/>
      <c r="K78" s="3"/>
      <c r="L78" s="4"/>
    </row>
    <row r="79">
      <c r="D79" s="6"/>
      <c r="E79" s="6"/>
      <c r="F79" s="6"/>
      <c r="I79" s="2"/>
      <c r="K79" s="3"/>
      <c r="L79" s="4"/>
    </row>
    <row r="80">
      <c r="D80" s="6"/>
      <c r="E80" s="6"/>
      <c r="F80" s="6"/>
      <c r="I80" s="2"/>
      <c r="K80" s="3"/>
      <c r="L80" s="4"/>
    </row>
    <row r="81">
      <c r="D81" s="6"/>
      <c r="E81" s="6"/>
      <c r="F81" s="6"/>
      <c r="I81" s="2"/>
      <c r="K81" s="3"/>
      <c r="L81" s="4"/>
    </row>
    <row r="82">
      <c r="D82" s="6"/>
      <c r="E82" s="6"/>
      <c r="F82" s="6"/>
      <c r="I82" s="2"/>
      <c r="K82" s="3"/>
      <c r="L82" s="4"/>
    </row>
    <row r="83">
      <c r="E83" s="6"/>
      <c r="F83" s="6"/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B87" s="1"/>
      <c r="C87" s="1"/>
      <c r="D87" s="1"/>
      <c r="E87" s="6"/>
      <c r="I87" s="2"/>
      <c r="K87" s="3"/>
      <c r="L87" s="4"/>
    </row>
    <row r="88">
      <c r="B88" s="1"/>
      <c r="C88" s="1"/>
      <c r="D88" s="1"/>
      <c r="E88" s="6"/>
      <c r="I88" s="2"/>
      <c r="K88" s="3"/>
      <c r="L88" s="4"/>
    </row>
    <row r="89">
      <c r="B89" s="1"/>
      <c r="C89" s="1"/>
      <c r="D89" s="19"/>
      <c r="E89" s="6"/>
      <c r="F89" s="6"/>
      <c r="I89" s="2"/>
      <c r="K89" s="3"/>
      <c r="L89" s="4"/>
    </row>
    <row r="90">
      <c r="E90" s="6"/>
      <c r="F90" s="6"/>
      <c r="I90" s="2"/>
      <c r="K90" s="3"/>
      <c r="L90" s="4"/>
    </row>
    <row r="91">
      <c r="E91" s="1"/>
      <c r="F91" s="1"/>
      <c r="I91" s="2"/>
      <c r="K91" s="3"/>
      <c r="L91" s="4"/>
    </row>
    <row r="92">
      <c r="B92" s="1"/>
      <c r="C92" s="21"/>
      <c r="D92" s="19"/>
      <c r="I92" s="2"/>
      <c r="K92" s="3"/>
      <c r="L92" s="4"/>
    </row>
    <row r="93">
      <c r="C93" s="21"/>
      <c r="D93" s="19"/>
      <c r="E93" s="1"/>
      <c r="F93" s="6"/>
      <c r="G93" s="1"/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  <row r="101">
      <c r="I101" s="2"/>
      <c r="K101" s="3"/>
      <c r="L101" s="4"/>
    </row>
  </sheetData>
  <autoFilter ref="$A$8:$U$3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>
        <f>1.5+1785%</f>
        <v>19.35</v>
      </c>
      <c r="I1" s="2"/>
      <c r="K1" s="3"/>
      <c r="L1" s="4"/>
    </row>
    <row r="2">
      <c r="A2" s="1" t="s">
        <v>1</v>
      </c>
      <c r="B2" s="20" t="s">
        <v>143</v>
      </c>
      <c r="I2" s="2"/>
      <c r="K2" s="3"/>
      <c r="L2" s="4"/>
    </row>
    <row r="3">
      <c r="A3" s="1" t="s">
        <v>2</v>
      </c>
      <c r="B3" s="19">
        <v>0.45</v>
      </c>
      <c r="I3" s="2"/>
      <c r="K3" s="3"/>
      <c r="L3" s="4"/>
    </row>
    <row r="4">
      <c r="A4" s="1" t="s">
        <v>3</v>
      </c>
      <c r="B4" s="20">
        <v>1.0</v>
      </c>
      <c r="I4" s="2"/>
      <c r="K4" s="3"/>
      <c r="L4" s="4"/>
    </row>
    <row r="5">
      <c r="A5" s="20" t="s">
        <v>103</v>
      </c>
      <c r="B5" s="5">
        <v>15.7</v>
      </c>
      <c r="C5" s="32">
        <v>20.13</v>
      </c>
      <c r="I5" s="2"/>
      <c r="K5" s="3"/>
      <c r="L5" s="4"/>
    </row>
    <row r="6">
      <c r="A6" s="20" t="s">
        <v>104</v>
      </c>
      <c r="B6" s="23">
        <v>13128.0</v>
      </c>
      <c r="C6" s="20">
        <v>19697.0</v>
      </c>
      <c r="D6" s="24">
        <f t="shared" ref="D6:E6" si="1">(floor((log(B$6,2)*0.28-1.2)*100,0.001)/100)</f>
        <v>2.6305</v>
      </c>
      <c r="E6" s="24">
        <f t="shared" si="1"/>
        <v>2.79439</v>
      </c>
      <c r="I6" s="2"/>
      <c r="K6" s="3"/>
      <c r="L6" s="4"/>
    </row>
    <row r="7">
      <c r="A7" s="20" t="s">
        <v>105</v>
      </c>
      <c r="B7" s="23">
        <v>64269.0</v>
      </c>
      <c r="I7" s="2"/>
      <c r="K7" s="3"/>
      <c r="L7" s="4"/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5" t="s">
        <v>14</v>
      </c>
      <c r="J8" s="1" t="s">
        <v>15</v>
      </c>
      <c r="K8" s="7" t="s">
        <v>16</v>
      </c>
      <c r="L8" s="8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T8" s="1" t="s">
        <v>69</v>
      </c>
      <c r="U8" s="1" t="s">
        <v>70</v>
      </c>
    </row>
    <row r="9">
      <c r="B9" s="33" t="s">
        <v>107</v>
      </c>
      <c r="C9" s="20">
        <v>0.25</v>
      </c>
      <c r="D9" s="20">
        <v>15.0</v>
      </c>
      <c r="E9" s="20">
        <v>70657.0</v>
      </c>
      <c r="F9" s="20">
        <v>81263.0</v>
      </c>
      <c r="G9" s="6">
        <f t="shared" ref="G9:H9" si="2">E9</f>
        <v>70657</v>
      </c>
      <c r="H9" s="6">
        <f t="shared" si="2"/>
        <v>81263</v>
      </c>
      <c r="I9" s="2"/>
      <c r="J9" s="20">
        <v>1.0</v>
      </c>
      <c r="K9" s="25">
        <v>11.0</v>
      </c>
      <c r="L9" s="9">
        <f t="shared" ref="L9:L37" si="3">if(E9*($B$1+$I9)&lt;(F9+1),F9+1,E9*($I9+$B$1))</f>
        <v>1367212.95</v>
      </c>
      <c r="M9" s="10">
        <f t="shared" ref="M9:M37" si="4">F9*($B$1+$I9)</f>
        <v>1572439.05</v>
      </c>
      <c r="N9" s="9">
        <f t="shared" ref="N9:N37" si="5">if(if(G9*($B$1+$I9)&lt;(H9+1),H9+1,G9*($I9+$B$1))=1,0,if(G9*($B$1+$I9)&lt;(H9+1),H9+1,G9*($I9+$B$1)))</f>
        <v>1367212.95</v>
      </c>
      <c r="O9" s="11">
        <f t="shared" ref="O9:O37" si="6">H9*($B$1+$I9)</f>
        <v>1572439.05</v>
      </c>
      <c r="P9" s="11">
        <f t="shared" ref="P9:P37" si="7">M9+O9*K9*J9</f>
        <v>18869268.6</v>
      </c>
      <c r="Q9" s="11">
        <f t="shared" ref="Q9:Q37" si="8">(if($A9=1,$B$4,1)*((L9*E9+F9*M9)/(E9+F9)+if(G9&gt;0,(N9*G9+H9*O9)/(G9+H9)*J9*K9,0)))*(if($U9=0,1+$B$3,1))</f>
        <v>17723876.77</v>
      </c>
      <c r="R9" s="11">
        <f t="shared" ref="R9:R37" si="9">Q9/(C9+0.5*(1/(1+$B$5)))</f>
        <v>63313099.91</v>
      </c>
      <c r="S9" s="6" t="str">
        <f t="shared" ref="S9:S37" si="10">B9</f>
        <v>Dagger Storm</v>
      </c>
      <c r="T9" s="11">
        <f t="shared" ref="T9:T37" si="11">$Q9/(($C9+if($D9&lt;=$J9,$J9,$D9)))</f>
        <v>1162221.428</v>
      </c>
      <c r="U9" s="20">
        <v>1.0</v>
      </c>
    </row>
    <row r="10">
      <c r="B10" s="20" t="s">
        <v>144</v>
      </c>
      <c r="C10" s="20">
        <v>0.25</v>
      </c>
      <c r="D10" s="20">
        <v>5.0</v>
      </c>
      <c r="E10" s="20">
        <v>127084.0</v>
      </c>
      <c r="F10" s="20">
        <v>161093.0</v>
      </c>
      <c r="G10">
        <f>27434+54867*$B$4</f>
        <v>82301</v>
      </c>
      <c r="H10">
        <f>50948+101897*$B$4</f>
        <v>152845</v>
      </c>
      <c r="I10" s="2"/>
      <c r="J10" s="20">
        <v>1.0</v>
      </c>
      <c r="K10" s="25">
        <v>1.0</v>
      </c>
      <c r="L10" s="9">
        <f t="shared" si="3"/>
        <v>2459075.4</v>
      </c>
      <c r="M10" s="10">
        <f t="shared" si="4"/>
        <v>3117149.55</v>
      </c>
      <c r="N10" s="9">
        <f t="shared" si="5"/>
        <v>1592524.35</v>
      </c>
      <c r="O10" s="11">
        <f t="shared" si="6"/>
        <v>2957550.75</v>
      </c>
      <c r="P10" s="11">
        <f t="shared" si="7"/>
        <v>6074700.3</v>
      </c>
      <c r="Q10" s="11">
        <f t="shared" si="8"/>
        <v>5306735.638</v>
      </c>
      <c r="R10" s="11">
        <f t="shared" si="9"/>
        <v>18956681.32</v>
      </c>
      <c r="S10" s="6" t="str">
        <f t="shared" si="10"/>
        <v>Nightblade</v>
      </c>
      <c r="T10" s="11">
        <f t="shared" si="11"/>
        <v>1010806.788</v>
      </c>
      <c r="U10" s="20">
        <v>1.0</v>
      </c>
    </row>
    <row r="11">
      <c r="A11" s="20"/>
      <c r="B11" s="33" t="s">
        <v>145</v>
      </c>
      <c r="C11" s="20">
        <v>0.25</v>
      </c>
      <c r="D11" s="20">
        <v>5.0</v>
      </c>
      <c r="E11" s="20">
        <f>115808+57200</f>
        <v>173008</v>
      </c>
      <c r="F11" s="20">
        <f>138900+80292</f>
        <v>219192</v>
      </c>
      <c r="G11" s="26"/>
      <c r="H11" s="26"/>
      <c r="I11" s="2"/>
      <c r="J11" s="20"/>
      <c r="K11" s="25"/>
      <c r="L11" s="9">
        <f t="shared" si="3"/>
        <v>3347704.8</v>
      </c>
      <c r="M11" s="10">
        <f t="shared" si="4"/>
        <v>4241365.2</v>
      </c>
      <c r="N11" s="9">
        <f t="shared" si="5"/>
        <v>0</v>
      </c>
      <c r="O11" s="11">
        <f t="shared" si="6"/>
        <v>0</v>
      </c>
      <c r="P11" s="11">
        <f t="shared" si="7"/>
        <v>4241365.2</v>
      </c>
      <c r="Q11" s="11">
        <f t="shared" si="8"/>
        <v>3847152.047</v>
      </c>
      <c r="R11" s="11">
        <f t="shared" si="9"/>
        <v>13742767.74</v>
      </c>
      <c r="S11" s="6" t="str">
        <f t="shared" si="10"/>
        <v>Ambush</v>
      </c>
      <c r="T11" s="11">
        <f t="shared" si="11"/>
        <v>732790.8662</v>
      </c>
      <c r="U11" s="20">
        <v>1.0</v>
      </c>
    </row>
    <row r="12">
      <c r="A12" s="20"/>
      <c r="B12" s="33" t="s">
        <v>146</v>
      </c>
      <c r="C12" s="20">
        <v>0.25</v>
      </c>
      <c r="D12" s="20">
        <v>5.0</v>
      </c>
      <c r="E12" s="20">
        <f>84850+38266</f>
        <v>123116</v>
      </c>
      <c r="F12" s="20">
        <f>112322+53714</f>
        <v>166036</v>
      </c>
      <c r="I12" s="2"/>
      <c r="J12" s="1"/>
      <c r="K12" s="7"/>
      <c r="L12" s="9">
        <f t="shared" si="3"/>
        <v>2382294.6</v>
      </c>
      <c r="M12" s="10">
        <f t="shared" si="4"/>
        <v>3212796.6</v>
      </c>
      <c r="N12" s="9">
        <f t="shared" si="5"/>
        <v>0</v>
      </c>
      <c r="O12" s="11">
        <f t="shared" si="6"/>
        <v>0</v>
      </c>
      <c r="P12" s="11">
        <f t="shared" si="7"/>
        <v>3212796.6</v>
      </c>
      <c r="Q12" s="11">
        <f t="shared" si="8"/>
        <v>2859182.984</v>
      </c>
      <c r="R12" s="11">
        <f t="shared" si="9"/>
        <v>10213552.05</v>
      </c>
      <c r="S12" s="6" t="str">
        <f t="shared" si="10"/>
        <v>Masked Strike</v>
      </c>
      <c r="T12" s="11">
        <f t="shared" si="11"/>
        <v>544606.2827</v>
      </c>
      <c r="U12" s="20">
        <v>1.0</v>
      </c>
    </row>
    <row r="13">
      <c r="B13" s="34" t="s">
        <v>147</v>
      </c>
      <c r="C13" s="20">
        <v>0.125</v>
      </c>
      <c r="D13" s="20">
        <v>15.0</v>
      </c>
      <c r="E13" s="20">
        <v>38777.0</v>
      </c>
      <c r="F13" s="20">
        <v>54431.0</v>
      </c>
      <c r="G13" s="26">
        <f t="shared" ref="G13:H13" si="12">E13</f>
        <v>38777</v>
      </c>
      <c r="H13" s="26">
        <f t="shared" si="12"/>
        <v>54431</v>
      </c>
      <c r="I13" s="2"/>
      <c r="J13" s="20">
        <v>1.0</v>
      </c>
      <c r="K13" s="25">
        <v>7.0</v>
      </c>
      <c r="L13" s="9">
        <f t="shared" si="3"/>
        <v>750334.95</v>
      </c>
      <c r="M13" s="10">
        <f t="shared" si="4"/>
        <v>1053239.85</v>
      </c>
      <c r="N13" s="9">
        <f t="shared" si="5"/>
        <v>750334.95</v>
      </c>
      <c r="O13" s="11">
        <f t="shared" si="6"/>
        <v>1053239.85</v>
      </c>
      <c r="P13" s="11">
        <f t="shared" si="7"/>
        <v>8425918.8</v>
      </c>
      <c r="Q13" s="11">
        <f t="shared" si="8"/>
        <v>7417787.025</v>
      </c>
      <c r="R13" s="11">
        <f t="shared" si="9"/>
        <v>47875185.82</v>
      </c>
      <c r="S13" s="6" t="str">
        <f t="shared" si="10"/>
        <v>Death Mark</v>
      </c>
      <c r="T13" s="11">
        <f t="shared" si="11"/>
        <v>490432.2</v>
      </c>
      <c r="U13" s="20">
        <v>1.0</v>
      </c>
    </row>
    <row r="14">
      <c r="B14" s="33" t="s">
        <v>148</v>
      </c>
      <c r="C14" s="20">
        <v>0.25</v>
      </c>
      <c r="D14" s="20">
        <v>30.0</v>
      </c>
      <c r="E14" s="20">
        <v>356993.0</v>
      </c>
      <c r="F14" s="20">
        <v>505189.0</v>
      </c>
      <c r="G14" s="1"/>
      <c r="H14" s="1"/>
      <c r="I14" s="2"/>
      <c r="J14" s="1"/>
      <c r="K14" s="12"/>
      <c r="L14" s="9">
        <f t="shared" si="3"/>
        <v>6907814.55</v>
      </c>
      <c r="M14" s="10">
        <f t="shared" si="4"/>
        <v>9775407.15</v>
      </c>
      <c r="N14" s="9">
        <f t="shared" si="5"/>
        <v>0</v>
      </c>
      <c r="O14" s="11">
        <f t="shared" si="6"/>
        <v>0</v>
      </c>
      <c r="P14" s="11">
        <f t="shared" si="7"/>
        <v>9775407.15</v>
      </c>
      <c r="Q14" s="11">
        <f t="shared" si="8"/>
        <v>8588058.672</v>
      </c>
      <c r="R14" s="11">
        <f t="shared" si="9"/>
        <v>30678198.89</v>
      </c>
      <c r="S14" s="6" t="str">
        <f t="shared" si="10"/>
        <v>Shadow Step</v>
      </c>
      <c r="T14" s="11">
        <f t="shared" si="11"/>
        <v>283902.766</v>
      </c>
      <c r="U14" s="20">
        <v>1.0</v>
      </c>
    </row>
    <row r="15">
      <c r="B15" s="34" t="s">
        <v>119</v>
      </c>
      <c r="C15" s="20">
        <v>0.125</v>
      </c>
      <c r="D15" s="20">
        <v>10.0</v>
      </c>
      <c r="E15" s="20">
        <v>109520.0</v>
      </c>
      <c r="F15" s="20">
        <v>133858.0</v>
      </c>
      <c r="G15" s="1"/>
      <c r="H15" s="1"/>
      <c r="I15" s="2"/>
      <c r="J15" s="1"/>
      <c r="K15" s="12"/>
      <c r="L15" s="9">
        <f t="shared" si="3"/>
        <v>2119212</v>
      </c>
      <c r="M15" s="10">
        <f t="shared" si="4"/>
        <v>2590152.3</v>
      </c>
      <c r="N15" s="9">
        <f t="shared" si="5"/>
        <v>0</v>
      </c>
      <c r="O15" s="11">
        <f t="shared" si="6"/>
        <v>0</v>
      </c>
      <c r="P15" s="11">
        <f t="shared" si="7"/>
        <v>2590152.3</v>
      </c>
      <c r="Q15" s="11">
        <f t="shared" si="8"/>
        <v>2378229.359</v>
      </c>
      <c r="R15" s="11">
        <f t="shared" si="9"/>
        <v>15349345.04</v>
      </c>
      <c r="S15" s="6" t="str">
        <f t="shared" si="10"/>
        <v>Evade</v>
      </c>
      <c r="T15" s="11">
        <f t="shared" si="11"/>
        <v>234886.8502</v>
      </c>
      <c r="U15" s="20">
        <v>1.0</v>
      </c>
    </row>
    <row r="16">
      <c r="B16" s="34" t="s">
        <v>149</v>
      </c>
      <c r="C16" s="20">
        <v>0.25</v>
      </c>
      <c r="D16" s="20">
        <v>22.5</v>
      </c>
      <c r="E16" s="20">
        <v>215970.0</v>
      </c>
      <c r="F16" s="20">
        <v>303159.0</v>
      </c>
      <c r="G16" s="1"/>
      <c r="H16" s="1"/>
      <c r="I16" s="2"/>
      <c r="J16" s="1"/>
      <c r="K16" s="12"/>
      <c r="L16" s="9">
        <f t="shared" si="3"/>
        <v>4179019.5</v>
      </c>
      <c r="M16" s="10">
        <f t="shared" si="4"/>
        <v>5866126.65</v>
      </c>
      <c r="N16" s="9">
        <f t="shared" si="5"/>
        <v>0</v>
      </c>
      <c r="O16" s="11">
        <f t="shared" si="6"/>
        <v>0</v>
      </c>
      <c r="P16" s="11">
        <f t="shared" si="7"/>
        <v>5866126.65</v>
      </c>
      <c r="Q16" s="11">
        <f t="shared" si="8"/>
        <v>5164249.985</v>
      </c>
      <c r="R16" s="11">
        <f t="shared" si="9"/>
        <v>18447695.13</v>
      </c>
      <c r="S16" s="6" t="str">
        <f t="shared" si="10"/>
        <v>Death Blow &lt;33</v>
      </c>
      <c r="T16" s="11">
        <f t="shared" si="11"/>
        <v>226999.9993</v>
      </c>
      <c r="U16" s="20">
        <v>1.0</v>
      </c>
    </row>
    <row r="17">
      <c r="A17" s="20">
        <v>1.0</v>
      </c>
      <c r="B17" s="33" t="s">
        <v>150</v>
      </c>
      <c r="C17" s="20">
        <v>0.25</v>
      </c>
      <c r="D17" s="20">
        <v>15.0</v>
      </c>
      <c r="E17" s="20">
        <f>60486+11447</f>
        <v>71933</v>
      </c>
      <c r="F17" s="20">
        <f>81592+11447</f>
        <v>93039</v>
      </c>
      <c r="G17" s="20">
        <v>11447.0</v>
      </c>
      <c r="H17" s="20">
        <v>11447.0</v>
      </c>
      <c r="J17" s="20">
        <v>12.0</v>
      </c>
      <c r="K17" s="3">
        <f>1/2</f>
        <v>0.5</v>
      </c>
      <c r="L17" s="9">
        <f t="shared" si="3"/>
        <v>1391903.55</v>
      </c>
      <c r="M17" s="10">
        <f t="shared" si="4"/>
        <v>1800304.65</v>
      </c>
      <c r="N17" s="9">
        <f t="shared" si="5"/>
        <v>221499.45</v>
      </c>
      <c r="O17" s="11">
        <f t="shared" si="6"/>
        <v>221499.45</v>
      </c>
      <c r="P17" s="11">
        <f t="shared" si="7"/>
        <v>3129301.35</v>
      </c>
      <c r="Q17" s="11">
        <f t="shared" si="8"/>
        <v>2951225.578</v>
      </c>
      <c r="R17" s="11">
        <f t="shared" si="9"/>
        <v>10542345.91</v>
      </c>
      <c r="S17" s="6" t="str">
        <f t="shared" si="10"/>
        <v>Stealth Assault</v>
      </c>
      <c r="T17" s="11">
        <f t="shared" si="11"/>
        <v>193522.9887</v>
      </c>
      <c r="U17" s="20">
        <v>1.0</v>
      </c>
    </row>
    <row r="18">
      <c r="A18" s="1"/>
      <c r="B18" s="33" t="s">
        <v>151</v>
      </c>
      <c r="C18" s="20">
        <v>0.25</v>
      </c>
      <c r="D18" s="20">
        <v>15.0</v>
      </c>
      <c r="E18" s="20">
        <v>75035.0</v>
      </c>
      <c r="F18" s="20">
        <v>96777.0</v>
      </c>
      <c r="G18" s="26">
        <v>26122.0</v>
      </c>
      <c r="H18" s="26">
        <v>39184.0</v>
      </c>
      <c r="I18" s="2"/>
      <c r="J18" s="20">
        <v>30.0</v>
      </c>
      <c r="K18" s="7">
        <f>1/6</f>
        <v>0.1666666667</v>
      </c>
      <c r="L18" s="9">
        <f t="shared" si="3"/>
        <v>1451927.25</v>
      </c>
      <c r="M18" s="10">
        <f t="shared" si="4"/>
        <v>1872634.95</v>
      </c>
      <c r="N18" s="9">
        <f t="shared" si="5"/>
        <v>505460.7</v>
      </c>
      <c r="O18" s="11">
        <f t="shared" si="6"/>
        <v>758210.4</v>
      </c>
      <c r="P18" s="11">
        <f t="shared" si="7"/>
        <v>5663686.95</v>
      </c>
      <c r="Q18" s="11">
        <f t="shared" si="8"/>
        <v>4974460.73</v>
      </c>
      <c r="R18" s="11">
        <f t="shared" si="9"/>
        <v>17769731.38</v>
      </c>
      <c r="S18" s="6" t="str">
        <f t="shared" si="10"/>
        <v>Noxious Enfeeblement</v>
      </c>
      <c r="T18" s="11">
        <f t="shared" si="11"/>
        <v>164444.9828</v>
      </c>
      <c r="U18" s="20">
        <v>1.0</v>
      </c>
    </row>
    <row r="19">
      <c r="B19" s="20" t="s">
        <v>152</v>
      </c>
      <c r="C19" s="20">
        <v>0.5</v>
      </c>
      <c r="D19" s="20">
        <v>10.0</v>
      </c>
      <c r="E19" s="20">
        <f>45472+20497</f>
        <v>65969</v>
      </c>
      <c r="F19" s="20">
        <f>60270+28777</f>
        <v>89047</v>
      </c>
      <c r="I19" s="2"/>
      <c r="K19" s="3"/>
      <c r="L19" s="9">
        <f t="shared" si="3"/>
        <v>1276500.15</v>
      </c>
      <c r="M19" s="10">
        <f t="shared" si="4"/>
        <v>1723059.45</v>
      </c>
      <c r="N19" s="9">
        <f t="shared" si="5"/>
        <v>0</v>
      </c>
      <c r="O19" s="11">
        <f t="shared" si="6"/>
        <v>0</v>
      </c>
      <c r="P19" s="11">
        <f t="shared" si="7"/>
        <v>1723059.45</v>
      </c>
      <c r="Q19" s="11">
        <f t="shared" si="8"/>
        <v>1533020.548</v>
      </c>
      <c r="R19" s="11">
        <f t="shared" si="9"/>
        <v>2892818.435</v>
      </c>
      <c r="S19" s="6" t="str">
        <f t="shared" si="10"/>
        <v>Deadly Shot</v>
      </c>
      <c r="T19" s="11">
        <f t="shared" si="11"/>
        <v>146001.9569</v>
      </c>
      <c r="U19" s="20">
        <v>1.0</v>
      </c>
    </row>
    <row r="20">
      <c r="A20" s="20">
        <v>1.0</v>
      </c>
      <c r="B20" s="33" t="s">
        <v>153</v>
      </c>
      <c r="C20" s="20">
        <v>0.25</v>
      </c>
      <c r="D20" s="20">
        <v>30.0</v>
      </c>
      <c r="E20" s="20">
        <v>152714.0</v>
      </c>
      <c r="F20" s="20">
        <v>266866.0</v>
      </c>
      <c r="G20" s="20"/>
      <c r="H20" s="20"/>
      <c r="I20" s="2"/>
      <c r="J20" s="20"/>
      <c r="K20" s="7"/>
      <c r="L20" s="9">
        <f t="shared" si="3"/>
        <v>2955015.9</v>
      </c>
      <c r="M20" s="10">
        <f t="shared" si="4"/>
        <v>5163857.1</v>
      </c>
      <c r="N20" s="9">
        <f t="shared" si="5"/>
        <v>0</v>
      </c>
      <c r="O20" s="11">
        <f t="shared" si="6"/>
        <v>0</v>
      </c>
      <c r="P20" s="11">
        <f t="shared" si="7"/>
        <v>5163857.1</v>
      </c>
      <c r="Q20" s="11">
        <f t="shared" si="8"/>
        <v>4359907.972</v>
      </c>
      <c r="R20" s="11">
        <f t="shared" si="9"/>
        <v>15574430.62</v>
      </c>
      <c r="S20" s="6" t="str">
        <f t="shared" si="10"/>
        <v>Smoke Bomb</v>
      </c>
      <c r="T20" s="11">
        <f t="shared" si="11"/>
        <v>144129.1892</v>
      </c>
      <c r="U20" s="20">
        <v>1.0</v>
      </c>
    </row>
    <row r="21">
      <c r="B21" s="20" t="s">
        <v>154</v>
      </c>
      <c r="C21" s="20">
        <v>0.5</v>
      </c>
      <c r="D21" s="20">
        <v>10.0</v>
      </c>
      <c r="E21" s="20">
        <v>63274.0</v>
      </c>
      <c r="F21" s="20">
        <v>88818.0</v>
      </c>
      <c r="I21" s="2"/>
      <c r="K21" s="3"/>
      <c r="L21" s="9">
        <f t="shared" si="3"/>
        <v>1224351.9</v>
      </c>
      <c r="M21" s="10">
        <f t="shared" si="4"/>
        <v>1718628.3</v>
      </c>
      <c r="N21" s="9">
        <f t="shared" si="5"/>
        <v>0</v>
      </c>
      <c r="O21" s="11">
        <f t="shared" si="6"/>
        <v>0</v>
      </c>
      <c r="P21" s="11">
        <f t="shared" si="7"/>
        <v>1718628.3</v>
      </c>
      <c r="Q21" s="11">
        <f t="shared" si="8"/>
        <v>1512997.202</v>
      </c>
      <c r="R21" s="11">
        <f t="shared" si="9"/>
        <v>2855034.268</v>
      </c>
      <c r="S21" s="6" t="str">
        <f t="shared" si="10"/>
        <v>Improvised</v>
      </c>
      <c r="T21" s="11">
        <f t="shared" si="11"/>
        <v>144094.9716</v>
      </c>
      <c r="U21" s="20">
        <v>1.0</v>
      </c>
    </row>
    <row r="22">
      <c r="B22" s="33" t="s">
        <v>155</v>
      </c>
      <c r="C22" s="20">
        <v>0.25</v>
      </c>
      <c r="D22" s="20">
        <v>10.0</v>
      </c>
      <c r="E22" s="20">
        <f>42552+4909</f>
        <v>47461</v>
      </c>
      <c r="F22" s="20">
        <f>57837+8181</f>
        <v>66018</v>
      </c>
      <c r="G22" s="20">
        <v>4994.0</v>
      </c>
      <c r="H22" s="20">
        <v>8323.0</v>
      </c>
      <c r="I22" s="2"/>
      <c r="J22" s="20">
        <v>14.0</v>
      </c>
      <c r="K22" s="12">
        <f>1/2.3</f>
        <v>0.4347826087</v>
      </c>
      <c r="L22" s="9">
        <f t="shared" si="3"/>
        <v>918370.35</v>
      </c>
      <c r="M22" s="10">
        <f t="shared" si="4"/>
        <v>1277448.3</v>
      </c>
      <c r="N22" s="9">
        <f t="shared" si="5"/>
        <v>96633.9</v>
      </c>
      <c r="O22" s="11">
        <f t="shared" si="6"/>
        <v>161050.05</v>
      </c>
      <c r="P22" s="11">
        <f t="shared" si="7"/>
        <v>2257752.952</v>
      </c>
      <c r="Q22" s="11">
        <f t="shared" si="8"/>
        <v>1960533.092</v>
      </c>
      <c r="R22" s="11">
        <f t="shared" si="9"/>
        <v>7003401.633</v>
      </c>
      <c r="S22" s="6" t="str">
        <f t="shared" si="10"/>
        <v>Impale</v>
      </c>
      <c r="T22" s="11">
        <f t="shared" si="11"/>
        <v>137581.2696</v>
      </c>
      <c r="U22" s="20">
        <v>1.0</v>
      </c>
    </row>
    <row r="23">
      <c r="A23" s="20"/>
      <c r="B23" s="34" t="s">
        <v>156</v>
      </c>
      <c r="C23" s="20">
        <v>0.25</v>
      </c>
      <c r="D23" s="20">
        <v>22.5</v>
      </c>
      <c r="E23" s="20">
        <v>130598.0</v>
      </c>
      <c r="F23" s="20">
        <v>159661.0</v>
      </c>
      <c r="G23" s="26"/>
      <c r="H23" s="26"/>
      <c r="I23" s="2"/>
      <c r="J23" s="20"/>
      <c r="K23" s="25"/>
      <c r="L23" s="9">
        <f t="shared" si="3"/>
        <v>2527071.3</v>
      </c>
      <c r="M23" s="10">
        <f t="shared" si="4"/>
        <v>3089440.35</v>
      </c>
      <c r="N23" s="9">
        <f t="shared" si="5"/>
        <v>0</v>
      </c>
      <c r="O23" s="11">
        <f t="shared" si="6"/>
        <v>0</v>
      </c>
      <c r="P23" s="11">
        <f t="shared" si="7"/>
        <v>3089440.35</v>
      </c>
      <c r="Q23" s="11">
        <f t="shared" si="8"/>
        <v>2836410.218</v>
      </c>
      <c r="R23" s="11">
        <f t="shared" si="9"/>
        <v>10132203.34</v>
      </c>
      <c r="S23" s="6" t="str">
        <f t="shared" si="10"/>
        <v>Death Blow &gt;33</v>
      </c>
      <c r="T23" s="11">
        <f t="shared" si="11"/>
        <v>124677.3722</v>
      </c>
      <c r="U23" s="20">
        <v>1.0</v>
      </c>
    </row>
    <row r="24">
      <c r="A24" s="1"/>
      <c r="B24" s="33" t="s">
        <v>157</v>
      </c>
      <c r="C24" s="20">
        <v>0.25</v>
      </c>
      <c r="D24" s="20">
        <v>22.5</v>
      </c>
      <c r="E24" s="20">
        <v>119318.0</v>
      </c>
      <c r="F24" s="20">
        <v>156928.0</v>
      </c>
      <c r="G24" s="20"/>
      <c r="H24" s="20"/>
      <c r="I24" s="2"/>
      <c r="J24" s="20"/>
      <c r="K24" s="12"/>
      <c r="L24" s="9">
        <f t="shared" si="3"/>
        <v>2308803.3</v>
      </c>
      <c r="M24" s="10">
        <f t="shared" si="4"/>
        <v>3036556.8</v>
      </c>
      <c r="N24" s="9">
        <f t="shared" si="5"/>
        <v>0</v>
      </c>
      <c r="O24" s="11">
        <f t="shared" si="6"/>
        <v>0</v>
      </c>
      <c r="P24" s="11">
        <f t="shared" si="7"/>
        <v>3036556.8</v>
      </c>
      <c r="Q24" s="11">
        <f t="shared" si="8"/>
        <v>2722220.693</v>
      </c>
      <c r="R24" s="11">
        <f t="shared" si="9"/>
        <v>9724296.381</v>
      </c>
      <c r="S24" s="6" t="str">
        <f t="shared" si="10"/>
        <v>Touch of the Nightshade</v>
      </c>
      <c r="T24" s="11">
        <f t="shared" si="11"/>
        <v>119658.0525</v>
      </c>
      <c r="U24" s="20">
        <v>1.0</v>
      </c>
    </row>
    <row r="25">
      <c r="B25" s="20" t="s">
        <v>158</v>
      </c>
      <c r="C25" s="20">
        <v>1.0</v>
      </c>
      <c r="D25" s="20">
        <v>30.0</v>
      </c>
      <c r="E25" s="20">
        <v>154313.0</v>
      </c>
      <c r="F25" s="20">
        <v>211059.0</v>
      </c>
      <c r="I25" s="2"/>
      <c r="K25" s="3"/>
      <c r="L25" s="9">
        <f t="shared" si="3"/>
        <v>2985956.55</v>
      </c>
      <c r="M25" s="10">
        <f t="shared" si="4"/>
        <v>4083991.65</v>
      </c>
      <c r="N25" s="9">
        <f t="shared" si="5"/>
        <v>0</v>
      </c>
      <c r="O25" s="11">
        <f t="shared" si="6"/>
        <v>0</v>
      </c>
      <c r="P25" s="11">
        <f t="shared" si="7"/>
        <v>4083991.65</v>
      </c>
      <c r="Q25" s="11">
        <f t="shared" si="8"/>
        <v>3620242.128</v>
      </c>
      <c r="R25" s="11">
        <f t="shared" si="9"/>
        <v>3515002.531</v>
      </c>
      <c r="S25" s="6" t="str">
        <f t="shared" si="10"/>
        <v>Head Shot</v>
      </c>
      <c r="T25" s="11">
        <f t="shared" si="11"/>
        <v>116782.0041</v>
      </c>
      <c r="U25" s="20">
        <v>1.0</v>
      </c>
    </row>
    <row r="26">
      <c r="B26" s="20" t="s">
        <v>159</v>
      </c>
      <c r="C26" s="20">
        <v>0.25</v>
      </c>
      <c r="D26" s="20">
        <v>30.0</v>
      </c>
      <c r="E26" s="20">
        <v>156532.0</v>
      </c>
      <c r="F26" s="20">
        <v>196065.0</v>
      </c>
      <c r="I26" s="2"/>
      <c r="K26" s="3"/>
      <c r="L26" s="9">
        <f t="shared" si="3"/>
        <v>3028894.2</v>
      </c>
      <c r="M26" s="10">
        <f t="shared" si="4"/>
        <v>3793857.75</v>
      </c>
      <c r="N26" s="9">
        <f t="shared" si="5"/>
        <v>0</v>
      </c>
      <c r="O26" s="11">
        <f t="shared" si="6"/>
        <v>0</v>
      </c>
      <c r="P26" s="11">
        <f t="shared" si="7"/>
        <v>3793857.75</v>
      </c>
      <c r="Q26" s="11">
        <f t="shared" si="8"/>
        <v>3454259.641</v>
      </c>
      <c r="R26" s="11">
        <f t="shared" si="9"/>
        <v>12339280.43</v>
      </c>
      <c r="S26" s="6" t="str">
        <f t="shared" si="10"/>
        <v>Sinister Strike</v>
      </c>
      <c r="T26" s="11">
        <f t="shared" si="11"/>
        <v>114190.4014</v>
      </c>
      <c r="U26" s="20">
        <v>1.0</v>
      </c>
    </row>
    <row r="27">
      <c r="B27" s="33" t="s">
        <v>160</v>
      </c>
      <c r="C27" s="20">
        <v>0.75</v>
      </c>
      <c r="D27" s="20">
        <v>30.0</v>
      </c>
      <c r="E27" s="20">
        <v>142667.0</v>
      </c>
      <c r="F27" s="20">
        <v>198446.0</v>
      </c>
      <c r="G27" s="20"/>
      <c r="H27" s="20"/>
      <c r="J27" s="20"/>
      <c r="K27" s="12"/>
      <c r="L27" s="9">
        <f t="shared" si="3"/>
        <v>2760606.45</v>
      </c>
      <c r="M27" s="10">
        <f t="shared" si="4"/>
        <v>3839930.1</v>
      </c>
      <c r="N27" s="9">
        <f t="shared" si="5"/>
        <v>0</v>
      </c>
      <c r="O27" s="11">
        <f t="shared" si="6"/>
        <v>0</v>
      </c>
      <c r="P27" s="11">
        <f t="shared" si="7"/>
        <v>3839930.1</v>
      </c>
      <c r="Q27" s="11">
        <f t="shared" si="8"/>
        <v>3388514.097</v>
      </c>
      <c r="R27" s="11">
        <f t="shared" si="9"/>
        <v>4344582.373</v>
      </c>
      <c r="S27" s="6" t="str">
        <f t="shared" si="10"/>
        <v>Spine Shot</v>
      </c>
      <c r="T27" s="11">
        <f t="shared" si="11"/>
        <v>110195.5804</v>
      </c>
      <c r="U27" s="20">
        <v>1.0</v>
      </c>
    </row>
    <row r="28">
      <c r="A28" s="1"/>
      <c r="B28" s="33" t="s">
        <v>161</v>
      </c>
      <c r="C28" s="20">
        <v>0.25</v>
      </c>
      <c r="D28" s="20">
        <v>5.0</v>
      </c>
      <c r="E28" s="20">
        <v>42520.0</v>
      </c>
      <c r="F28" s="20">
        <v>56571.0</v>
      </c>
      <c r="G28" s="20">
        <v>4244.0</v>
      </c>
      <c r="H28" s="20">
        <v>4244.0</v>
      </c>
      <c r="I28" s="2"/>
      <c r="J28" s="20">
        <v>12.0</v>
      </c>
      <c r="K28" s="12">
        <f t="shared" ref="K28:K29" si="13">1/4</f>
        <v>0.25</v>
      </c>
      <c r="L28" s="9">
        <f t="shared" si="3"/>
        <v>822762</v>
      </c>
      <c r="M28" s="10">
        <f t="shared" si="4"/>
        <v>1094648.85</v>
      </c>
      <c r="N28" s="9">
        <f t="shared" si="5"/>
        <v>82121.4</v>
      </c>
      <c r="O28" s="11">
        <f t="shared" si="6"/>
        <v>82121.4</v>
      </c>
      <c r="P28" s="11">
        <f t="shared" si="7"/>
        <v>1341013.05</v>
      </c>
      <c r="Q28" s="11">
        <f t="shared" si="8"/>
        <v>1224346.26</v>
      </c>
      <c r="R28" s="11">
        <f t="shared" si="9"/>
        <v>4373600.545</v>
      </c>
      <c r="S28" s="6" t="str">
        <f t="shared" si="10"/>
        <v>Quick Strike</v>
      </c>
      <c r="T28" s="11">
        <f t="shared" si="11"/>
        <v>99946.63349</v>
      </c>
      <c r="U28" s="20">
        <v>1.0</v>
      </c>
    </row>
    <row r="29">
      <c r="B29" s="34" t="s">
        <v>162</v>
      </c>
      <c r="C29" s="20">
        <v>0.25</v>
      </c>
      <c r="D29" s="20">
        <v>24.0</v>
      </c>
      <c r="E29" s="20">
        <f>19259+6100+28466</f>
        <v>53825</v>
      </c>
      <c r="F29" s="20">
        <f>26611+10166+47444</f>
        <v>84221</v>
      </c>
      <c r="G29" s="20">
        <v>6170.0</v>
      </c>
      <c r="H29" s="20">
        <v>10284.0</v>
      </c>
      <c r="I29" s="2"/>
      <c r="J29" s="20">
        <v>24.0</v>
      </c>
      <c r="K29" s="3">
        <f t="shared" si="13"/>
        <v>0.25</v>
      </c>
      <c r="L29" s="9">
        <f t="shared" si="3"/>
        <v>1041513.75</v>
      </c>
      <c r="M29" s="10">
        <f t="shared" si="4"/>
        <v>1629676.35</v>
      </c>
      <c r="N29" s="9">
        <f t="shared" si="5"/>
        <v>119389.5</v>
      </c>
      <c r="O29" s="11">
        <f t="shared" si="6"/>
        <v>198995.4</v>
      </c>
      <c r="P29" s="11">
        <f t="shared" si="7"/>
        <v>2823648.75</v>
      </c>
      <c r="Q29" s="11">
        <f t="shared" si="8"/>
        <v>2415214.451</v>
      </c>
      <c r="R29" s="11">
        <f t="shared" si="9"/>
        <v>8627610.979</v>
      </c>
      <c r="S29" s="6" t="str">
        <f t="shared" si="10"/>
        <v>Gushing Wound Full</v>
      </c>
      <c r="T29" s="11">
        <f t="shared" si="11"/>
        <v>99596.47219</v>
      </c>
      <c r="U29" s="20">
        <v>1.0</v>
      </c>
    </row>
    <row r="30">
      <c r="A30" s="20"/>
      <c r="B30" s="34" t="s">
        <v>163</v>
      </c>
      <c r="C30" s="20">
        <v>0.25</v>
      </c>
      <c r="D30" s="20">
        <v>30.0</v>
      </c>
      <c r="E30" s="20">
        <v>107746.0</v>
      </c>
      <c r="F30" s="20">
        <v>151244.0</v>
      </c>
      <c r="I30" s="2"/>
      <c r="K30" s="3"/>
      <c r="L30" s="9">
        <f t="shared" si="3"/>
        <v>2084885.1</v>
      </c>
      <c r="M30" s="10">
        <f t="shared" si="4"/>
        <v>2926571.4</v>
      </c>
      <c r="N30" s="9">
        <f t="shared" si="5"/>
        <v>0</v>
      </c>
      <c r="O30" s="11">
        <f t="shared" si="6"/>
        <v>0</v>
      </c>
      <c r="P30" s="11">
        <f t="shared" si="7"/>
        <v>2926571.4</v>
      </c>
      <c r="Q30" s="11">
        <f t="shared" si="8"/>
        <v>2576409.88</v>
      </c>
      <c r="R30" s="11">
        <f t="shared" si="9"/>
        <v>9203432.084</v>
      </c>
      <c r="S30" s="6" t="str">
        <f t="shared" si="10"/>
        <v>Paralyzing Strike</v>
      </c>
      <c r="T30" s="11">
        <f t="shared" si="11"/>
        <v>85170.57454</v>
      </c>
      <c r="U30" s="20">
        <v>1.0</v>
      </c>
    </row>
    <row r="31">
      <c r="B31" s="33" t="s">
        <v>164</v>
      </c>
      <c r="C31" s="20">
        <v>0.25</v>
      </c>
      <c r="D31" s="20">
        <v>30.0</v>
      </c>
      <c r="E31" s="20">
        <v>107095.0</v>
      </c>
      <c r="F31" s="20">
        <v>150330.0</v>
      </c>
      <c r="G31" s="6"/>
      <c r="H31" s="6"/>
      <c r="I31" s="2"/>
      <c r="J31" s="1"/>
      <c r="K31" s="7"/>
      <c r="L31" s="9">
        <f t="shared" si="3"/>
        <v>2072288.25</v>
      </c>
      <c r="M31" s="10">
        <f t="shared" si="4"/>
        <v>2908885.5</v>
      </c>
      <c r="N31" s="9">
        <f t="shared" si="5"/>
        <v>0</v>
      </c>
      <c r="O31" s="11">
        <f t="shared" si="6"/>
        <v>0</v>
      </c>
      <c r="P31" s="11">
        <f t="shared" si="7"/>
        <v>2908885.5</v>
      </c>
      <c r="Q31" s="11">
        <f t="shared" si="8"/>
        <v>2560840.895</v>
      </c>
      <c r="R31" s="11">
        <f t="shared" si="9"/>
        <v>9147816.672</v>
      </c>
      <c r="S31" s="6" t="str">
        <f t="shared" si="10"/>
        <v>Crippling Strike</v>
      </c>
      <c r="T31" s="11">
        <f t="shared" si="11"/>
        <v>84655.89735</v>
      </c>
      <c r="U31" s="20">
        <v>1.0</v>
      </c>
    </row>
    <row r="32">
      <c r="B32" s="33" t="s">
        <v>165</v>
      </c>
      <c r="C32" s="20">
        <v>0.25</v>
      </c>
      <c r="D32" s="20">
        <v>15.0</v>
      </c>
      <c r="E32" s="20">
        <f>19259+6100</f>
        <v>25359</v>
      </c>
      <c r="F32" s="20">
        <f>26611+10166</f>
        <v>36777</v>
      </c>
      <c r="G32" s="20">
        <v>6170.0</v>
      </c>
      <c r="H32" s="20">
        <v>10284.0</v>
      </c>
      <c r="I32" s="2"/>
      <c r="J32" s="20">
        <v>24.0</v>
      </c>
      <c r="K32">
        <f>1/4</f>
        <v>0.25</v>
      </c>
      <c r="L32" s="9">
        <f t="shared" si="3"/>
        <v>490696.65</v>
      </c>
      <c r="M32" s="10">
        <f t="shared" si="4"/>
        <v>711634.95</v>
      </c>
      <c r="N32" s="9">
        <f t="shared" si="5"/>
        <v>119389.5</v>
      </c>
      <c r="O32" s="11">
        <f t="shared" si="6"/>
        <v>198995.4</v>
      </c>
      <c r="P32" s="11">
        <f t="shared" si="7"/>
        <v>1905607.35</v>
      </c>
      <c r="Q32" s="11">
        <f t="shared" si="8"/>
        <v>1636331.795</v>
      </c>
      <c r="R32" s="11">
        <f t="shared" si="9"/>
        <v>5845292.188</v>
      </c>
      <c r="S32" s="6" t="str">
        <f t="shared" si="10"/>
        <v>Gushing Wound</v>
      </c>
      <c r="T32" s="11">
        <f t="shared" si="11"/>
        <v>67477.5998</v>
      </c>
      <c r="U32" s="20">
        <v>1.0</v>
      </c>
    </row>
    <row r="33">
      <c r="A33" s="1"/>
      <c r="B33" s="20" t="s">
        <v>166</v>
      </c>
      <c r="C33" s="20">
        <v>0.25</v>
      </c>
      <c r="D33" s="20">
        <v>30.0</v>
      </c>
      <c r="E33" s="20">
        <v>85400.0</v>
      </c>
      <c r="F33" s="20">
        <v>112319.0</v>
      </c>
      <c r="I33" s="2"/>
      <c r="L33" s="9">
        <f t="shared" si="3"/>
        <v>1652490</v>
      </c>
      <c r="M33" s="10">
        <f t="shared" si="4"/>
        <v>2173372.65</v>
      </c>
      <c r="N33" s="9">
        <f t="shared" si="5"/>
        <v>0</v>
      </c>
      <c r="O33" s="11">
        <f t="shared" si="6"/>
        <v>0</v>
      </c>
      <c r="P33" s="11">
        <f t="shared" si="7"/>
        <v>2173372.65</v>
      </c>
      <c r="Q33" s="11">
        <f t="shared" si="8"/>
        <v>1948389.829</v>
      </c>
      <c r="R33" s="11">
        <f t="shared" si="9"/>
        <v>6960023.562</v>
      </c>
      <c r="S33" s="6" t="str">
        <f t="shared" si="10"/>
        <v>Evasive Maneuv</v>
      </c>
      <c r="T33" s="11">
        <f t="shared" si="11"/>
        <v>64409.58114</v>
      </c>
      <c r="U33" s="20">
        <v>1.0</v>
      </c>
    </row>
    <row r="34">
      <c r="B34" s="20" t="s">
        <v>167</v>
      </c>
      <c r="C34" s="20">
        <v>0.25</v>
      </c>
      <c r="D34" s="20">
        <v>15.0</v>
      </c>
      <c r="E34" s="20">
        <v>40562.0</v>
      </c>
      <c r="F34" s="20">
        <v>56937.0</v>
      </c>
      <c r="I34" s="2"/>
      <c r="L34" s="9">
        <f t="shared" si="3"/>
        <v>784874.7</v>
      </c>
      <c r="M34" s="10">
        <f t="shared" si="4"/>
        <v>1101730.95</v>
      </c>
      <c r="N34" s="9">
        <f t="shared" si="5"/>
        <v>0</v>
      </c>
      <c r="O34" s="11">
        <f t="shared" si="6"/>
        <v>0</v>
      </c>
      <c r="P34" s="11">
        <f t="shared" si="7"/>
        <v>1101730.95</v>
      </c>
      <c r="Q34" s="11">
        <f t="shared" si="8"/>
        <v>969910.8984</v>
      </c>
      <c r="R34" s="11">
        <f t="shared" si="9"/>
        <v>3464708.45</v>
      </c>
      <c r="S34" s="6" t="str">
        <f t="shared" si="10"/>
        <v>Placating</v>
      </c>
      <c r="T34" s="11">
        <f t="shared" si="11"/>
        <v>63600.71465</v>
      </c>
      <c r="U34" s="20">
        <v>1.0</v>
      </c>
    </row>
    <row r="35">
      <c r="B35" s="20" t="s">
        <v>168</v>
      </c>
      <c r="C35" s="20">
        <v>0.5</v>
      </c>
      <c r="D35" s="20">
        <v>22.5</v>
      </c>
      <c r="E35" s="20">
        <v>26259.0</v>
      </c>
      <c r="F35" s="20">
        <v>36867.0</v>
      </c>
      <c r="I35" s="2"/>
      <c r="L35" s="9">
        <f t="shared" si="3"/>
        <v>508111.65</v>
      </c>
      <c r="M35" s="10">
        <f t="shared" si="4"/>
        <v>713376.45</v>
      </c>
      <c r="N35" s="9">
        <f t="shared" si="5"/>
        <v>0</v>
      </c>
      <c r="O35" s="11">
        <f t="shared" si="6"/>
        <v>0</v>
      </c>
      <c r="P35" s="11">
        <f t="shared" si="7"/>
        <v>713376.45</v>
      </c>
      <c r="Q35" s="11">
        <f t="shared" si="8"/>
        <v>627990.8976</v>
      </c>
      <c r="R35" s="11">
        <f t="shared" si="9"/>
        <v>1185022.372</v>
      </c>
      <c r="S35" s="6" t="str">
        <f t="shared" si="10"/>
        <v>Point Blank</v>
      </c>
      <c r="T35" s="11">
        <f t="shared" si="11"/>
        <v>27303.95207</v>
      </c>
      <c r="U35" s="20">
        <v>1.0</v>
      </c>
    </row>
    <row r="36">
      <c r="B36" s="34" t="s">
        <v>169</v>
      </c>
      <c r="C36" s="20">
        <v>0.25</v>
      </c>
      <c r="D36" s="20">
        <v>15.0</v>
      </c>
      <c r="E36" s="20">
        <v>15792.0</v>
      </c>
      <c r="F36" s="20">
        <v>22168.0</v>
      </c>
      <c r="G36" s="1"/>
      <c r="H36" s="1"/>
      <c r="I36" s="2"/>
      <c r="J36" s="1"/>
      <c r="K36" s="1"/>
      <c r="L36" s="9">
        <f t="shared" si="3"/>
        <v>305575.2</v>
      </c>
      <c r="M36" s="10">
        <f t="shared" si="4"/>
        <v>428950.8</v>
      </c>
      <c r="N36" s="9">
        <f t="shared" si="5"/>
        <v>0</v>
      </c>
      <c r="O36" s="11">
        <f t="shared" si="6"/>
        <v>0</v>
      </c>
      <c r="P36" s="11">
        <f t="shared" si="7"/>
        <v>428950.8</v>
      </c>
      <c r="Q36" s="11">
        <f t="shared" si="8"/>
        <v>377624.4703</v>
      </c>
      <c r="R36" s="11">
        <f t="shared" si="9"/>
        <v>1348947.306</v>
      </c>
      <c r="S36" s="6" t="str">
        <f t="shared" si="10"/>
        <v>Poison Combo</v>
      </c>
      <c r="T36" s="11">
        <f t="shared" si="11"/>
        <v>24762.26035</v>
      </c>
      <c r="U36" s="20">
        <v>1.0</v>
      </c>
    </row>
    <row r="37">
      <c r="A37" s="20">
        <v>1.0</v>
      </c>
      <c r="B37" s="20" t="s">
        <v>170</v>
      </c>
      <c r="C37" s="20">
        <v>0.5</v>
      </c>
      <c r="D37" s="20">
        <v>22.5</v>
      </c>
      <c r="E37" s="20">
        <v>16889.0</v>
      </c>
      <c r="F37" s="20">
        <v>23707.0</v>
      </c>
      <c r="J37" s="2"/>
      <c r="L37" s="9">
        <f t="shared" si="3"/>
        <v>326802.15</v>
      </c>
      <c r="M37" s="10">
        <f t="shared" si="4"/>
        <v>458730.45</v>
      </c>
      <c r="N37" s="9">
        <f t="shared" si="5"/>
        <v>0</v>
      </c>
      <c r="O37" s="11">
        <f t="shared" si="6"/>
        <v>0</v>
      </c>
      <c r="P37" s="11">
        <f t="shared" si="7"/>
        <v>458730.45</v>
      </c>
      <c r="Q37" s="11">
        <f t="shared" si="8"/>
        <v>403844.8194</v>
      </c>
      <c r="R37" s="11">
        <f t="shared" si="9"/>
        <v>762057.4559</v>
      </c>
      <c r="S37" s="6" t="str">
        <f t="shared" si="10"/>
        <v>Spinning Spear</v>
      </c>
      <c r="T37" s="11">
        <f t="shared" si="11"/>
        <v>17558.47041</v>
      </c>
      <c r="U37" s="20">
        <v>1.0</v>
      </c>
    </row>
    <row r="38">
      <c r="A38" s="1"/>
      <c r="B38" s="33"/>
      <c r="C38" s="20"/>
      <c r="D38" s="20"/>
      <c r="E38" s="20"/>
      <c r="F38" s="20"/>
      <c r="I38" s="2"/>
      <c r="L38" s="9"/>
      <c r="M38" s="10"/>
      <c r="N38" s="9"/>
      <c r="O38" s="11"/>
      <c r="P38" s="11"/>
      <c r="Q38" s="11"/>
      <c r="R38" s="11"/>
      <c r="S38" s="6"/>
      <c r="T38" s="11"/>
      <c r="U38" s="20"/>
    </row>
    <row r="39">
      <c r="B39" s="20"/>
      <c r="C39" s="20"/>
      <c r="D39" s="20"/>
      <c r="E39" s="20"/>
      <c r="F39" s="20"/>
      <c r="I39" s="2"/>
      <c r="L39" s="11"/>
      <c r="M39" s="11"/>
      <c r="N39" s="11"/>
      <c r="O39" s="11"/>
      <c r="P39" s="11"/>
      <c r="Q39" s="11"/>
      <c r="R39" s="11"/>
      <c r="T39" s="11"/>
    </row>
    <row r="40">
      <c r="B40" s="20"/>
      <c r="C40" s="20"/>
      <c r="D40" s="20"/>
      <c r="E40" s="20"/>
      <c r="F40" s="20"/>
      <c r="I40" s="2"/>
      <c r="L40" s="11"/>
      <c r="M40" s="11"/>
      <c r="N40" s="11"/>
      <c r="O40" s="11"/>
      <c r="P40" s="11"/>
      <c r="Q40" s="11"/>
      <c r="R40" s="11"/>
      <c r="T40" s="11"/>
    </row>
    <row r="41">
      <c r="B41" s="20"/>
      <c r="C41" s="20"/>
      <c r="D41" s="20"/>
      <c r="E41" s="20"/>
      <c r="F41" s="20"/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K46" s="3"/>
      <c r="L46" s="9"/>
      <c r="M46" s="10"/>
      <c r="N46" s="9"/>
      <c r="O46" s="11"/>
      <c r="P46" s="11"/>
      <c r="Q46" s="11"/>
      <c r="R46" s="11"/>
      <c r="T46" s="11"/>
    </row>
    <row r="47">
      <c r="Q47" s="11"/>
      <c r="R47" s="11"/>
      <c r="T47" s="11"/>
    </row>
    <row r="48">
      <c r="A48" s="33"/>
      <c r="Q48" s="11"/>
      <c r="R48" s="11"/>
      <c r="T48" s="11"/>
    </row>
    <row r="49">
      <c r="A49" s="33"/>
      <c r="C49" s="20"/>
      <c r="Q49" s="11"/>
      <c r="R49" s="11"/>
      <c r="T49" s="11"/>
    </row>
    <row r="50">
      <c r="A50" s="33" t="s">
        <v>171</v>
      </c>
      <c r="B50" s="35">
        <v>4169233.13</v>
      </c>
      <c r="C50" s="20"/>
      <c r="Q50" s="11"/>
      <c r="R50" s="11"/>
      <c r="T50" s="11"/>
    </row>
    <row r="51">
      <c r="A51" s="33" t="s">
        <v>107</v>
      </c>
      <c r="B51" s="35">
        <v>3335870.35</v>
      </c>
      <c r="C51" s="20"/>
      <c r="Q51" s="11"/>
      <c r="R51" s="11"/>
      <c r="T51" s="11"/>
    </row>
    <row r="52">
      <c r="A52" s="33" t="s">
        <v>172</v>
      </c>
      <c r="B52" s="35">
        <v>2673260.2</v>
      </c>
      <c r="Q52" s="11"/>
      <c r="R52" s="11"/>
      <c r="T52" s="11"/>
    </row>
    <row r="53">
      <c r="A53" s="33" t="s">
        <v>173</v>
      </c>
      <c r="B53" s="35">
        <v>1334609.28</v>
      </c>
      <c r="C53" s="20"/>
      <c r="Q53" s="11"/>
      <c r="R53" s="11"/>
      <c r="T53" s="11"/>
    </row>
    <row r="54">
      <c r="A54" s="33" t="s">
        <v>145</v>
      </c>
      <c r="B54" s="35">
        <v>940486.4</v>
      </c>
      <c r="C54" s="20"/>
      <c r="Q54" s="11"/>
      <c r="R54" s="11"/>
      <c r="T54" s="11"/>
    </row>
    <row r="55">
      <c r="A55" s="33" t="s">
        <v>144</v>
      </c>
      <c r="B55" s="35">
        <v>935345.69</v>
      </c>
      <c r="Q55" s="11"/>
      <c r="R55" s="11"/>
      <c r="T55" s="11"/>
    </row>
    <row r="56">
      <c r="A56" s="33" t="s">
        <v>174</v>
      </c>
      <c r="B56" s="35">
        <v>796644.77</v>
      </c>
      <c r="C56" s="20"/>
      <c r="Q56" s="11"/>
      <c r="R56" s="11"/>
      <c r="T56" s="11"/>
    </row>
    <row r="57">
      <c r="A57" s="33" t="s">
        <v>175</v>
      </c>
      <c r="B57" s="35">
        <v>713994.57</v>
      </c>
      <c r="C57" s="20"/>
      <c r="Q57" s="11"/>
      <c r="R57" s="11"/>
      <c r="T57" s="11"/>
    </row>
    <row r="58">
      <c r="A58" s="33" t="s">
        <v>151</v>
      </c>
      <c r="B58" s="35">
        <v>702938.45</v>
      </c>
      <c r="C58" s="20"/>
      <c r="Q58" s="11"/>
      <c r="R58" s="11"/>
      <c r="T58" s="11"/>
    </row>
    <row r="59">
      <c r="A59" s="33" t="s">
        <v>150</v>
      </c>
      <c r="B59" s="35">
        <v>665206.7</v>
      </c>
      <c r="Q59" s="11"/>
      <c r="R59" s="11"/>
      <c r="T59" s="11"/>
    </row>
    <row r="60">
      <c r="A60" s="33" t="s">
        <v>148</v>
      </c>
      <c r="B60" s="35">
        <v>635036.9</v>
      </c>
      <c r="Q60" s="11"/>
      <c r="R60" s="11"/>
      <c r="T60" s="11"/>
    </row>
    <row r="61">
      <c r="A61" s="33" t="s">
        <v>146</v>
      </c>
      <c r="B61" s="35">
        <v>523168.13</v>
      </c>
      <c r="C61" s="20"/>
      <c r="Q61" s="11"/>
      <c r="R61" s="11"/>
      <c r="T61" s="11"/>
    </row>
    <row r="62">
      <c r="A62" s="33" t="s">
        <v>153</v>
      </c>
      <c r="B62" s="35">
        <v>518321.71</v>
      </c>
      <c r="C62" s="20"/>
      <c r="Q62" s="11"/>
      <c r="R62" s="11"/>
      <c r="T62" s="11"/>
    </row>
    <row r="63">
      <c r="A63" s="33" t="s">
        <v>176</v>
      </c>
      <c r="B63" s="35">
        <v>462192.89</v>
      </c>
      <c r="C63" s="20"/>
      <c r="Q63" s="11"/>
      <c r="R63" s="11"/>
      <c r="T63" s="11"/>
    </row>
    <row r="64">
      <c r="A64" s="33" t="s">
        <v>177</v>
      </c>
      <c r="B64" s="35">
        <v>428574.34</v>
      </c>
      <c r="C64" s="20"/>
      <c r="Q64" s="11"/>
      <c r="R64" s="11"/>
      <c r="T64" s="11"/>
    </row>
    <row r="65">
      <c r="A65" s="33" t="s">
        <v>165</v>
      </c>
      <c r="B65" s="35">
        <v>291539.45</v>
      </c>
      <c r="Q65" s="11"/>
      <c r="R65" s="11"/>
      <c r="T65" s="11"/>
    </row>
    <row r="66">
      <c r="A66" s="33" t="s">
        <v>155</v>
      </c>
      <c r="B66" s="35">
        <v>279421.73</v>
      </c>
      <c r="Q66" s="11"/>
      <c r="R66" s="11"/>
      <c r="T66" s="11"/>
    </row>
    <row r="67">
      <c r="A67" s="33" t="s">
        <v>178</v>
      </c>
      <c r="B67" s="35">
        <v>269587.48</v>
      </c>
      <c r="Q67" s="11"/>
      <c r="R67" s="11"/>
      <c r="T67" s="11"/>
    </row>
    <row r="68">
      <c r="A68" s="33" t="s">
        <v>164</v>
      </c>
      <c r="B68" s="35">
        <v>148502.67</v>
      </c>
      <c r="Q68" s="11"/>
      <c r="R68" s="11"/>
      <c r="T68" s="11"/>
    </row>
    <row r="69">
      <c r="A69" s="33" t="s">
        <v>161</v>
      </c>
      <c r="B69" s="35">
        <v>136275.64</v>
      </c>
      <c r="Q69" s="11"/>
      <c r="R69" s="11"/>
      <c r="T69" s="11"/>
    </row>
    <row r="70">
      <c r="A70" s="33" t="s">
        <v>160</v>
      </c>
      <c r="B70" s="35">
        <v>110806.41</v>
      </c>
      <c r="Q70" s="11"/>
      <c r="R70" s="11"/>
      <c r="T70" s="11"/>
    </row>
    <row r="71">
      <c r="A71" s="33" t="s">
        <v>157</v>
      </c>
      <c r="B71" s="35">
        <v>86202.49</v>
      </c>
      <c r="Q71" s="11"/>
      <c r="R71" s="11"/>
      <c r="T71" s="11"/>
    </row>
    <row r="72">
      <c r="A72" s="33"/>
      <c r="B72" s="35"/>
      <c r="C72" s="20"/>
      <c r="Q72" s="11"/>
      <c r="R72" s="11"/>
      <c r="T72" s="11"/>
    </row>
    <row r="73">
      <c r="A73" s="33"/>
      <c r="B73" s="35"/>
      <c r="Q73" s="11"/>
      <c r="R73" s="11"/>
      <c r="T73" s="11"/>
    </row>
    <row r="74">
      <c r="A74" s="33"/>
      <c r="B74" s="35"/>
      <c r="Q74" s="11"/>
      <c r="R74" s="11"/>
      <c r="T74" s="11"/>
    </row>
    <row r="75">
      <c r="A75" s="33"/>
      <c r="B75" s="35"/>
      <c r="Q75" s="11"/>
      <c r="R75" s="11"/>
      <c r="T75" s="11"/>
    </row>
    <row r="76">
      <c r="A76" s="33"/>
      <c r="B76" s="35"/>
      <c r="D76" s="6"/>
      <c r="E76" s="6"/>
      <c r="F76" s="6"/>
      <c r="I76" s="2"/>
      <c r="K76" s="3"/>
      <c r="L76" s="9"/>
      <c r="M76" s="10"/>
      <c r="N76" s="9"/>
      <c r="O76" s="11"/>
      <c r="P76" s="11"/>
      <c r="Q76" s="11"/>
      <c r="R76" s="11"/>
      <c r="T76" s="11"/>
    </row>
    <row r="77">
      <c r="A77" s="33"/>
      <c r="B77" s="35"/>
      <c r="D77" s="6"/>
      <c r="E77" s="6"/>
      <c r="F77" s="6"/>
      <c r="I77" s="2"/>
      <c r="K77" s="3"/>
      <c r="L77" s="9"/>
      <c r="M77" s="10"/>
      <c r="N77" s="9"/>
      <c r="O77" s="11"/>
      <c r="P77" s="11"/>
      <c r="Q77" s="11"/>
      <c r="R77" s="11"/>
      <c r="T77" s="11"/>
    </row>
    <row r="78">
      <c r="A78" s="33"/>
      <c r="B78" s="35"/>
      <c r="D78" s="6"/>
      <c r="E78" s="6"/>
      <c r="F78" s="6"/>
      <c r="I78" s="2"/>
      <c r="K78" s="3"/>
      <c r="L78" s="9"/>
      <c r="M78" s="10"/>
      <c r="N78" s="9"/>
      <c r="O78" s="11"/>
      <c r="P78" s="11"/>
      <c r="Q78" s="11"/>
      <c r="R78" s="11"/>
      <c r="T78" s="11"/>
    </row>
    <row r="79">
      <c r="A79" s="33"/>
      <c r="B79" s="35"/>
      <c r="D79" s="6"/>
      <c r="E79" s="6"/>
      <c r="F79" s="6"/>
      <c r="I79" s="2"/>
      <c r="K79" s="3"/>
      <c r="L79" s="9"/>
      <c r="M79" s="10"/>
      <c r="N79" s="9"/>
      <c r="O79" s="11"/>
      <c r="P79" s="11"/>
      <c r="Q79" s="11"/>
      <c r="R79" s="11"/>
      <c r="T79" s="11"/>
    </row>
    <row r="80">
      <c r="A80" s="33"/>
      <c r="B80" s="35"/>
      <c r="D80" s="6"/>
      <c r="E80" s="6"/>
      <c r="F80" s="6"/>
      <c r="I80" s="2"/>
      <c r="K80" s="3"/>
      <c r="L80" s="9"/>
      <c r="M80" s="10"/>
      <c r="N80" s="9"/>
      <c r="O80" s="11"/>
      <c r="P80" s="11"/>
      <c r="Q80" s="11"/>
      <c r="R80" s="11"/>
      <c r="T80" s="11"/>
    </row>
    <row r="81">
      <c r="A81" s="33"/>
      <c r="B81" s="35"/>
      <c r="D81" s="6"/>
      <c r="E81" s="6"/>
      <c r="F81" s="6"/>
      <c r="I81" s="2"/>
      <c r="K81" s="3"/>
      <c r="L81" s="9"/>
      <c r="M81" s="10"/>
      <c r="N81" s="9"/>
      <c r="O81" s="11"/>
      <c r="P81" s="11"/>
      <c r="Q81" s="11"/>
      <c r="R81" s="11"/>
      <c r="T81" s="11"/>
    </row>
    <row r="82">
      <c r="A82" s="33"/>
      <c r="B82" s="35"/>
      <c r="D82" s="6"/>
      <c r="E82" s="6"/>
      <c r="F82" s="6"/>
      <c r="I82" s="2"/>
      <c r="K82" s="3"/>
      <c r="L82" s="9"/>
      <c r="M82" s="10"/>
      <c r="N82" s="9"/>
      <c r="O82" s="11"/>
      <c r="P82" s="11"/>
      <c r="Q82" s="11"/>
      <c r="R82" s="11"/>
      <c r="T82" s="11"/>
    </row>
    <row r="83">
      <c r="A83" s="33"/>
      <c r="B83" s="35"/>
      <c r="D83" s="6"/>
      <c r="E83" s="6"/>
      <c r="F83" s="6"/>
      <c r="I83" s="2"/>
      <c r="K83" s="3"/>
      <c r="L83" s="9"/>
      <c r="M83" s="10"/>
      <c r="N83" s="9"/>
      <c r="O83" s="11"/>
      <c r="P83" s="11"/>
      <c r="Q83" s="11"/>
      <c r="R83" s="11"/>
      <c r="T83" s="11"/>
    </row>
    <row r="84">
      <c r="A84" s="33"/>
      <c r="B84" s="35"/>
      <c r="D84" s="6"/>
      <c r="E84" s="6"/>
      <c r="F84" s="6"/>
      <c r="I84" s="2"/>
      <c r="K84" s="3"/>
      <c r="L84" s="4"/>
    </row>
    <row r="85">
      <c r="A85" s="33"/>
      <c r="B85" s="35"/>
      <c r="D85" s="6"/>
      <c r="E85" s="6"/>
      <c r="F85" s="6"/>
      <c r="I85" s="2"/>
      <c r="K85" s="3"/>
      <c r="L85" s="4"/>
    </row>
    <row r="86">
      <c r="A86" s="33"/>
      <c r="B86" s="35"/>
      <c r="D86" s="6"/>
      <c r="E86" s="6"/>
      <c r="F86" s="6"/>
      <c r="I86" s="2"/>
      <c r="K86" s="3"/>
      <c r="L86" s="4"/>
    </row>
    <row r="87">
      <c r="A87" s="33"/>
      <c r="B87" s="35"/>
      <c r="D87" s="6"/>
      <c r="E87" s="6"/>
      <c r="F87" s="6"/>
      <c r="I87" s="2"/>
      <c r="K87" s="3"/>
      <c r="L87" s="4"/>
    </row>
    <row r="88">
      <c r="A88" s="33"/>
      <c r="B88" s="35"/>
      <c r="D88" s="6"/>
      <c r="E88" s="6"/>
      <c r="F88" s="6"/>
      <c r="I88" s="2"/>
      <c r="K88" s="3"/>
      <c r="L88" s="4"/>
    </row>
    <row r="89">
      <c r="A89" s="33"/>
      <c r="B89" s="35"/>
      <c r="D89" s="6"/>
      <c r="E89" s="6"/>
      <c r="F89" s="6"/>
      <c r="I89" s="2"/>
      <c r="K89" s="3"/>
      <c r="L89" s="4"/>
    </row>
    <row r="90">
      <c r="A90" s="33"/>
      <c r="B90" s="35"/>
      <c r="E90" s="6"/>
      <c r="F90" s="6"/>
      <c r="I90" s="2"/>
      <c r="K90" s="3"/>
      <c r="L90" s="4"/>
    </row>
    <row r="91">
      <c r="A91" s="33"/>
      <c r="B91" s="35"/>
      <c r="I91" s="2"/>
      <c r="K91" s="3"/>
      <c r="L91" s="4"/>
    </row>
    <row r="92">
      <c r="A92" s="33"/>
      <c r="B92" s="35"/>
      <c r="I92" s="2"/>
      <c r="K92" s="3"/>
      <c r="L92" s="4"/>
    </row>
    <row r="93">
      <c r="A93" s="33"/>
      <c r="B93" s="35"/>
      <c r="I93" s="2"/>
      <c r="K93" s="3"/>
      <c r="L93" s="4"/>
    </row>
    <row r="94">
      <c r="A94" s="33"/>
      <c r="B94" s="35"/>
      <c r="C94" s="1"/>
      <c r="D94" s="1"/>
      <c r="E94" s="6"/>
      <c r="I94" s="2"/>
      <c r="K94" s="3"/>
      <c r="L94" s="4"/>
    </row>
    <row r="95">
      <c r="A95" s="33"/>
      <c r="B95" s="35"/>
      <c r="C95" s="1"/>
      <c r="D95" s="1"/>
      <c r="E95" s="6"/>
      <c r="I95" s="2"/>
      <c r="K95" s="3"/>
      <c r="L95" s="4"/>
    </row>
    <row r="96">
      <c r="A96" s="33"/>
      <c r="B96" s="35"/>
      <c r="C96" s="1">
        <f>3056345/80.7</f>
        <v>37872.92441</v>
      </c>
      <c r="D96" s="19"/>
      <c r="E96" s="6"/>
      <c r="F96" s="6"/>
      <c r="I96" s="2"/>
      <c r="K96" s="3"/>
      <c r="L96" s="4"/>
    </row>
    <row r="97">
      <c r="A97" s="33"/>
      <c r="B97" s="35"/>
      <c r="E97" s="6"/>
      <c r="F97" s="6"/>
      <c r="I97" s="20" t="s">
        <v>132</v>
      </c>
      <c r="J97" s="27">
        <f>63519-35000</f>
        <v>28519</v>
      </c>
      <c r="K97" s="3"/>
      <c r="L97" s="4"/>
    </row>
    <row r="98">
      <c r="B98" s="35"/>
      <c r="F98" s="20" t="s">
        <v>134</v>
      </c>
      <c r="G98" s="20" t="s">
        <v>135</v>
      </c>
      <c r="H98" s="20" t="s">
        <v>136</v>
      </c>
      <c r="I98" s="20" t="s">
        <v>137</v>
      </c>
      <c r="J98" s="20" t="s">
        <v>138</v>
      </c>
      <c r="K98" s="25" t="s">
        <v>139</v>
      </c>
      <c r="L98" s="9"/>
      <c r="M98" s="10"/>
      <c r="N98" s="9"/>
      <c r="O98" s="11"/>
      <c r="P98" s="11"/>
    </row>
    <row r="99">
      <c r="A99" s="33"/>
      <c r="B99" s="35"/>
      <c r="C99" s="21"/>
      <c r="E99" t="str">
        <f t="shared" ref="E99:E112" si="15">B9</f>
        <v>Dagger Storm</v>
      </c>
      <c r="F99" s="27">
        <f t="shared" ref="F99:F112" si="16">Max(F9+H9*J9*K9*if(D99="",1,0)-$B$7,(F9+H9*J9*K9*if(D99="",1,0))/1.5)+0*(0/2*if(A9=1,3,1))</f>
        <v>910887</v>
      </c>
      <c r="G99" s="27">
        <f t="shared" ref="G99:G120" si="17">(1+C$5)/(1+B$5)*(E$6/D$6)*F99</f>
        <v>1224323.66</v>
      </c>
      <c r="H99" s="27">
        <f t="shared" ref="H99:I99" si="14">F99/2*if($A9=1,3,1)</f>
        <v>455443.5</v>
      </c>
      <c r="I99" s="27">
        <f t="shared" si="14"/>
        <v>612161.8299</v>
      </c>
      <c r="J99" s="28">
        <f t="shared" ref="J99:J120" si="19">iferror(if((((Min(I99,B$7)+G99)/(G99+Min($J$97,I99)))^-1-1)=0,"",((Min(I99,B$7)+G99)/(G99+Min($J$97,I99)))^-1-1),"")</f>
        <v>-0.02774344532</v>
      </c>
      <c r="K99" s="35">
        <v>4169233.13</v>
      </c>
      <c r="L99" s="9">
        <f t="shared" ref="L99:L123" si="20">if((J99*K99)=0,"",(J99*K99))</f>
        <v>-115668.8914</v>
      </c>
      <c r="M99" s="36">
        <f t="shared" ref="M99:M120" si="21">K99/sum(K$99:K$120,-K$113)</f>
        <v>0.2113289139</v>
      </c>
      <c r="N99" s="9"/>
      <c r="O99" s="11"/>
      <c r="P99" s="11"/>
    </row>
    <row r="100">
      <c r="A100" s="33"/>
      <c r="B100" s="35"/>
      <c r="C100" s="21"/>
      <c r="D100" s="20">
        <v>1.0</v>
      </c>
      <c r="E100" t="str">
        <f t="shared" si="15"/>
        <v>Nightblade</v>
      </c>
      <c r="F100" s="27">
        <f t="shared" si="16"/>
        <v>107395.3333</v>
      </c>
      <c r="G100" s="27">
        <f t="shared" si="17"/>
        <v>144350.1198</v>
      </c>
      <c r="H100" s="27">
        <f t="shared" ref="H100:I100" si="18">F100/2*if($A10=1,3,1)</f>
        <v>53697.66667</v>
      </c>
      <c r="I100" s="27">
        <f t="shared" si="18"/>
        <v>72175.05988</v>
      </c>
      <c r="J100" s="28">
        <f t="shared" si="19"/>
        <v>-0.1713649259</v>
      </c>
      <c r="K100" s="35">
        <v>3335870.35</v>
      </c>
      <c r="L100" s="9">
        <f t="shared" si="20"/>
        <v>-571651.1753</v>
      </c>
      <c r="M100" s="36">
        <f t="shared" si="21"/>
        <v>0.1690876562</v>
      </c>
      <c r="N100" s="9"/>
      <c r="O100" s="11"/>
      <c r="P100" s="11"/>
    </row>
    <row r="101">
      <c r="A101" s="33"/>
      <c r="B101" s="35"/>
      <c r="E101" t="str">
        <f t="shared" si="15"/>
        <v>Ambush</v>
      </c>
      <c r="F101" s="27">
        <f t="shared" si="16"/>
        <v>154923</v>
      </c>
      <c r="G101" s="27">
        <f t="shared" si="17"/>
        <v>208232.0796</v>
      </c>
      <c r="H101" s="27">
        <f t="shared" ref="H101:I101" si="22">F101/2*if($A11=1,3,1)</f>
        <v>77461.5</v>
      </c>
      <c r="I101" s="27">
        <f t="shared" si="22"/>
        <v>104116.0398</v>
      </c>
      <c r="J101" s="28">
        <f t="shared" si="19"/>
        <v>-0.1311921408</v>
      </c>
      <c r="K101" s="35">
        <v>2673260.2</v>
      </c>
      <c r="L101" s="9">
        <f t="shared" si="20"/>
        <v>-350710.7285</v>
      </c>
      <c r="M101" s="36">
        <f t="shared" si="21"/>
        <v>0.1355014597</v>
      </c>
      <c r="N101" s="9"/>
      <c r="O101" s="11"/>
      <c r="P101" s="11"/>
    </row>
    <row r="102">
      <c r="A102" s="33"/>
      <c r="B102" s="35"/>
      <c r="D102" s="20"/>
      <c r="E102" t="str">
        <f t="shared" si="15"/>
        <v>Masked Strike</v>
      </c>
      <c r="F102" s="27">
        <f t="shared" si="16"/>
        <v>110690.6667</v>
      </c>
      <c r="G102" s="27">
        <f t="shared" si="17"/>
        <v>148779.3789</v>
      </c>
      <c r="H102" s="27">
        <f t="shared" ref="H102:I102" si="23">F102/2*if($A12=1,3,1)</f>
        <v>55345.33333</v>
      </c>
      <c r="I102" s="27">
        <f t="shared" si="23"/>
        <v>74389.68945</v>
      </c>
      <c r="J102" s="28">
        <f t="shared" si="19"/>
        <v>-0.1678022625</v>
      </c>
      <c r="K102" s="35">
        <v>1334609.28</v>
      </c>
      <c r="L102" s="9">
        <f t="shared" si="20"/>
        <v>-223950.4567</v>
      </c>
      <c r="M102" s="36">
        <f t="shared" si="21"/>
        <v>0.06764829907</v>
      </c>
      <c r="N102" s="9"/>
      <c r="O102" s="11"/>
      <c r="P102" s="11"/>
    </row>
    <row r="103">
      <c r="A103" s="33"/>
      <c r="B103" s="37"/>
      <c r="E103" t="str">
        <f t="shared" si="15"/>
        <v>Death Mark</v>
      </c>
      <c r="F103" s="27">
        <f t="shared" si="16"/>
        <v>371179</v>
      </c>
      <c r="G103" s="27">
        <f t="shared" si="17"/>
        <v>498901.8744</v>
      </c>
      <c r="H103" s="27">
        <f t="shared" ref="H103:I103" si="24">F103/2*if($A13=1,3,1)</f>
        <v>185589.5</v>
      </c>
      <c r="I103" s="27">
        <f t="shared" si="24"/>
        <v>249450.9372</v>
      </c>
      <c r="J103" s="28">
        <f t="shared" si="19"/>
        <v>-0.06347984533</v>
      </c>
      <c r="K103" s="35">
        <v>940486.4</v>
      </c>
      <c r="L103" s="9">
        <f t="shared" si="20"/>
        <v>-59701.9312</v>
      </c>
      <c r="M103" s="36">
        <f t="shared" si="21"/>
        <v>0.0476711096</v>
      </c>
      <c r="N103" s="9"/>
      <c r="O103" s="11"/>
      <c r="P103" s="11"/>
    </row>
    <row r="104">
      <c r="A104" s="33"/>
      <c r="B104" s="35"/>
      <c r="E104" t="str">
        <f t="shared" si="15"/>
        <v>Shadow Step</v>
      </c>
      <c r="F104" s="27">
        <f t="shared" si="16"/>
        <v>440920</v>
      </c>
      <c r="G104" s="27">
        <f t="shared" si="17"/>
        <v>592640.7864</v>
      </c>
      <c r="H104" s="27">
        <f t="shared" ref="H104:I104" si="25">F104/2*if($A14=1,3,1)</f>
        <v>220460</v>
      </c>
      <c r="I104" s="27">
        <f t="shared" si="25"/>
        <v>296320.3932</v>
      </c>
      <c r="J104" s="28">
        <f t="shared" si="19"/>
        <v>-0.05442147573</v>
      </c>
      <c r="K104" s="35">
        <v>935345.69</v>
      </c>
      <c r="L104" s="9">
        <f t="shared" si="20"/>
        <v>-50902.89277</v>
      </c>
      <c r="M104" s="36">
        <f t="shared" si="21"/>
        <v>0.04741053874</v>
      </c>
      <c r="N104" s="9"/>
      <c r="O104" s="11"/>
      <c r="P104" s="11"/>
    </row>
    <row r="105">
      <c r="A105" s="33"/>
      <c r="B105" s="35"/>
      <c r="E105" t="str">
        <f t="shared" si="15"/>
        <v>Evade</v>
      </c>
      <c r="F105" s="27">
        <f t="shared" si="16"/>
        <v>89238.66667</v>
      </c>
      <c r="G105" s="27">
        <f t="shared" si="17"/>
        <v>119945.7353</v>
      </c>
      <c r="H105" s="27">
        <f t="shared" ref="H105:I105" si="26">F105/2*if($A15=1,3,1)</f>
        <v>44619.33333</v>
      </c>
      <c r="I105" s="27">
        <f t="shared" si="26"/>
        <v>59972.86763</v>
      </c>
      <c r="J105" s="28">
        <f t="shared" si="19"/>
        <v>-0.174822765</v>
      </c>
      <c r="K105" s="35">
        <v>796644.77</v>
      </c>
      <c r="L105" s="9">
        <f t="shared" si="20"/>
        <v>-139271.6414</v>
      </c>
      <c r="M105" s="36">
        <f t="shared" si="21"/>
        <v>0.0403801056</v>
      </c>
      <c r="N105" s="9"/>
      <c r="O105" s="11"/>
      <c r="P105" s="11"/>
    </row>
    <row r="106">
      <c r="E106" t="str">
        <f t="shared" si="15"/>
        <v>Death Blow &lt;33</v>
      </c>
      <c r="F106" s="27">
        <f t="shared" si="16"/>
        <v>238890</v>
      </c>
      <c r="G106" s="27">
        <f t="shared" si="17"/>
        <v>321092.1652</v>
      </c>
      <c r="H106" s="27">
        <f t="shared" ref="H106:I106" si="27">F106/2*if($A16=1,3,1)</f>
        <v>119445</v>
      </c>
      <c r="I106" s="27">
        <f t="shared" si="27"/>
        <v>160546.0826</v>
      </c>
      <c r="J106" s="28">
        <f t="shared" si="19"/>
        <v>-0.09277011601</v>
      </c>
      <c r="K106" s="35">
        <v>713994.57</v>
      </c>
      <c r="L106" s="9">
        <f t="shared" si="20"/>
        <v>-66237.35909</v>
      </c>
      <c r="M106" s="36">
        <f t="shared" si="21"/>
        <v>0.03619075555</v>
      </c>
      <c r="N106" s="9"/>
      <c r="O106" s="11"/>
      <c r="P106" s="11"/>
    </row>
    <row r="107">
      <c r="E107" t="str">
        <f t="shared" si="15"/>
        <v>Stealth Assault</v>
      </c>
      <c r="F107" s="27">
        <f t="shared" si="16"/>
        <v>107814</v>
      </c>
      <c r="G107" s="27">
        <f t="shared" si="17"/>
        <v>144912.8498</v>
      </c>
      <c r="H107" s="27">
        <f t="shared" ref="H107:I107" si="28">F107/2*if($A17=1,3,1)</f>
        <v>161721</v>
      </c>
      <c r="I107" s="27">
        <f t="shared" si="28"/>
        <v>217369.2748</v>
      </c>
      <c r="J107" s="28">
        <f t="shared" si="19"/>
        <v>-0.1709039289</v>
      </c>
      <c r="K107" s="35">
        <v>702938.45</v>
      </c>
      <c r="L107" s="9">
        <f t="shared" si="20"/>
        <v>-120134.9429</v>
      </c>
      <c r="M107" s="36">
        <f t="shared" si="21"/>
        <v>0.03563034606</v>
      </c>
      <c r="N107" s="9"/>
      <c r="O107" s="11"/>
      <c r="P107" s="11"/>
    </row>
    <row r="108">
      <c r="E108" t="str">
        <f t="shared" si="15"/>
        <v>Noxious Enfeeblement</v>
      </c>
      <c r="F108" s="27">
        <f t="shared" si="16"/>
        <v>228428</v>
      </c>
      <c r="G108" s="27">
        <f t="shared" si="17"/>
        <v>307030.1859</v>
      </c>
      <c r="H108" s="27">
        <f t="shared" ref="H108:I108" si="29">F108/2*if($A18=1,3,1)</f>
        <v>114214</v>
      </c>
      <c r="I108" s="27">
        <f t="shared" si="29"/>
        <v>153515.0929</v>
      </c>
      <c r="J108" s="28">
        <f t="shared" si="19"/>
        <v>-0.09628353995</v>
      </c>
      <c r="K108" s="35">
        <v>665206.7</v>
      </c>
      <c r="L108" s="9">
        <f t="shared" si="20"/>
        <v>-64048.45588</v>
      </c>
      <c r="M108" s="36">
        <f t="shared" si="21"/>
        <v>0.03371780975</v>
      </c>
      <c r="N108" s="9"/>
      <c r="O108" s="11"/>
      <c r="P108" s="11"/>
    </row>
    <row r="109">
      <c r="E109" t="str">
        <f t="shared" si="15"/>
        <v>Deadly Shot</v>
      </c>
      <c r="F109" s="27">
        <f t="shared" si="16"/>
        <v>59364.66667</v>
      </c>
      <c r="G109" s="27">
        <f t="shared" si="17"/>
        <v>79792.07734</v>
      </c>
      <c r="H109" s="27">
        <f t="shared" ref="H109:I109" si="30">F109/2*if($A19=1,3,1)</f>
        <v>29682.33333</v>
      </c>
      <c r="I109" s="27">
        <f t="shared" si="30"/>
        <v>39896.03867</v>
      </c>
      <c r="J109" s="28">
        <f t="shared" si="19"/>
        <v>-0.09505570853</v>
      </c>
      <c r="K109" s="35">
        <v>635036.9</v>
      </c>
      <c r="L109" s="9">
        <f t="shared" si="20"/>
        <v>-60363.88247</v>
      </c>
      <c r="M109" s="36">
        <f t="shared" si="21"/>
        <v>0.03218857143</v>
      </c>
      <c r="N109" s="9"/>
      <c r="O109" s="11"/>
      <c r="P109" s="11"/>
    </row>
    <row r="110">
      <c r="E110" t="str">
        <f t="shared" si="15"/>
        <v>Smoke Bomb</v>
      </c>
      <c r="F110" s="27">
        <f t="shared" si="16"/>
        <v>202597</v>
      </c>
      <c r="G110" s="27">
        <f t="shared" si="17"/>
        <v>272310.7262</v>
      </c>
      <c r="H110" s="27">
        <f t="shared" ref="H110:I110" si="31">F110/2*if($A20=1,3,1)</f>
        <v>303895.5</v>
      </c>
      <c r="I110" s="27">
        <f t="shared" si="31"/>
        <v>408466.0893</v>
      </c>
      <c r="J110" s="28">
        <f t="shared" si="19"/>
        <v>-0.1062155478</v>
      </c>
      <c r="K110" s="35">
        <v>523168.13</v>
      </c>
      <c r="L110" s="9">
        <f t="shared" si="20"/>
        <v>-55568.58952</v>
      </c>
      <c r="M110" s="36">
        <f t="shared" si="21"/>
        <v>0.02651819874</v>
      </c>
      <c r="N110" s="9"/>
      <c r="O110" s="11"/>
      <c r="P110" s="11"/>
    </row>
    <row r="111">
      <c r="E111" t="str">
        <f t="shared" si="15"/>
        <v>Improvised</v>
      </c>
      <c r="F111" s="27">
        <f t="shared" si="16"/>
        <v>59212</v>
      </c>
      <c r="G111" s="27">
        <f t="shared" si="17"/>
        <v>79586.878</v>
      </c>
      <c r="H111" s="27">
        <f t="shared" ref="H111:I111" si="32">F111/2*if($A21=1,3,1)</f>
        <v>29606</v>
      </c>
      <c r="I111" s="27">
        <f t="shared" si="32"/>
        <v>39793.439</v>
      </c>
      <c r="J111" s="28">
        <f t="shared" si="19"/>
        <v>-0.09444135585</v>
      </c>
      <c r="K111" s="35">
        <v>518321.71</v>
      </c>
      <c r="L111" s="9">
        <f t="shared" si="20"/>
        <v>-48951.00506</v>
      </c>
      <c r="M111" s="36">
        <f t="shared" si="21"/>
        <v>0.02627254477</v>
      </c>
      <c r="N111" s="9"/>
      <c r="O111" s="11"/>
      <c r="P111" s="11"/>
    </row>
    <row r="112">
      <c r="E112" t="str">
        <f t="shared" si="15"/>
        <v>Impale</v>
      </c>
      <c r="F112" s="27">
        <f t="shared" si="16"/>
        <v>77786.49275</v>
      </c>
      <c r="G112" s="27">
        <f t="shared" si="17"/>
        <v>104552.8627</v>
      </c>
      <c r="H112" s="27">
        <f t="shared" ref="H112:I112" si="33">F112/2*if($A22=1,3,1)</f>
        <v>38893.24638</v>
      </c>
      <c r="I112" s="27">
        <f t="shared" si="33"/>
        <v>52276.43137</v>
      </c>
      <c r="J112" s="28">
        <f t="shared" si="19"/>
        <v>-0.1514859294</v>
      </c>
      <c r="K112" s="35">
        <v>462192.89</v>
      </c>
      <c r="L112" s="9">
        <f t="shared" si="20"/>
        <v>-70015.71949</v>
      </c>
      <c r="M112" s="36">
        <f t="shared" si="21"/>
        <v>0.02342750296</v>
      </c>
      <c r="N112" s="9"/>
      <c r="O112" s="11"/>
      <c r="P112" s="11"/>
    </row>
    <row r="113">
      <c r="E113" t="str">
        <f>#REF!</f>
        <v>#REF!</v>
      </c>
      <c r="F113" s="27" t="str">
        <f>Max(#REF!+#REF!*#REF!*#REF!*if(D113="",1,0)-$B$7,(#REF!+#REF!*#REF!*#REF!*if(D113="",1,0))/1.5)+0*(0/2*if(#REF!=1,3,1))</f>
        <v>#REF!</v>
      </c>
      <c r="G113" s="27" t="str">
        <f t="shared" si="17"/>
        <v>#REF!</v>
      </c>
      <c r="H113" s="27" t="str">
        <f t="shared" ref="H113:I113" si="34">F113/2*if(#REF!=1,3,1)</f>
        <v>#REF!</v>
      </c>
      <c r="I113" s="27" t="str">
        <f t="shared" si="34"/>
        <v>#REF!</v>
      </c>
      <c r="J113" s="28" t="str">
        <f t="shared" si="19"/>
        <v/>
      </c>
      <c r="K113" s="35">
        <v>428574.34</v>
      </c>
      <c r="L113" s="9" t="str">
        <f t="shared" si="20"/>
        <v/>
      </c>
      <c r="M113" s="36">
        <f t="shared" si="21"/>
        <v>0.02172345537</v>
      </c>
      <c r="N113" s="9"/>
      <c r="O113" s="11"/>
      <c r="P113" s="11"/>
    </row>
    <row r="114">
      <c r="E114" t="str">
        <f t="shared" ref="E114:E120" si="36">B23</f>
        <v>Death Blow &gt;33</v>
      </c>
      <c r="F114" s="27">
        <f t="shared" ref="F114:F120" si="37">Max(F23+H23*J23*K23*if(D114="",1,0)-$B$7,(F23+H23*J23*K23*if(D114="",1,0))/1.5)+0*(0/2*if(A23=1,3,1))</f>
        <v>106440.6667</v>
      </c>
      <c r="G114" s="27">
        <f t="shared" si="17"/>
        <v>143066.9518</v>
      </c>
      <c r="H114" s="27">
        <f t="shared" ref="H114:I114" si="35">F114/2*if($A23=1,3,1)</f>
        <v>53220.33333</v>
      </c>
      <c r="I114" s="27">
        <f t="shared" si="35"/>
        <v>71533.47592</v>
      </c>
      <c r="J114" s="28">
        <f t="shared" si="19"/>
        <v>-0.1724254751</v>
      </c>
      <c r="K114" s="35">
        <v>291539.45</v>
      </c>
      <c r="L114" s="9">
        <f t="shared" si="20"/>
        <v>-50268.82818</v>
      </c>
      <c r="M114" s="36">
        <f t="shared" si="21"/>
        <v>0.01477746948</v>
      </c>
      <c r="N114" s="9"/>
      <c r="O114" s="11"/>
      <c r="P114" s="11"/>
    </row>
    <row r="115">
      <c r="E115" t="str">
        <f t="shared" si="36"/>
        <v>Touch of the Nightshade</v>
      </c>
      <c r="F115" s="27">
        <f t="shared" si="37"/>
        <v>104618.6667</v>
      </c>
      <c r="G115" s="27">
        <f t="shared" si="17"/>
        <v>140618.0007</v>
      </c>
      <c r="H115" s="27">
        <f t="shared" ref="H115:I115" si="38">F115/2*if($A24=1,3,1)</f>
        <v>52309.33333</v>
      </c>
      <c r="I115" s="27">
        <f t="shared" si="38"/>
        <v>70309.00037</v>
      </c>
      <c r="J115" s="28">
        <f t="shared" si="19"/>
        <v>-0.1744864236</v>
      </c>
      <c r="K115" s="35">
        <v>279421.73</v>
      </c>
      <c r="L115" s="9">
        <f t="shared" si="20"/>
        <v>-48755.29834</v>
      </c>
      <c r="M115" s="36">
        <f t="shared" si="21"/>
        <v>0.01416324991</v>
      </c>
      <c r="N115" s="9"/>
      <c r="O115" s="11"/>
      <c r="P115" s="11"/>
    </row>
    <row r="116">
      <c r="E116" t="str">
        <f t="shared" si="36"/>
        <v>Head Shot</v>
      </c>
      <c r="F116" s="27">
        <f t="shared" si="37"/>
        <v>146790</v>
      </c>
      <c r="G116" s="27">
        <f t="shared" si="17"/>
        <v>197300.5104</v>
      </c>
      <c r="H116" s="27">
        <f t="shared" ref="H116:I116" si="39">F116/2*if($A25=1,3,1)</f>
        <v>73395</v>
      </c>
      <c r="I116" s="27">
        <f t="shared" si="39"/>
        <v>98650.2552</v>
      </c>
      <c r="J116" s="28">
        <f t="shared" si="19"/>
        <v>-0.1366749509</v>
      </c>
      <c r="K116" s="35">
        <v>269587.48</v>
      </c>
      <c r="L116" s="9">
        <f t="shared" si="20"/>
        <v>-36845.8556</v>
      </c>
      <c r="M116" s="36">
        <f t="shared" si="21"/>
        <v>0.01366477421</v>
      </c>
      <c r="N116" s="9"/>
      <c r="O116" s="11"/>
      <c r="P116" s="11"/>
    </row>
    <row r="117">
      <c r="E117" t="str">
        <f t="shared" si="36"/>
        <v>Sinister Strike</v>
      </c>
      <c r="F117" s="27">
        <f t="shared" si="37"/>
        <v>131796</v>
      </c>
      <c r="G117" s="27">
        <f t="shared" si="17"/>
        <v>177147.0677</v>
      </c>
      <c r="H117" s="27">
        <f t="shared" ref="H117:I117" si="40">F117/2*if($A26=1,3,1)</f>
        <v>65898</v>
      </c>
      <c r="I117" s="27">
        <f t="shared" si="40"/>
        <v>88573.53385</v>
      </c>
      <c r="J117" s="28">
        <f t="shared" si="19"/>
        <v>-0.1480845925</v>
      </c>
      <c r="K117" s="35">
        <v>148502.67</v>
      </c>
      <c r="L117" s="9">
        <f t="shared" si="20"/>
        <v>-21990.95737</v>
      </c>
      <c r="M117" s="36">
        <f t="shared" si="21"/>
        <v>0.007527261487</v>
      </c>
      <c r="N117" s="9"/>
      <c r="O117" s="11"/>
      <c r="P117" s="11"/>
    </row>
    <row r="118">
      <c r="E118" t="str">
        <f t="shared" si="36"/>
        <v>Spine Shot</v>
      </c>
      <c r="F118" s="27">
        <f t="shared" si="37"/>
        <v>134177</v>
      </c>
      <c r="G118" s="27">
        <f t="shared" si="17"/>
        <v>180347.371</v>
      </c>
      <c r="H118" s="27">
        <f t="shared" ref="H118:I118" si="41">F118/2*if($A27=1,3,1)</f>
        <v>67088.5</v>
      </c>
      <c r="I118" s="27">
        <f t="shared" si="41"/>
        <v>90173.68548</v>
      </c>
      <c r="J118" s="28">
        <f t="shared" si="19"/>
        <v>-0.1461472094</v>
      </c>
      <c r="K118" s="35">
        <v>136275.64</v>
      </c>
      <c r="L118" s="9">
        <f t="shared" si="20"/>
        <v>-19916.3045</v>
      </c>
      <c r="M118" s="36">
        <f t="shared" si="21"/>
        <v>0.006907501236</v>
      </c>
      <c r="N118" s="9"/>
      <c r="O118" s="11"/>
      <c r="P118" s="11"/>
    </row>
    <row r="119">
      <c r="D119" s="20"/>
      <c r="E119" t="str">
        <f t="shared" si="36"/>
        <v>Quick Strike</v>
      </c>
      <c r="F119" s="27">
        <f t="shared" si="37"/>
        <v>46202</v>
      </c>
      <c r="G119" s="27">
        <f t="shared" si="17"/>
        <v>62100.13067</v>
      </c>
      <c r="H119" s="27">
        <f t="shared" ref="H119:I119" si="42">F119/2*if($A28=1,3,1)</f>
        <v>23101</v>
      </c>
      <c r="I119" s="27">
        <f t="shared" si="42"/>
        <v>31050.06534</v>
      </c>
      <c r="J119" s="28">
        <f t="shared" si="19"/>
        <v>-0.02717187342</v>
      </c>
      <c r="K119" s="35">
        <v>110806.41</v>
      </c>
      <c r="L119" s="9">
        <f t="shared" si="20"/>
        <v>-3010.817747</v>
      </c>
      <c r="M119" s="36">
        <f t="shared" si="21"/>
        <v>0.005616524083</v>
      </c>
      <c r="N119" s="9"/>
      <c r="O119" s="11"/>
      <c r="P119" s="11"/>
    </row>
    <row r="120">
      <c r="D120" s="20"/>
      <c r="E120" t="str">
        <f t="shared" si="36"/>
        <v>Gushing Wound Full</v>
      </c>
      <c r="F120" s="27">
        <f t="shared" si="37"/>
        <v>97283.33333</v>
      </c>
      <c r="G120" s="27">
        <f t="shared" si="17"/>
        <v>130758.5756</v>
      </c>
      <c r="H120" s="27">
        <f t="shared" ref="H120:I120" si="43">F120/2*if($A29=1,3,1)</f>
        <v>48641.66667</v>
      </c>
      <c r="I120" s="27">
        <f t="shared" si="43"/>
        <v>65379.28782</v>
      </c>
      <c r="J120" s="28">
        <f t="shared" si="19"/>
        <v>-0.1833074112</v>
      </c>
      <c r="K120" s="35">
        <v>86202.49</v>
      </c>
      <c r="L120" s="9">
        <f t="shared" si="20"/>
        <v>-15801.55528</v>
      </c>
      <c r="M120" s="36">
        <f t="shared" si="21"/>
        <v>0.00436940752</v>
      </c>
      <c r="N120" s="9"/>
      <c r="O120" s="11"/>
      <c r="P120" s="11"/>
    </row>
    <row r="121">
      <c r="D121" s="20"/>
      <c r="F121" s="27"/>
      <c r="G121" s="27"/>
      <c r="H121" s="27"/>
      <c r="I121" s="27"/>
      <c r="J121" s="28"/>
      <c r="K121" s="3"/>
      <c r="L121" s="9" t="str">
        <f t="shared" si="20"/>
        <v/>
      </c>
      <c r="M121" s="10"/>
      <c r="N121" s="9"/>
      <c r="O121" s="11"/>
      <c r="P121" s="11"/>
    </row>
    <row r="122">
      <c r="F122" s="27"/>
      <c r="G122" s="27"/>
      <c r="H122" s="27"/>
      <c r="I122" s="27"/>
      <c r="J122" s="28"/>
      <c r="K122" s="3"/>
      <c r="L122" s="9" t="str">
        <f t="shared" si="20"/>
        <v/>
      </c>
      <c r="M122" s="10"/>
      <c r="N122" s="9"/>
      <c r="O122" s="11"/>
      <c r="P122" s="11"/>
    </row>
    <row r="123">
      <c r="F123" s="27"/>
      <c r="G123" s="27"/>
      <c r="H123" s="27"/>
      <c r="I123" s="27"/>
      <c r="J123" s="28"/>
      <c r="K123" s="29"/>
      <c r="L123" s="9" t="str">
        <f t="shared" si="20"/>
        <v/>
      </c>
      <c r="M123" s="10"/>
      <c r="N123" s="9"/>
      <c r="O123" s="11"/>
      <c r="P123" s="11"/>
    </row>
    <row r="124">
      <c r="F124" s="27"/>
      <c r="G124" s="27"/>
      <c r="H124" s="27"/>
      <c r="I124" s="27"/>
      <c r="J124" s="28"/>
      <c r="K124" s="3"/>
      <c r="L124" s="16" t="s">
        <v>179</v>
      </c>
      <c r="M124" s="17" t="s">
        <v>180</v>
      </c>
      <c r="P124" s="16" t="s">
        <v>140</v>
      </c>
      <c r="Q124" s="13" t="s">
        <v>141</v>
      </c>
      <c r="R124" s="13" t="s">
        <v>142</v>
      </c>
    </row>
    <row r="125">
      <c r="E125" t="str">
        <f>B42</f>
        <v/>
      </c>
      <c r="I125" s="2"/>
      <c r="J125" s="31"/>
      <c r="K125" s="3"/>
      <c r="L125" s="9">
        <f>sum(L100:L124)</f>
        <v>-2078098.397</v>
      </c>
      <c r="M125" s="10">
        <f>L125/(J97-B7)*1000</f>
        <v>58128.6265</v>
      </c>
      <c r="N125">
        <f>L125/M125</f>
        <v>-35.75</v>
      </c>
      <c r="P125" s="9">
        <v>51551.131060775886</v>
      </c>
      <c r="Q125" s="11">
        <v>1630.5969019337172</v>
      </c>
      <c r="R125" s="11">
        <f t="shared" ref="R125:R126" si="44">P125/Q125</f>
        <v>31.61488348</v>
      </c>
    </row>
    <row r="126">
      <c r="D126" s="6"/>
      <c r="E126" s="6"/>
      <c r="F126" s="6"/>
      <c r="I126" s="2"/>
      <c r="K126" s="3"/>
      <c r="L126" s="9"/>
      <c r="M126" s="10"/>
      <c r="P126" s="9">
        <v>278265.4246262847</v>
      </c>
      <c r="Q126" s="11">
        <v>32505.88979666571</v>
      </c>
      <c r="R126" s="11">
        <f t="shared" si="44"/>
        <v>8.5604617</v>
      </c>
    </row>
    <row r="127">
      <c r="I127" s="2"/>
    </row>
    <row r="128">
      <c r="I128" s="2"/>
      <c r="O128" s="20"/>
    </row>
    <row r="129">
      <c r="I129" s="2"/>
      <c r="L129" s="20" t="s">
        <v>181</v>
      </c>
      <c r="M129" s="20" t="s">
        <v>182</v>
      </c>
      <c r="N129" s="20" t="s">
        <v>183</v>
      </c>
      <c r="O129" s="20" t="s">
        <v>184</v>
      </c>
      <c r="P129" s="20" t="s">
        <v>185</v>
      </c>
      <c r="Q129" s="20" t="s">
        <v>186</v>
      </c>
    </row>
    <row r="130">
      <c r="I130" s="2"/>
      <c r="L130">
        <f>3056345</f>
        <v>3056345</v>
      </c>
      <c r="M130">
        <f>L130/(Average(80.39,81.37))</f>
        <v>37788.63749</v>
      </c>
      <c r="N130" s="27">
        <v>30.3030303030303</v>
      </c>
      <c r="O130" s="27">
        <f>24.9/N130*M130</f>
        <v>31050.92342</v>
      </c>
      <c r="P130" s="27">
        <f>24.9/(200/(19.6-13.4))*M130</f>
        <v>29169.04928</v>
      </c>
      <c r="Q130" s="27">
        <f>24.9/(200/(25.6-19.6))*M130</f>
        <v>28228.1122</v>
      </c>
    </row>
    <row r="131">
      <c r="H131" s="20" t="s">
        <v>187</v>
      </c>
      <c r="I131" s="20" t="s">
        <v>188</v>
      </c>
      <c r="J131" s="20" t="s">
        <v>189</v>
      </c>
    </row>
    <row r="132">
      <c r="H132" s="20">
        <v>1000.0</v>
      </c>
      <c r="I132" s="20">
        <v>17.4</v>
      </c>
      <c r="J132" s="20">
        <v>24.9</v>
      </c>
    </row>
    <row r="133">
      <c r="I133" s="2"/>
    </row>
    <row r="134">
      <c r="I134" s="20">
        <v>980.0</v>
      </c>
      <c r="J134" s="38">
        <v>6.91</v>
      </c>
      <c r="K134" s="20" t="s">
        <v>190</v>
      </c>
      <c r="L134" s="20" t="s">
        <v>191</v>
      </c>
      <c r="N134" s="20" t="s">
        <v>192</v>
      </c>
      <c r="O134" s="20" t="s">
        <v>193</v>
      </c>
    </row>
    <row r="135">
      <c r="I135" s="20">
        <v>1000.0</v>
      </c>
      <c r="J135" s="38">
        <v>7.0</v>
      </c>
      <c r="K135" s="39">
        <f>(1+J135)/(J134+1)-1</f>
        <v>0.01137800253</v>
      </c>
      <c r="L135" s="20">
        <v>6110302.0</v>
      </c>
      <c r="M135">
        <f>L135*(8/7.91-1)</f>
        <v>69523.03161</v>
      </c>
      <c r="N135">
        <f>M135*17.4/20</f>
        <v>60485.0375</v>
      </c>
      <c r="O135">
        <f>17.4/600/8*L135*(8/7.91)</f>
        <v>22401.86574</v>
      </c>
    </row>
    <row r="136">
      <c r="I136" s="2"/>
      <c r="O136" s="20" t="s">
        <v>194</v>
      </c>
      <c r="P136" s="20" t="s">
        <v>188</v>
      </c>
    </row>
    <row r="137">
      <c r="I137" s="2"/>
      <c r="O137" s="20" t="s">
        <v>195</v>
      </c>
      <c r="P137">
        <v>60485.03749683887</v>
      </c>
    </row>
    <row r="138">
      <c r="I138" s="2"/>
      <c r="O138" s="20" t="s">
        <v>196</v>
      </c>
      <c r="P138" s="20">
        <v>46720.0</v>
      </c>
    </row>
    <row r="139">
      <c r="I139" s="2"/>
      <c r="O139" s="20" t="s">
        <v>197</v>
      </c>
      <c r="P139">
        <v>31050.923423590506</v>
      </c>
    </row>
    <row r="140">
      <c r="I140" s="2"/>
      <c r="O140" s="20" t="s">
        <v>198</v>
      </c>
      <c r="P140" s="20">
        <v>29169.0</v>
      </c>
    </row>
    <row r="141">
      <c r="I141" s="2"/>
      <c r="O141" s="20" t="s">
        <v>199</v>
      </c>
      <c r="P141" s="20">
        <v>28889.0</v>
      </c>
    </row>
    <row r="142">
      <c r="I142" s="2"/>
      <c r="O142" s="20" t="s">
        <v>200</v>
      </c>
      <c r="P142" s="20">
        <v>28245.0</v>
      </c>
    </row>
    <row r="143">
      <c r="I143" s="2"/>
      <c r="O143" s="20" t="s">
        <v>201</v>
      </c>
      <c r="P143">
        <f>28228</f>
        <v>28228</v>
      </c>
    </row>
    <row r="144">
      <c r="I144" s="2"/>
      <c r="O144" s="20" t="s">
        <v>202</v>
      </c>
      <c r="P144">
        <v>22401.865739570163</v>
      </c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</sheetData>
  <autoFilter ref="$A$8:$U$42">
    <sortState ref="A8:U42">
      <sortCondition descending="1" ref="T8:T42"/>
      <sortCondition descending="1" ref="R8:R42"/>
      <sortCondition descending="1" ref="D8:D42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>
        <f>1.5+1785%</f>
        <v>19.35</v>
      </c>
      <c r="I1" s="2"/>
      <c r="K1" s="3"/>
      <c r="L1" s="4"/>
    </row>
    <row r="2">
      <c r="A2" s="1" t="s">
        <v>1</v>
      </c>
      <c r="B2" s="32">
        <v>0.879</v>
      </c>
      <c r="I2" s="2"/>
      <c r="K2" s="3"/>
      <c r="L2" s="4"/>
    </row>
    <row r="3">
      <c r="A3" s="1" t="s">
        <v>2</v>
      </c>
      <c r="B3" s="19">
        <v>1.0</v>
      </c>
      <c r="I3" s="2"/>
      <c r="K3" s="3"/>
      <c r="L3" s="4"/>
    </row>
    <row r="4">
      <c r="A4" s="1" t="s">
        <v>3</v>
      </c>
      <c r="B4" s="20">
        <v>1.0</v>
      </c>
      <c r="I4" s="2"/>
      <c r="K4" s="3"/>
      <c r="L4" s="4"/>
    </row>
    <row r="5">
      <c r="A5" s="20" t="s">
        <v>103</v>
      </c>
      <c r="B5" s="5">
        <v>13.707</v>
      </c>
      <c r="C5" s="32">
        <v>20.13</v>
      </c>
      <c r="I5" s="2"/>
      <c r="K5" s="3"/>
      <c r="L5" s="4"/>
    </row>
    <row r="6">
      <c r="A6" s="20" t="s">
        <v>104</v>
      </c>
      <c r="B6" s="23">
        <v>14961.0</v>
      </c>
      <c r="C6" s="20">
        <v>19697.0</v>
      </c>
      <c r="D6" s="24">
        <f t="shared" ref="D6:E6" si="1">(floor((log(B$6,2)*0.28-1.2)*100,0.001)/100)</f>
        <v>2.68329</v>
      </c>
      <c r="E6" s="24">
        <f t="shared" si="1"/>
        <v>2.79439</v>
      </c>
      <c r="I6" s="2"/>
      <c r="K6" s="3"/>
      <c r="L6" s="4"/>
    </row>
    <row r="7">
      <c r="A7" s="20" t="s">
        <v>105</v>
      </c>
      <c r="B7" s="23">
        <v>70911.0</v>
      </c>
      <c r="I7" s="2"/>
      <c r="K7" s="3"/>
      <c r="L7" s="4"/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5" t="s">
        <v>14</v>
      </c>
      <c r="J8" s="1" t="s">
        <v>15</v>
      </c>
      <c r="K8" s="7" t="s">
        <v>16</v>
      </c>
      <c r="L8" s="8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T8" s="1" t="s">
        <v>69</v>
      </c>
      <c r="U8" s="1" t="s">
        <v>70</v>
      </c>
    </row>
    <row r="9">
      <c r="B9" s="20"/>
      <c r="C9" s="20"/>
      <c r="D9" s="20"/>
      <c r="E9" s="20"/>
      <c r="F9" s="20"/>
      <c r="I9" s="2"/>
      <c r="K9" s="3"/>
      <c r="L9" s="9">
        <f t="shared" ref="L9:L36" si="2">if(E9*($B$1+$I9)&lt;(F9+1),F9+1,E9*($I9+$B$1))</f>
        <v>1</v>
      </c>
      <c r="M9" s="10">
        <f t="shared" ref="M9:M36" si="3">F9*($B$1+$I9)</f>
        <v>0</v>
      </c>
      <c r="N9" s="9">
        <f t="shared" ref="N9:N37" si="4">if(if(G9*($B$1+$I9)&lt;(H9+1),H9+1,G9*($I9+$B$1))=1,0,if(G9*($B$1+$I9)&lt;(H9+1),H9+1,G9*($I9+$B$1)))</f>
        <v>0</v>
      </c>
      <c r="O9" s="11">
        <f t="shared" ref="O9:O37" si="5">H9*($B$1+$I9)</f>
        <v>0</v>
      </c>
      <c r="P9" s="11">
        <f t="shared" ref="P9:P37" si="6">M9+O9*K9*J9</f>
        <v>0</v>
      </c>
      <c r="Q9" s="11" t="str">
        <f t="shared" ref="Q9:Q37" si="7">(if($A9=1,$B$4,1)*((L9*E9+F9*M9)/(E9+F9)+if(G9&gt;0,(N9*G9+H9*O9)/(G9+H9)*J9*K9,0)))*(if($U9=0,1+$B$3,1))</f>
        <v>#DIV/0!</v>
      </c>
      <c r="R9" s="11" t="str">
        <f t="shared" ref="R9:R37" si="8">Q9/(C9+0.5*(1/(1+$B$5)))</f>
        <v>#DIV/0!</v>
      </c>
      <c r="S9" s="6" t="str">
        <f t="shared" ref="S9:S37" si="9">B9</f>
        <v/>
      </c>
      <c r="T9" s="11" t="str">
        <f t="shared" ref="T9:T37" si="10">$Q9/(($C9+if($D9&lt;=$J9,$J9,$D9)))</f>
        <v>#DIV/0!</v>
      </c>
      <c r="U9" s="20">
        <v>1.0</v>
      </c>
    </row>
    <row r="10">
      <c r="B10" s="33"/>
      <c r="C10" s="20"/>
      <c r="D10" s="20"/>
      <c r="E10" s="20"/>
      <c r="F10" s="20"/>
      <c r="G10" s="20"/>
      <c r="H10" s="20"/>
      <c r="J10" s="20"/>
      <c r="K10" s="12"/>
      <c r="L10" s="9">
        <f t="shared" si="2"/>
        <v>1</v>
      </c>
      <c r="M10" s="10">
        <f t="shared" si="3"/>
        <v>0</v>
      </c>
      <c r="N10" s="9">
        <f t="shared" si="4"/>
        <v>0</v>
      </c>
      <c r="O10" s="11">
        <f t="shared" si="5"/>
        <v>0</v>
      </c>
      <c r="P10" s="11">
        <f t="shared" si="6"/>
        <v>0</v>
      </c>
      <c r="Q10" s="11" t="str">
        <f t="shared" si="7"/>
        <v>#DIV/0!</v>
      </c>
      <c r="R10" s="11" t="str">
        <f t="shared" si="8"/>
        <v>#DIV/0!</v>
      </c>
      <c r="S10" s="6" t="str">
        <f t="shared" si="9"/>
        <v/>
      </c>
      <c r="T10" s="11" t="str">
        <f t="shared" si="10"/>
        <v>#DIV/0!</v>
      </c>
      <c r="U10" s="20">
        <v>1.0</v>
      </c>
    </row>
    <row r="11">
      <c r="A11" s="1"/>
      <c r="B11" s="33"/>
      <c r="C11" s="20"/>
      <c r="D11" s="20"/>
      <c r="E11" s="20"/>
      <c r="F11" s="20"/>
      <c r="G11" s="20"/>
      <c r="H11" s="20"/>
      <c r="I11" s="2"/>
      <c r="J11" s="20"/>
      <c r="K11" s="12"/>
      <c r="L11" s="9">
        <f t="shared" si="2"/>
        <v>1</v>
      </c>
      <c r="M11" s="10">
        <f t="shared" si="3"/>
        <v>0</v>
      </c>
      <c r="N11" s="9">
        <f t="shared" si="4"/>
        <v>0</v>
      </c>
      <c r="O11" s="11">
        <f t="shared" si="5"/>
        <v>0</v>
      </c>
      <c r="P11" s="11">
        <f t="shared" si="6"/>
        <v>0</v>
      </c>
      <c r="Q11" s="11" t="str">
        <f t="shared" si="7"/>
        <v>#DIV/0!</v>
      </c>
      <c r="R11" s="11" t="str">
        <f t="shared" si="8"/>
        <v>#DIV/0!</v>
      </c>
      <c r="S11" s="6" t="str">
        <f t="shared" si="9"/>
        <v/>
      </c>
      <c r="T11" s="11" t="str">
        <f t="shared" si="10"/>
        <v>#DIV/0!</v>
      </c>
      <c r="U11" s="20">
        <v>1.0</v>
      </c>
    </row>
    <row r="12">
      <c r="B12" s="34"/>
      <c r="C12" s="20"/>
      <c r="D12" s="20"/>
      <c r="E12" s="20"/>
      <c r="F12" s="20"/>
      <c r="G12" s="20"/>
      <c r="H12" s="20"/>
      <c r="I12" s="2"/>
      <c r="J12" s="20"/>
      <c r="K12" s="3"/>
      <c r="L12" s="9">
        <f t="shared" si="2"/>
        <v>1</v>
      </c>
      <c r="M12" s="10">
        <f t="shared" si="3"/>
        <v>0</v>
      </c>
      <c r="N12" s="9">
        <f t="shared" si="4"/>
        <v>0</v>
      </c>
      <c r="O12" s="11">
        <f t="shared" si="5"/>
        <v>0</v>
      </c>
      <c r="P12" s="11">
        <f t="shared" si="6"/>
        <v>0</v>
      </c>
      <c r="Q12" s="11" t="str">
        <f t="shared" si="7"/>
        <v>#DIV/0!</v>
      </c>
      <c r="R12" s="11" t="str">
        <f t="shared" si="8"/>
        <v>#DIV/0!</v>
      </c>
      <c r="S12" s="6" t="str">
        <f t="shared" si="9"/>
        <v/>
      </c>
      <c r="T12" s="11" t="str">
        <f t="shared" si="10"/>
        <v>#DIV/0!</v>
      </c>
      <c r="U12" s="20">
        <v>1.0</v>
      </c>
    </row>
    <row r="13">
      <c r="A13" s="20"/>
      <c r="B13" s="34"/>
      <c r="C13" s="20"/>
      <c r="D13" s="20"/>
      <c r="E13" s="20"/>
      <c r="F13" s="20"/>
      <c r="I13" s="2"/>
      <c r="K13" s="3"/>
      <c r="L13" s="9">
        <f t="shared" si="2"/>
        <v>1</v>
      </c>
      <c r="M13" s="10">
        <f t="shared" si="3"/>
        <v>0</v>
      </c>
      <c r="N13" s="9">
        <f t="shared" si="4"/>
        <v>0</v>
      </c>
      <c r="O13" s="11">
        <f t="shared" si="5"/>
        <v>0</v>
      </c>
      <c r="P13" s="11">
        <f t="shared" si="6"/>
        <v>0</v>
      </c>
      <c r="Q13" s="11" t="str">
        <f t="shared" si="7"/>
        <v>#DIV/0!</v>
      </c>
      <c r="R13" s="11" t="str">
        <f t="shared" si="8"/>
        <v>#DIV/0!</v>
      </c>
      <c r="S13" s="6" t="str">
        <f t="shared" si="9"/>
        <v/>
      </c>
      <c r="T13" s="11" t="str">
        <f t="shared" si="10"/>
        <v>#DIV/0!</v>
      </c>
      <c r="U13" s="20">
        <v>1.0</v>
      </c>
    </row>
    <row r="14">
      <c r="B14" s="33"/>
      <c r="C14" s="20"/>
      <c r="D14" s="20"/>
      <c r="E14" s="20"/>
      <c r="F14" s="20"/>
      <c r="G14" s="6"/>
      <c r="H14" s="6"/>
      <c r="I14" s="2"/>
      <c r="J14" s="1"/>
      <c r="K14" s="7"/>
      <c r="L14" s="9">
        <f t="shared" si="2"/>
        <v>1</v>
      </c>
      <c r="M14" s="10">
        <f t="shared" si="3"/>
        <v>0</v>
      </c>
      <c r="N14" s="9">
        <f t="shared" si="4"/>
        <v>0</v>
      </c>
      <c r="O14" s="11">
        <f t="shared" si="5"/>
        <v>0</v>
      </c>
      <c r="P14" s="11">
        <f t="shared" si="6"/>
        <v>0</v>
      </c>
      <c r="Q14" s="11" t="str">
        <f t="shared" si="7"/>
        <v>#DIV/0!</v>
      </c>
      <c r="R14" s="11" t="str">
        <f t="shared" si="8"/>
        <v>#DIV/0!</v>
      </c>
      <c r="S14" s="6" t="str">
        <f t="shared" si="9"/>
        <v/>
      </c>
      <c r="T14" s="11" t="str">
        <f t="shared" si="10"/>
        <v>#DIV/0!</v>
      </c>
      <c r="U14" s="20">
        <v>1.0</v>
      </c>
    </row>
    <row r="15">
      <c r="B15" s="33"/>
      <c r="C15" s="20"/>
      <c r="D15" s="20"/>
      <c r="E15" s="20"/>
      <c r="F15" s="20"/>
      <c r="G15" s="20"/>
      <c r="H15" s="20"/>
      <c r="I15" s="2"/>
      <c r="J15" s="20"/>
      <c r="K15" s="3"/>
      <c r="L15" s="9">
        <f t="shared" si="2"/>
        <v>1</v>
      </c>
      <c r="M15" s="10">
        <f t="shared" si="3"/>
        <v>0</v>
      </c>
      <c r="N15" s="9">
        <f t="shared" si="4"/>
        <v>0</v>
      </c>
      <c r="O15" s="11">
        <f t="shared" si="5"/>
        <v>0</v>
      </c>
      <c r="P15" s="11">
        <f t="shared" si="6"/>
        <v>0</v>
      </c>
      <c r="Q15" s="11" t="str">
        <f t="shared" si="7"/>
        <v>#DIV/0!</v>
      </c>
      <c r="R15" s="11" t="str">
        <f t="shared" si="8"/>
        <v>#DIV/0!</v>
      </c>
      <c r="S15" s="6" t="str">
        <f t="shared" si="9"/>
        <v/>
      </c>
      <c r="T15" s="11" t="str">
        <f t="shared" si="10"/>
        <v>#DIV/0!</v>
      </c>
      <c r="U15" s="20">
        <v>1.0</v>
      </c>
    </row>
    <row r="16">
      <c r="A16" s="1"/>
      <c r="B16" s="20"/>
      <c r="C16" s="20"/>
      <c r="D16" s="20"/>
      <c r="E16" s="20"/>
      <c r="F16" s="20"/>
      <c r="I16" s="2"/>
      <c r="K16" s="3"/>
      <c r="L16" s="9">
        <f t="shared" si="2"/>
        <v>1</v>
      </c>
      <c r="M16" s="10">
        <f t="shared" si="3"/>
        <v>0</v>
      </c>
      <c r="N16" s="9">
        <f t="shared" si="4"/>
        <v>0</v>
      </c>
      <c r="O16" s="11">
        <f t="shared" si="5"/>
        <v>0</v>
      </c>
      <c r="P16" s="11">
        <f t="shared" si="6"/>
        <v>0</v>
      </c>
      <c r="Q16" s="11" t="str">
        <f t="shared" si="7"/>
        <v>#DIV/0!</v>
      </c>
      <c r="R16" s="11" t="str">
        <f t="shared" si="8"/>
        <v>#DIV/0!</v>
      </c>
      <c r="S16" s="6" t="str">
        <f t="shared" si="9"/>
        <v/>
      </c>
      <c r="T16" s="11" t="str">
        <f t="shared" si="10"/>
        <v>#DIV/0!</v>
      </c>
      <c r="U16" s="20">
        <v>1.0</v>
      </c>
    </row>
    <row r="17">
      <c r="B17" s="20"/>
      <c r="C17" s="20"/>
      <c r="D17" s="20"/>
      <c r="E17" s="20"/>
      <c r="F17" s="20"/>
      <c r="I17" s="2"/>
      <c r="K17" s="3"/>
      <c r="L17" s="9">
        <f t="shared" si="2"/>
        <v>1</v>
      </c>
      <c r="M17" s="10">
        <f t="shared" si="3"/>
        <v>0</v>
      </c>
      <c r="N17" s="9">
        <f t="shared" si="4"/>
        <v>0</v>
      </c>
      <c r="O17" s="11">
        <f t="shared" si="5"/>
        <v>0</v>
      </c>
      <c r="P17" s="11">
        <f t="shared" si="6"/>
        <v>0</v>
      </c>
      <c r="Q17" s="11" t="str">
        <f t="shared" si="7"/>
        <v>#DIV/0!</v>
      </c>
      <c r="R17" s="11" t="str">
        <f t="shared" si="8"/>
        <v>#DIV/0!</v>
      </c>
      <c r="S17" s="6" t="str">
        <f t="shared" si="9"/>
        <v/>
      </c>
      <c r="T17" s="11" t="str">
        <f t="shared" si="10"/>
        <v>#DIV/0!</v>
      </c>
      <c r="U17" s="20">
        <v>1.0</v>
      </c>
    </row>
    <row r="18">
      <c r="B18" s="20"/>
      <c r="C18" s="20"/>
      <c r="D18" s="20"/>
      <c r="E18" s="20"/>
      <c r="F18" s="20"/>
      <c r="I18" s="2"/>
      <c r="K18" s="3"/>
      <c r="L18" s="9">
        <f t="shared" si="2"/>
        <v>1</v>
      </c>
      <c r="M18" s="10">
        <f t="shared" si="3"/>
        <v>0</v>
      </c>
      <c r="N18" s="9">
        <f t="shared" si="4"/>
        <v>0</v>
      </c>
      <c r="O18" s="11">
        <f t="shared" si="5"/>
        <v>0</v>
      </c>
      <c r="P18" s="11">
        <f t="shared" si="6"/>
        <v>0</v>
      </c>
      <c r="Q18" s="11" t="str">
        <f t="shared" si="7"/>
        <v>#DIV/0!</v>
      </c>
      <c r="R18" s="11" t="str">
        <f t="shared" si="8"/>
        <v>#DIV/0!</v>
      </c>
      <c r="S18" s="6" t="str">
        <f t="shared" si="9"/>
        <v/>
      </c>
      <c r="T18" s="11" t="str">
        <f t="shared" si="10"/>
        <v>#DIV/0!</v>
      </c>
      <c r="U18" s="20">
        <v>1.0</v>
      </c>
    </row>
    <row r="19">
      <c r="B19" s="34"/>
      <c r="C19" s="20"/>
      <c r="D19" s="20"/>
      <c r="E19" s="20"/>
      <c r="F19" s="20"/>
      <c r="G19" s="1"/>
      <c r="H19" s="1"/>
      <c r="I19" s="2"/>
      <c r="J19" s="1"/>
      <c r="K19" s="7"/>
      <c r="L19" s="9">
        <f t="shared" si="2"/>
        <v>1</v>
      </c>
      <c r="M19" s="10">
        <f t="shared" si="3"/>
        <v>0</v>
      </c>
      <c r="N19" s="9">
        <f t="shared" si="4"/>
        <v>0</v>
      </c>
      <c r="O19" s="11">
        <f t="shared" si="5"/>
        <v>0</v>
      </c>
      <c r="P19" s="11">
        <f t="shared" si="6"/>
        <v>0</v>
      </c>
      <c r="Q19" s="11" t="str">
        <f t="shared" si="7"/>
        <v>#DIV/0!</v>
      </c>
      <c r="R19" s="11" t="str">
        <f t="shared" si="8"/>
        <v>#DIV/0!</v>
      </c>
      <c r="S19" s="6" t="str">
        <f t="shared" si="9"/>
        <v/>
      </c>
      <c r="T19" s="11" t="str">
        <f t="shared" si="10"/>
        <v>#DIV/0!</v>
      </c>
      <c r="U19" s="20">
        <v>1.0</v>
      </c>
    </row>
    <row r="20">
      <c r="A20" s="20"/>
      <c r="B20" s="20" t="s">
        <v>203</v>
      </c>
      <c r="C20" s="20">
        <v>1.0</v>
      </c>
      <c r="D20" s="20">
        <v>4.0</v>
      </c>
      <c r="E20" s="20">
        <f>77176+8108*$B$4+12919</f>
        <v>98203</v>
      </c>
      <c r="F20" s="20">
        <f>88743+9910*$B$4+15041</f>
        <v>113694</v>
      </c>
      <c r="G20" s="20">
        <v>12919.0</v>
      </c>
      <c r="H20" s="20">
        <v>15041.0</v>
      </c>
      <c r="J20" s="20">
        <v>2.4</v>
      </c>
      <c r="K20" s="3">
        <f t="shared" ref="K20:K21" si="11">1/0.6</f>
        <v>1.666666667</v>
      </c>
      <c r="L20" s="9">
        <f t="shared" si="2"/>
        <v>1900228.05</v>
      </c>
      <c r="M20" s="10">
        <f t="shared" si="3"/>
        <v>2199978.9</v>
      </c>
      <c r="N20" s="9">
        <f t="shared" si="4"/>
        <v>249982.65</v>
      </c>
      <c r="O20" s="11">
        <f t="shared" si="5"/>
        <v>291043.35</v>
      </c>
      <c r="P20" s="11">
        <f t="shared" si="6"/>
        <v>3364152.3</v>
      </c>
      <c r="Q20" s="11">
        <f t="shared" si="7"/>
        <v>6298689.683</v>
      </c>
      <c r="R20" s="11">
        <f t="shared" si="8"/>
        <v>6091591.317</v>
      </c>
      <c r="S20" s="6" t="str">
        <f t="shared" si="9"/>
        <v>Tempest</v>
      </c>
      <c r="T20" s="11">
        <f t="shared" si="10"/>
        <v>1259737.937</v>
      </c>
      <c r="U20" s="20"/>
    </row>
    <row r="21">
      <c r="A21" s="20">
        <v>1.0</v>
      </c>
      <c r="B21" s="34" t="s">
        <v>204</v>
      </c>
      <c r="C21" s="20">
        <v>1.0</v>
      </c>
      <c r="D21" s="20">
        <v>4.0</v>
      </c>
      <c r="E21" s="20">
        <f>46772+8203*$B$4+14159</f>
        <v>69134</v>
      </c>
      <c r="F21" s="20">
        <f>51071+10026*$B$4+16486</f>
        <v>77583</v>
      </c>
      <c r="G21" s="26">
        <v>14159.0</v>
      </c>
      <c r="H21" s="26">
        <v>16486.0</v>
      </c>
      <c r="I21" s="2"/>
      <c r="J21" s="20">
        <v>2.4</v>
      </c>
      <c r="K21" s="7">
        <f t="shared" si="11"/>
        <v>1.666666667</v>
      </c>
      <c r="L21" s="9">
        <f t="shared" si="2"/>
        <v>1337742.9</v>
      </c>
      <c r="M21" s="10">
        <f t="shared" si="3"/>
        <v>1501231.05</v>
      </c>
      <c r="N21" s="9">
        <f t="shared" si="4"/>
        <v>273976.65</v>
      </c>
      <c r="O21" s="11">
        <f t="shared" si="5"/>
        <v>319004.1</v>
      </c>
      <c r="P21" s="11">
        <f t="shared" si="6"/>
        <v>2777247.45</v>
      </c>
      <c r="Q21" s="11">
        <f t="shared" si="7"/>
        <v>5233988.224</v>
      </c>
      <c r="R21" s="11">
        <f t="shared" si="8"/>
        <v>5061896.811</v>
      </c>
      <c r="S21" s="6" t="str">
        <f t="shared" si="9"/>
        <v>Raging Whirlwind</v>
      </c>
      <c r="T21" s="11">
        <f t="shared" si="10"/>
        <v>1046797.645</v>
      </c>
      <c r="U21" s="20"/>
    </row>
    <row r="22">
      <c r="A22" s="20"/>
      <c r="B22" s="34" t="s">
        <v>205</v>
      </c>
      <c r="C22" s="20">
        <v>0.5</v>
      </c>
      <c r="D22" s="20">
        <v>2.0</v>
      </c>
      <c r="E22" s="20">
        <f>43522+7538*$B$4</f>
        <v>51060</v>
      </c>
      <c r="F22" s="20">
        <f>50672+9213*$B$4</f>
        <v>59885</v>
      </c>
      <c r="G22" s="26">
        <v>12434.0</v>
      </c>
      <c r="H22" s="26">
        <v>14478.0</v>
      </c>
      <c r="I22" s="2"/>
      <c r="J22" s="20">
        <v>4.6</v>
      </c>
      <c r="K22" s="25">
        <f>1/1.1</f>
        <v>0.9090909091</v>
      </c>
      <c r="L22" s="9">
        <f t="shared" si="2"/>
        <v>988011</v>
      </c>
      <c r="M22" s="10">
        <f t="shared" si="3"/>
        <v>1158774.75</v>
      </c>
      <c r="N22" s="9">
        <f t="shared" si="4"/>
        <v>240597.9</v>
      </c>
      <c r="O22" s="11">
        <f t="shared" si="5"/>
        <v>280149.3</v>
      </c>
      <c r="P22" s="11">
        <f t="shared" si="6"/>
        <v>2330308.186</v>
      </c>
      <c r="Q22" s="11">
        <f t="shared" si="7"/>
        <v>4350601.168</v>
      </c>
      <c r="R22" s="11">
        <f t="shared" si="8"/>
        <v>8147232.619</v>
      </c>
      <c r="S22" s="6" t="str">
        <f t="shared" si="9"/>
        <v>Death Swarm</v>
      </c>
      <c r="T22" s="11">
        <f t="shared" si="10"/>
        <v>853059.0525</v>
      </c>
      <c r="U22" s="20"/>
    </row>
    <row r="23">
      <c r="B23" s="34" t="s">
        <v>206</v>
      </c>
      <c r="C23" s="20">
        <v>1.5</v>
      </c>
      <c r="D23" s="20">
        <v>7.5</v>
      </c>
      <c r="E23" s="20">
        <v>145392.0</v>
      </c>
      <c r="F23" s="20">
        <v>210844.0</v>
      </c>
      <c r="G23" s="6"/>
      <c r="H23" s="6"/>
      <c r="I23" s="2"/>
      <c r="J23" s="20"/>
      <c r="K23" s="25"/>
      <c r="L23" s="9">
        <f t="shared" si="2"/>
        <v>2813335.2</v>
      </c>
      <c r="M23" s="10">
        <f t="shared" si="3"/>
        <v>4079831.4</v>
      </c>
      <c r="N23" s="9">
        <f t="shared" si="4"/>
        <v>0</v>
      </c>
      <c r="O23" s="11">
        <f t="shared" si="5"/>
        <v>0</v>
      </c>
      <c r="P23" s="11">
        <f t="shared" si="6"/>
        <v>4079831.4</v>
      </c>
      <c r="Q23" s="11">
        <f t="shared" si="7"/>
        <v>7125862.648</v>
      </c>
      <c r="R23" s="11">
        <f t="shared" si="8"/>
        <v>4645289.863</v>
      </c>
      <c r="S23" s="6" t="str">
        <f t="shared" si="9"/>
        <v>Thunderbolt</v>
      </c>
      <c r="T23" s="11">
        <f t="shared" si="10"/>
        <v>791762.5164</v>
      </c>
      <c r="U23" s="20"/>
    </row>
    <row r="24">
      <c r="B24" s="34" t="s">
        <v>207</v>
      </c>
      <c r="C24" s="20">
        <v>0.5</v>
      </c>
      <c r="D24" s="20">
        <v>5.0</v>
      </c>
      <c r="E24" s="20">
        <v>108111.0</v>
      </c>
      <c r="F24" s="20">
        <v>113977.0</v>
      </c>
      <c r="G24" s="26"/>
      <c r="H24" s="26"/>
      <c r="I24" s="2"/>
      <c r="J24" s="20"/>
      <c r="K24" s="25"/>
      <c r="L24" s="9">
        <f t="shared" si="2"/>
        <v>2091947.85</v>
      </c>
      <c r="M24" s="10">
        <f t="shared" si="3"/>
        <v>2205454.95</v>
      </c>
      <c r="N24" s="9">
        <f t="shared" si="4"/>
        <v>0</v>
      </c>
      <c r="O24" s="11">
        <f t="shared" si="5"/>
        <v>0</v>
      </c>
      <c r="P24" s="11">
        <f t="shared" si="6"/>
        <v>2205454.95</v>
      </c>
      <c r="Q24" s="11">
        <f t="shared" si="7"/>
        <v>4300400.858</v>
      </c>
      <c r="R24" s="11">
        <f t="shared" si="8"/>
        <v>8053224.093</v>
      </c>
      <c r="S24" s="6" t="str">
        <f t="shared" si="9"/>
        <v>U.Wrath</v>
      </c>
      <c r="T24" s="11">
        <f t="shared" si="10"/>
        <v>781891.065</v>
      </c>
      <c r="U24" s="20"/>
    </row>
    <row r="25">
      <c r="B25" s="20" t="s">
        <v>208</v>
      </c>
      <c r="C25" s="20">
        <v>1.0</v>
      </c>
      <c r="D25" s="20">
        <v>45.0</v>
      </c>
      <c r="E25" s="20">
        <f t="shared" ref="E25:F25" si="12">48822+E$45*6</f>
        <v>95748</v>
      </c>
      <c r="F25" s="20">
        <f t="shared" si="12"/>
        <v>119214</v>
      </c>
      <c r="G25" s="20">
        <v>48822.0</v>
      </c>
      <c r="H25" s="20">
        <v>48822.0</v>
      </c>
      <c r="I25" s="2"/>
      <c r="J25" s="20">
        <v>29.0</v>
      </c>
      <c r="K25" s="25">
        <v>1.0</v>
      </c>
      <c r="L25" s="9">
        <f t="shared" si="2"/>
        <v>1852723.8</v>
      </c>
      <c r="M25" s="10">
        <f t="shared" si="3"/>
        <v>2306790.9</v>
      </c>
      <c r="N25" s="9">
        <f t="shared" si="4"/>
        <v>944705.7</v>
      </c>
      <c r="O25" s="11">
        <f t="shared" si="5"/>
        <v>944705.7</v>
      </c>
      <c r="P25" s="11">
        <f t="shared" si="6"/>
        <v>29703256.2</v>
      </c>
      <c r="Q25" s="11">
        <f t="shared" si="7"/>
        <v>29501006.42</v>
      </c>
      <c r="R25" s="11">
        <f t="shared" si="8"/>
        <v>28531025.28</v>
      </c>
      <c r="S25" s="6" t="str">
        <f t="shared" si="9"/>
        <v>Fae Fire</v>
      </c>
      <c r="T25" s="11">
        <f t="shared" si="10"/>
        <v>641326.2266</v>
      </c>
      <c r="U25" s="20">
        <v>1.0</v>
      </c>
    </row>
    <row r="26">
      <c r="A26" s="20">
        <v>1.0</v>
      </c>
      <c r="B26" s="34" t="s">
        <v>209</v>
      </c>
      <c r="C26" s="20">
        <v>1.0</v>
      </c>
      <c r="D26" s="20">
        <v>15.0</v>
      </c>
      <c r="E26" s="20">
        <f>64699+7961</f>
        <v>72660</v>
      </c>
      <c r="F26" s="20">
        <f>84471+9730</f>
        <v>94201</v>
      </c>
      <c r="G26" s="20">
        <v>13418.0</v>
      </c>
      <c r="H26" s="20">
        <v>18101.0</v>
      </c>
      <c r="I26" s="2"/>
      <c r="J26" s="20">
        <v>14.0</v>
      </c>
      <c r="K26" s="7">
        <f>1/2</f>
        <v>0.5</v>
      </c>
      <c r="L26" s="9">
        <f t="shared" si="2"/>
        <v>1405971</v>
      </c>
      <c r="M26" s="10">
        <f t="shared" si="3"/>
        <v>1822789.35</v>
      </c>
      <c r="N26" s="9">
        <f t="shared" si="4"/>
        <v>259638.3</v>
      </c>
      <c r="O26" s="11">
        <f t="shared" si="5"/>
        <v>350254.35</v>
      </c>
      <c r="P26" s="11">
        <f t="shared" si="6"/>
        <v>4274569.8</v>
      </c>
      <c r="Q26" s="11">
        <f t="shared" si="7"/>
        <v>7646062.52</v>
      </c>
      <c r="R26" s="11">
        <f t="shared" si="8"/>
        <v>7394663.081</v>
      </c>
      <c r="S26" s="6" t="str">
        <f t="shared" si="9"/>
        <v>Wrath of Nature</v>
      </c>
      <c r="T26" s="11">
        <f t="shared" si="10"/>
        <v>477878.9075</v>
      </c>
      <c r="U26" s="20"/>
    </row>
    <row r="27">
      <c r="A27" s="20">
        <v>1.0</v>
      </c>
      <c r="B27" s="34" t="s">
        <v>210</v>
      </c>
      <c r="C27" s="20">
        <v>0.75</v>
      </c>
      <c r="D27" s="20">
        <v>10.0</v>
      </c>
      <c r="E27" s="20">
        <v>119824.0</v>
      </c>
      <c r="F27" s="20">
        <v>139509.0</v>
      </c>
      <c r="G27" s="20"/>
      <c r="H27" s="20"/>
      <c r="J27" s="20"/>
      <c r="K27" s="3"/>
      <c r="L27" s="9">
        <f t="shared" si="2"/>
        <v>2318594.4</v>
      </c>
      <c r="M27" s="10">
        <f t="shared" si="3"/>
        <v>2699499.15</v>
      </c>
      <c r="N27" s="9">
        <f t="shared" si="4"/>
        <v>0</v>
      </c>
      <c r="O27" s="11">
        <f t="shared" si="5"/>
        <v>0</v>
      </c>
      <c r="P27" s="11">
        <f t="shared" si="6"/>
        <v>2699499.15</v>
      </c>
      <c r="Q27" s="11">
        <f t="shared" si="7"/>
        <v>5047006.608</v>
      </c>
      <c r="R27" s="11">
        <f t="shared" si="8"/>
        <v>6437529.644</v>
      </c>
      <c r="S27" s="6" t="str">
        <f t="shared" si="9"/>
        <v>Starnova Vortex</v>
      </c>
      <c r="T27" s="11">
        <f t="shared" si="10"/>
        <v>469488.9868</v>
      </c>
      <c r="U27" s="20"/>
    </row>
    <row r="28">
      <c r="A28" s="20">
        <v>1.0</v>
      </c>
      <c r="B28" s="34" t="s">
        <v>211</v>
      </c>
      <c r="C28" s="20">
        <v>2.0</v>
      </c>
      <c r="D28" s="20">
        <v>10.0</v>
      </c>
      <c r="E28" s="20">
        <v>119824.0</v>
      </c>
      <c r="F28" s="20">
        <v>139509.0</v>
      </c>
      <c r="G28" s="1"/>
      <c r="H28" s="1"/>
      <c r="I28" s="2"/>
      <c r="J28" s="1"/>
      <c r="K28" s="12"/>
      <c r="L28" s="9">
        <f t="shared" si="2"/>
        <v>2318594.4</v>
      </c>
      <c r="M28" s="10">
        <f t="shared" si="3"/>
        <v>2699499.15</v>
      </c>
      <c r="N28" s="9">
        <f t="shared" si="4"/>
        <v>0</v>
      </c>
      <c r="O28" s="11">
        <f t="shared" si="5"/>
        <v>0</v>
      </c>
      <c r="P28" s="11">
        <f t="shared" si="6"/>
        <v>2699499.15</v>
      </c>
      <c r="Q28" s="11">
        <f t="shared" si="7"/>
        <v>5047006.608</v>
      </c>
      <c r="R28" s="11">
        <f t="shared" si="8"/>
        <v>2481324.001</v>
      </c>
      <c r="S28" s="6" t="str">
        <f t="shared" si="9"/>
        <v>Starnova</v>
      </c>
      <c r="T28" s="11">
        <f t="shared" si="10"/>
        <v>420583.884</v>
      </c>
      <c r="U28" s="20"/>
    </row>
    <row r="29">
      <c r="A29" s="20">
        <v>1.0</v>
      </c>
      <c r="B29" s="34" t="s">
        <v>212</v>
      </c>
      <c r="C29" s="20">
        <v>1.0</v>
      </c>
      <c r="D29" s="20">
        <v>15.0</v>
      </c>
      <c r="E29" s="20">
        <v>112476.0</v>
      </c>
      <c r="F29" s="20">
        <v>130955.0</v>
      </c>
      <c r="G29" s="1"/>
      <c r="H29" s="1"/>
      <c r="I29" s="2"/>
      <c r="J29" s="1"/>
      <c r="K29" s="12"/>
      <c r="L29" s="9">
        <f t="shared" si="2"/>
        <v>2176410.6</v>
      </c>
      <c r="M29" s="10">
        <f t="shared" si="3"/>
        <v>2533979.25</v>
      </c>
      <c r="N29" s="9">
        <f t="shared" si="4"/>
        <v>0</v>
      </c>
      <c r="O29" s="11">
        <f t="shared" si="5"/>
        <v>0</v>
      </c>
      <c r="P29" s="11">
        <f t="shared" si="6"/>
        <v>2533979.25</v>
      </c>
      <c r="Q29" s="11">
        <f t="shared" si="7"/>
        <v>4737533.111</v>
      </c>
      <c r="R29" s="11">
        <f t="shared" si="8"/>
        <v>4581764.941</v>
      </c>
      <c r="S29" s="6" t="str">
        <f t="shared" si="9"/>
        <v>Call of Storms</v>
      </c>
      <c r="T29" s="11">
        <f t="shared" si="10"/>
        <v>296095.8194</v>
      </c>
      <c r="U29" s="20"/>
    </row>
    <row r="30">
      <c r="B30" s="20" t="s">
        <v>213</v>
      </c>
      <c r="C30" s="20">
        <v>0.5</v>
      </c>
      <c r="D30" s="20">
        <v>5.0</v>
      </c>
      <c r="E30" s="20">
        <f t="shared" ref="E30:F30" si="13">E$45*8</f>
        <v>62568</v>
      </c>
      <c r="F30" s="20">
        <f t="shared" si="13"/>
        <v>93856</v>
      </c>
      <c r="I30" s="2"/>
      <c r="K30" s="3"/>
      <c r="L30" s="9">
        <f t="shared" si="2"/>
        <v>1210690.8</v>
      </c>
      <c r="M30" s="10">
        <f t="shared" si="3"/>
        <v>1816113.6</v>
      </c>
      <c r="N30" s="9">
        <f t="shared" si="4"/>
        <v>0</v>
      </c>
      <c r="O30" s="11">
        <f t="shared" si="5"/>
        <v>0</v>
      </c>
      <c r="P30" s="11">
        <f t="shared" si="6"/>
        <v>1816113.6</v>
      </c>
      <c r="Q30" s="11">
        <f t="shared" si="7"/>
        <v>1573950.673</v>
      </c>
      <c r="R30" s="11">
        <f t="shared" si="8"/>
        <v>2947487.431</v>
      </c>
      <c r="S30" s="6" t="str">
        <f t="shared" si="9"/>
        <v>Hibernation</v>
      </c>
      <c r="T30" s="11">
        <f t="shared" si="10"/>
        <v>286172.8496</v>
      </c>
      <c r="U30" s="20">
        <v>1.0</v>
      </c>
    </row>
    <row r="31">
      <c r="A31" s="20">
        <v>1.0</v>
      </c>
      <c r="B31" s="34" t="s">
        <v>214</v>
      </c>
      <c r="C31" s="20">
        <v>0.25</v>
      </c>
      <c r="D31" s="20">
        <v>22.5</v>
      </c>
      <c r="E31" s="20">
        <v>71234.0</v>
      </c>
      <c r="F31" s="20">
        <v>86356.0</v>
      </c>
      <c r="G31" s="20">
        <v>17829.0</v>
      </c>
      <c r="H31" s="20">
        <v>27779.0</v>
      </c>
      <c r="I31" s="2"/>
      <c r="J31" s="20">
        <v>1.0</v>
      </c>
      <c r="K31" s="40">
        <v>3.0</v>
      </c>
      <c r="L31" s="9">
        <f t="shared" si="2"/>
        <v>1378377.9</v>
      </c>
      <c r="M31" s="10">
        <f t="shared" si="3"/>
        <v>1670988.6</v>
      </c>
      <c r="N31" s="9">
        <f t="shared" si="4"/>
        <v>344991.15</v>
      </c>
      <c r="O31" s="11">
        <f t="shared" si="5"/>
        <v>537523.65</v>
      </c>
      <c r="P31" s="11">
        <f t="shared" si="6"/>
        <v>3283559.55</v>
      </c>
      <c r="Q31" s="11">
        <f t="shared" si="7"/>
        <v>5850999.879</v>
      </c>
      <c r="R31" s="11">
        <f t="shared" si="8"/>
        <v>20602299.69</v>
      </c>
      <c r="S31" s="6" t="str">
        <f t="shared" si="9"/>
        <v>Stormbearer's</v>
      </c>
      <c r="T31" s="11">
        <f t="shared" si="10"/>
        <v>257186.8079</v>
      </c>
      <c r="U31" s="20"/>
    </row>
    <row r="32">
      <c r="B32" s="34" t="s">
        <v>215</v>
      </c>
      <c r="C32" s="20">
        <v>1.275</v>
      </c>
      <c r="D32" s="20">
        <v>6.0</v>
      </c>
      <c r="E32" s="20">
        <f t="shared" ref="E32:F32" si="14">E$45*8</f>
        <v>62568</v>
      </c>
      <c r="F32" s="20">
        <f t="shared" si="14"/>
        <v>93856</v>
      </c>
      <c r="G32" s="20"/>
      <c r="H32" s="20"/>
      <c r="I32" s="2"/>
      <c r="J32" s="20"/>
      <c r="K32" s="6"/>
      <c r="L32" s="9">
        <f t="shared" si="2"/>
        <v>1210690.8</v>
      </c>
      <c r="M32" s="10">
        <f t="shared" si="3"/>
        <v>1816113.6</v>
      </c>
      <c r="N32" s="9">
        <f t="shared" si="4"/>
        <v>0</v>
      </c>
      <c r="O32" s="11">
        <f t="shared" si="5"/>
        <v>0</v>
      </c>
      <c r="P32" s="11">
        <f t="shared" si="6"/>
        <v>1816113.6</v>
      </c>
      <c r="Q32" s="11">
        <f t="shared" si="7"/>
        <v>1573950.673</v>
      </c>
      <c r="R32" s="11">
        <f t="shared" si="8"/>
        <v>1202409.304</v>
      </c>
      <c r="S32" s="6" t="str">
        <f t="shared" si="9"/>
        <v>Autumn's Kiss</v>
      </c>
      <c r="T32" s="11">
        <f t="shared" si="10"/>
        <v>216350.6079</v>
      </c>
      <c r="U32" s="20">
        <v>1.0</v>
      </c>
    </row>
    <row r="33">
      <c r="A33" s="1"/>
      <c r="B33" s="34" t="s">
        <v>216</v>
      </c>
      <c r="C33" s="20">
        <v>0.5</v>
      </c>
      <c r="D33" s="20">
        <f t="shared" ref="D33:D35" si="16">75+15</f>
        <v>90</v>
      </c>
      <c r="E33" s="20">
        <f t="shared" ref="E33:F33" si="15">E$45*8*4</f>
        <v>250272</v>
      </c>
      <c r="F33" s="20">
        <f t="shared" si="15"/>
        <v>375424</v>
      </c>
      <c r="G33" s="26">
        <v>13235.0</v>
      </c>
      <c r="H33" s="26">
        <v>13235.0</v>
      </c>
      <c r="I33" s="2"/>
      <c r="J33" s="20">
        <v>50.0</v>
      </c>
      <c r="K33" s="20">
        <v>1.0</v>
      </c>
      <c r="L33" s="9">
        <f t="shared" si="2"/>
        <v>4842763.2</v>
      </c>
      <c r="M33" s="10">
        <f t="shared" si="3"/>
        <v>7264454.4</v>
      </c>
      <c r="N33" s="9">
        <f t="shared" si="4"/>
        <v>256097.25</v>
      </c>
      <c r="O33" s="11">
        <f t="shared" si="5"/>
        <v>256097.25</v>
      </c>
      <c r="P33" s="11">
        <f t="shared" si="6"/>
        <v>20069316.9</v>
      </c>
      <c r="Q33" s="11">
        <f t="shared" si="7"/>
        <v>19100665.19</v>
      </c>
      <c r="R33" s="11">
        <f t="shared" si="8"/>
        <v>35769209.01</v>
      </c>
      <c r="S33" s="6" t="str">
        <f t="shared" si="9"/>
        <v>Porcupine (x4)</v>
      </c>
      <c r="T33" s="11">
        <f t="shared" si="10"/>
        <v>211057.0739</v>
      </c>
      <c r="U33" s="20">
        <v>1.0</v>
      </c>
    </row>
    <row r="34">
      <c r="B34" s="20" t="s">
        <v>217</v>
      </c>
      <c r="C34" s="20">
        <v>0.5</v>
      </c>
      <c r="D34" s="20">
        <f t="shared" si="16"/>
        <v>90</v>
      </c>
      <c r="E34" s="20">
        <f t="shared" ref="E34:F34" si="17">E$45*8*2</f>
        <v>125136</v>
      </c>
      <c r="F34" s="20">
        <f t="shared" si="17"/>
        <v>187712</v>
      </c>
      <c r="G34" s="26">
        <v>13235.0</v>
      </c>
      <c r="H34" s="26">
        <v>13235.0</v>
      </c>
      <c r="I34" s="2"/>
      <c r="J34" s="20">
        <v>50.0</v>
      </c>
      <c r="K34" s="20">
        <v>1.0</v>
      </c>
      <c r="L34" s="9">
        <f t="shared" si="2"/>
        <v>2421381.6</v>
      </c>
      <c r="M34" s="10">
        <f t="shared" si="3"/>
        <v>3632227.2</v>
      </c>
      <c r="N34" s="9">
        <f t="shared" si="4"/>
        <v>256097.25</v>
      </c>
      <c r="O34" s="11">
        <f t="shared" si="5"/>
        <v>256097.25</v>
      </c>
      <c r="P34" s="11">
        <f t="shared" si="6"/>
        <v>16437089.7</v>
      </c>
      <c r="Q34" s="11">
        <f t="shared" si="7"/>
        <v>15952763.85</v>
      </c>
      <c r="R34" s="11">
        <f t="shared" si="8"/>
        <v>29874234.15</v>
      </c>
      <c r="S34" s="6" t="str">
        <f t="shared" si="9"/>
        <v>(Porcupine(x2)</v>
      </c>
      <c r="T34" s="11">
        <f t="shared" si="10"/>
        <v>176273.6336</v>
      </c>
      <c r="U34" s="20">
        <v>1.0</v>
      </c>
    </row>
    <row r="35">
      <c r="A35" s="20"/>
      <c r="B35" s="34" t="s">
        <v>218</v>
      </c>
      <c r="C35" s="20">
        <v>0.5</v>
      </c>
      <c r="D35" s="20">
        <f t="shared" si="16"/>
        <v>90</v>
      </c>
      <c r="E35" s="20">
        <f t="shared" ref="E35:F35" si="18">E$45*8</f>
        <v>62568</v>
      </c>
      <c r="F35" s="20">
        <f t="shared" si="18"/>
        <v>93856</v>
      </c>
      <c r="G35" s="26">
        <v>13235.0</v>
      </c>
      <c r="H35" s="26">
        <v>13235.0</v>
      </c>
      <c r="I35" s="2"/>
      <c r="J35" s="20">
        <v>50.0</v>
      </c>
      <c r="K35" s="20">
        <v>1.0</v>
      </c>
      <c r="L35" s="9">
        <f t="shared" si="2"/>
        <v>1210690.8</v>
      </c>
      <c r="M35" s="10">
        <f t="shared" si="3"/>
        <v>1816113.6</v>
      </c>
      <c r="N35" s="9">
        <f t="shared" si="4"/>
        <v>256097.25</v>
      </c>
      <c r="O35" s="11">
        <f t="shared" si="5"/>
        <v>256097.25</v>
      </c>
      <c r="P35" s="11">
        <f t="shared" si="6"/>
        <v>14620976.1</v>
      </c>
      <c r="Q35" s="11">
        <f t="shared" si="7"/>
        <v>14378813.17</v>
      </c>
      <c r="R35" s="11">
        <f t="shared" si="8"/>
        <v>26926746.72</v>
      </c>
      <c r="S35" s="6" t="str">
        <f t="shared" si="9"/>
        <v>Porcupine (Group)</v>
      </c>
      <c r="T35" s="11">
        <f t="shared" si="10"/>
        <v>158881.9135</v>
      </c>
      <c r="U35" s="20">
        <v>1.0</v>
      </c>
    </row>
    <row r="36">
      <c r="B36" s="20" t="s">
        <v>219</v>
      </c>
      <c r="C36" s="20">
        <v>0.25</v>
      </c>
      <c r="D36" s="20">
        <v>15.0</v>
      </c>
      <c r="E36" s="20">
        <v>8876.0</v>
      </c>
      <c r="F36" s="20">
        <v>12472.0</v>
      </c>
      <c r="G36" s="20">
        <v>8014.0</v>
      </c>
      <c r="H36" s="20">
        <v>13356.0</v>
      </c>
      <c r="I36" s="2"/>
      <c r="J36" s="20">
        <v>1.0</v>
      </c>
      <c r="K36" s="20">
        <v>1.0</v>
      </c>
      <c r="L36" s="9">
        <f t="shared" si="2"/>
        <v>171750.6</v>
      </c>
      <c r="M36" s="10">
        <f t="shared" si="3"/>
        <v>241333.2</v>
      </c>
      <c r="N36" s="9">
        <f t="shared" si="4"/>
        <v>155070.9</v>
      </c>
      <c r="O36" s="11">
        <f t="shared" si="5"/>
        <v>258438.6</v>
      </c>
      <c r="P36" s="11">
        <f t="shared" si="6"/>
        <v>499771.8</v>
      </c>
      <c r="Q36" s="11">
        <f t="shared" si="7"/>
        <v>864153.7653</v>
      </c>
      <c r="R36" s="11">
        <f t="shared" si="8"/>
        <v>3042822.632</v>
      </c>
      <c r="S36" s="6" t="str">
        <f t="shared" si="9"/>
        <v>Thunderspike</v>
      </c>
      <c r="T36" s="11">
        <f t="shared" si="10"/>
        <v>56665.82068</v>
      </c>
      <c r="U36" s="20"/>
    </row>
    <row r="37">
      <c r="A37" s="20"/>
      <c r="B37" s="20" t="s">
        <v>220</v>
      </c>
      <c r="C37" s="20">
        <v>0.75</v>
      </c>
      <c r="D37" s="20">
        <v>3.75</v>
      </c>
      <c r="E37">
        <f t="shared" ref="E37:F37" si="19">E$45*8</f>
        <v>62568</v>
      </c>
      <c r="F37">
        <f t="shared" si="19"/>
        <v>93856</v>
      </c>
      <c r="G37" s="20"/>
      <c r="H37" s="20"/>
      <c r="I37" s="2"/>
      <c r="J37" s="20"/>
      <c r="K37" s="1"/>
      <c r="L37" s="9">
        <f>if(E$45*($B$1+$I37)&lt;(F$45+1),F$45+1,E$45*($I37+$B$1))</f>
        <v>151336.35</v>
      </c>
      <c r="M37" s="10">
        <f>F$45*($B$1+$I37)</f>
        <v>227014.2</v>
      </c>
      <c r="N37" s="9">
        <f t="shared" si="4"/>
        <v>0</v>
      </c>
      <c r="O37" s="11">
        <f t="shared" si="5"/>
        <v>0</v>
      </c>
      <c r="P37" s="11">
        <f t="shared" si="6"/>
        <v>227014.2</v>
      </c>
      <c r="Q37" s="11">
        <f t="shared" si="7"/>
        <v>196743.8341</v>
      </c>
      <c r="R37" s="11">
        <f t="shared" si="8"/>
        <v>250949.595</v>
      </c>
      <c r="S37" s="6" t="str">
        <f t="shared" si="9"/>
        <v>Untamed Regen</v>
      </c>
      <c r="T37" s="11">
        <f t="shared" si="10"/>
        <v>43720.85202</v>
      </c>
      <c r="U37" s="20">
        <v>1.0</v>
      </c>
    </row>
    <row r="38">
      <c r="A38" s="1"/>
      <c r="B38" s="33"/>
      <c r="C38" s="20"/>
      <c r="D38" s="20"/>
      <c r="E38" s="20"/>
      <c r="F38" s="20"/>
      <c r="I38" s="2"/>
      <c r="L38" s="9"/>
      <c r="M38" s="10"/>
      <c r="N38" s="9"/>
      <c r="O38" s="11"/>
      <c r="P38" s="11"/>
      <c r="Q38" s="11"/>
      <c r="R38" s="11"/>
      <c r="S38" s="6"/>
      <c r="T38" s="11"/>
      <c r="U38" s="20"/>
    </row>
    <row r="39">
      <c r="B39" s="20"/>
      <c r="C39" s="20"/>
      <c r="D39" s="20"/>
      <c r="E39" s="20"/>
      <c r="F39" s="20"/>
      <c r="I39" s="2"/>
      <c r="L39" s="11"/>
      <c r="M39" s="11"/>
      <c r="N39" s="11"/>
      <c r="O39" s="11"/>
      <c r="P39" s="11"/>
      <c r="Q39" s="11"/>
      <c r="R39" s="11"/>
      <c r="T39" s="11"/>
    </row>
    <row r="40">
      <c r="B40" s="20"/>
      <c r="C40" s="20"/>
      <c r="D40" s="20"/>
      <c r="E40" s="20"/>
      <c r="F40" s="20"/>
      <c r="I40" s="2"/>
      <c r="L40" s="11"/>
      <c r="M40" s="11"/>
      <c r="N40" s="11"/>
      <c r="O40" s="11"/>
      <c r="P40" s="11"/>
      <c r="Q40" s="11"/>
      <c r="R40" s="11"/>
      <c r="T40" s="11"/>
    </row>
    <row r="41">
      <c r="B41" s="20"/>
      <c r="C41" s="20"/>
      <c r="D41" s="20"/>
      <c r="E41" s="20"/>
      <c r="F41" s="20"/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B45" s="34" t="s">
        <v>221</v>
      </c>
      <c r="C45" s="20">
        <v>1.0</v>
      </c>
      <c r="D45" s="20">
        <v>1.0</v>
      </c>
      <c r="E45" s="20">
        <v>7821.0</v>
      </c>
      <c r="F45" s="20">
        <v>11732.0</v>
      </c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K46" s="3"/>
      <c r="L46" s="9"/>
      <c r="M46" s="10"/>
      <c r="N46" s="9"/>
      <c r="O46" s="11"/>
      <c r="P46" s="11"/>
      <c r="Q46" s="11"/>
      <c r="R46" s="11"/>
      <c r="T46" s="11"/>
    </row>
    <row r="47">
      <c r="Q47" s="11"/>
      <c r="R47" s="11"/>
      <c r="T47" s="11"/>
    </row>
    <row r="48">
      <c r="A48" s="33"/>
      <c r="Q48" s="11"/>
      <c r="R48" s="11"/>
      <c r="T48" s="11"/>
    </row>
    <row r="49">
      <c r="A49" s="33"/>
      <c r="C49" s="20"/>
      <c r="Q49" s="11"/>
      <c r="R49" s="11"/>
      <c r="T49" s="11"/>
    </row>
    <row r="50">
      <c r="A50" s="33" t="s">
        <v>171</v>
      </c>
      <c r="B50" s="35">
        <v>4169233.13</v>
      </c>
      <c r="C50" s="20"/>
      <c r="Q50" s="11"/>
      <c r="R50" s="11"/>
      <c r="T50" s="11"/>
    </row>
    <row r="51">
      <c r="A51" s="33" t="s">
        <v>107</v>
      </c>
      <c r="B51" s="35">
        <v>3335870.35</v>
      </c>
      <c r="C51" s="20"/>
      <c r="Q51" s="11"/>
      <c r="R51" s="11"/>
      <c r="T51" s="11"/>
    </row>
    <row r="52">
      <c r="A52" s="33" t="s">
        <v>172</v>
      </c>
      <c r="B52" s="35">
        <v>2673260.2</v>
      </c>
      <c r="Q52" s="11"/>
      <c r="R52" s="11"/>
      <c r="T52" s="11"/>
    </row>
    <row r="53">
      <c r="A53" s="33" t="s">
        <v>173</v>
      </c>
      <c r="B53" s="35">
        <v>1334609.28</v>
      </c>
      <c r="C53" s="20"/>
      <c r="Q53" s="11"/>
      <c r="R53" s="11"/>
      <c r="T53" s="11"/>
    </row>
    <row r="54">
      <c r="A54" s="33" t="s">
        <v>145</v>
      </c>
      <c r="B54" s="35">
        <v>940486.4</v>
      </c>
      <c r="C54" s="20"/>
      <c r="Q54" s="11"/>
      <c r="R54" s="11"/>
      <c r="T54" s="11"/>
    </row>
    <row r="55">
      <c r="A55" s="33" t="s">
        <v>144</v>
      </c>
      <c r="B55" s="35">
        <v>935345.69</v>
      </c>
      <c r="Q55" s="11"/>
      <c r="R55" s="11"/>
      <c r="T55" s="11"/>
    </row>
    <row r="56">
      <c r="A56" s="33" t="s">
        <v>174</v>
      </c>
      <c r="B56" s="35">
        <v>796644.77</v>
      </c>
      <c r="C56" s="20"/>
      <c r="Q56" s="11"/>
      <c r="R56" s="11"/>
      <c r="T56" s="11"/>
    </row>
    <row r="57">
      <c r="A57" s="33" t="s">
        <v>175</v>
      </c>
      <c r="B57" s="35">
        <v>713994.57</v>
      </c>
      <c r="C57" s="20"/>
      <c r="Q57" s="11"/>
      <c r="R57" s="11"/>
      <c r="T57" s="11"/>
    </row>
    <row r="58">
      <c r="A58" s="33" t="s">
        <v>151</v>
      </c>
      <c r="B58" s="35">
        <v>702938.45</v>
      </c>
      <c r="C58" s="20"/>
      <c r="Q58" s="11"/>
      <c r="R58" s="11"/>
      <c r="T58" s="11"/>
    </row>
    <row r="59">
      <c r="A59" s="33" t="s">
        <v>150</v>
      </c>
      <c r="B59" s="35">
        <v>665206.7</v>
      </c>
      <c r="Q59" s="11"/>
      <c r="R59" s="11"/>
      <c r="T59" s="11"/>
    </row>
    <row r="60">
      <c r="A60" s="33" t="s">
        <v>148</v>
      </c>
      <c r="B60" s="35">
        <v>635036.9</v>
      </c>
      <c r="Q60" s="11"/>
      <c r="R60" s="11"/>
      <c r="T60" s="11"/>
    </row>
    <row r="61">
      <c r="A61" s="33" t="s">
        <v>146</v>
      </c>
      <c r="B61" s="35">
        <v>523168.13</v>
      </c>
      <c r="C61" s="20"/>
      <c r="Q61" s="11"/>
      <c r="R61" s="11"/>
      <c r="T61" s="11"/>
    </row>
    <row r="62">
      <c r="A62" s="33" t="s">
        <v>153</v>
      </c>
      <c r="B62" s="35">
        <v>518321.71</v>
      </c>
      <c r="C62" s="20"/>
      <c r="Q62" s="11"/>
      <c r="R62" s="11"/>
      <c r="T62" s="11"/>
    </row>
    <row r="63">
      <c r="A63" s="33" t="s">
        <v>176</v>
      </c>
      <c r="B63" s="35">
        <v>462192.89</v>
      </c>
      <c r="C63" s="20"/>
      <c r="Q63" s="11"/>
      <c r="R63" s="11"/>
      <c r="T63" s="11"/>
    </row>
    <row r="64">
      <c r="A64" s="33" t="s">
        <v>177</v>
      </c>
      <c r="B64" s="35">
        <v>428574.34</v>
      </c>
      <c r="C64" s="20"/>
      <c r="Q64" s="11"/>
      <c r="R64" s="11"/>
      <c r="T64" s="11"/>
    </row>
    <row r="65">
      <c r="A65" s="33" t="s">
        <v>165</v>
      </c>
      <c r="B65" s="35">
        <v>291539.45</v>
      </c>
      <c r="Q65" s="11"/>
      <c r="R65" s="11"/>
      <c r="T65" s="11"/>
    </row>
    <row r="66">
      <c r="A66" s="33" t="s">
        <v>155</v>
      </c>
      <c r="B66" s="35">
        <v>279421.73</v>
      </c>
      <c r="Q66" s="11"/>
      <c r="R66" s="11"/>
      <c r="T66" s="11"/>
    </row>
    <row r="67">
      <c r="A67" s="33" t="s">
        <v>178</v>
      </c>
      <c r="B67" s="35">
        <v>269587.48</v>
      </c>
      <c r="Q67" s="11"/>
      <c r="R67" s="11"/>
      <c r="T67" s="11"/>
    </row>
    <row r="68">
      <c r="A68" s="33" t="s">
        <v>164</v>
      </c>
      <c r="B68" s="35">
        <v>148502.67</v>
      </c>
      <c r="Q68" s="11"/>
      <c r="R68" s="11"/>
      <c r="T68" s="11"/>
    </row>
    <row r="69">
      <c r="A69" s="33" t="s">
        <v>161</v>
      </c>
      <c r="B69" s="35">
        <v>136275.64</v>
      </c>
      <c r="Q69" s="11"/>
      <c r="R69" s="11"/>
      <c r="T69" s="11"/>
    </row>
    <row r="70">
      <c r="A70" s="33" t="s">
        <v>160</v>
      </c>
      <c r="B70" s="35">
        <v>110806.41</v>
      </c>
      <c r="Q70" s="11"/>
      <c r="R70" s="11"/>
      <c r="T70" s="11"/>
    </row>
    <row r="71">
      <c r="A71" s="33" t="s">
        <v>157</v>
      </c>
      <c r="B71" s="35">
        <v>86202.49</v>
      </c>
      <c r="Q71" s="11"/>
      <c r="R71" s="11"/>
      <c r="T71" s="11"/>
    </row>
    <row r="72">
      <c r="A72" s="33"/>
      <c r="B72" s="35"/>
      <c r="C72" s="20"/>
      <c r="Q72" s="11"/>
      <c r="R72" s="11"/>
      <c r="T72" s="11"/>
    </row>
    <row r="73">
      <c r="A73" s="33"/>
      <c r="B73" s="35"/>
      <c r="Q73" s="11"/>
      <c r="R73" s="11"/>
      <c r="T73" s="11"/>
    </row>
    <row r="74">
      <c r="A74" s="33"/>
      <c r="B74" s="35"/>
      <c r="Q74" s="11"/>
      <c r="R74" s="11"/>
      <c r="T74" s="11"/>
    </row>
    <row r="75">
      <c r="A75" s="33"/>
      <c r="B75" s="35"/>
      <c r="Q75" s="11"/>
      <c r="R75" s="11"/>
      <c r="T75" s="11"/>
    </row>
    <row r="76">
      <c r="A76" s="33"/>
      <c r="B76" s="35"/>
      <c r="D76" s="6"/>
      <c r="E76" s="6"/>
      <c r="F76" s="6"/>
      <c r="I76" s="2"/>
      <c r="K76" s="3"/>
      <c r="L76" s="9"/>
      <c r="M76" s="10"/>
      <c r="N76" s="9"/>
      <c r="O76" s="11"/>
      <c r="P76" s="11"/>
      <c r="Q76" s="11"/>
      <c r="R76" s="11"/>
      <c r="T76" s="11"/>
    </row>
    <row r="77">
      <c r="A77" s="33"/>
      <c r="B77" s="35"/>
      <c r="D77" s="6"/>
      <c r="E77" s="6"/>
      <c r="F77" s="6"/>
      <c r="I77" s="2"/>
      <c r="K77" s="3"/>
      <c r="L77" s="9"/>
      <c r="M77" s="10"/>
      <c r="N77" s="9"/>
      <c r="O77" s="11"/>
      <c r="P77" s="11"/>
      <c r="Q77" s="11"/>
      <c r="R77" s="11"/>
      <c r="T77" s="11"/>
    </row>
    <row r="78">
      <c r="A78" s="33"/>
      <c r="B78" s="35"/>
      <c r="D78" s="6"/>
      <c r="E78" s="6"/>
      <c r="F78" s="6"/>
      <c r="I78" s="2"/>
      <c r="K78" s="3"/>
      <c r="L78" s="9"/>
      <c r="M78" s="10"/>
      <c r="N78" s="9"/>
      <c r="O78" s="11"/>
      <c r="P78" s="11"/>
      <c r="Q78" s="11"/>
      <c r="R78" s="11"/>
      <c r="T78" s="11"/>
    </row>
    <row r="79">
      <c r="A79" s="33"/>
      <c r="B79" s="35"/>
      <c r="D79" s="6"/>
      <c r="E79" s="6"/>
      <c r="F79" s="6"/>
      <c r="I79" s="2"/>
      <c r="K79" s="3"/>
      <c r="L79" s="9"/>
      <c r="M79" s="10"/>
      <c r="N79" s="9"/>
      <c r="O79" s="11"/>
      <c r="P79" s="11"/>
      <c r="Q79" s="11"/>
      <c r="R79" s="11"/>
      <c r="T79" s="11"/>
    </row>
    <row r="80">
      <c r="A80" s="33"/>
      <c r="B80" s="35"/>
      <c r="D80" s="6"/>
      <c r="E80" s="6"/>
      <c r="F80" s="6"/>
      <c r="I80" s="2"/>
      <c r="K80" s="3"/>
      <c r="L80" s="9"/>
      <c r="M80" s="10"/>
      <c r="N80" s="9"/>
      <c r="O80" s="11"/>
      <c r="P80" s="11"/>
      <c r="Q80" s="11"/>
      <c r="R80" s="11"/>
      <c r="T80" s="11"/>
    </row>
    <row r="81">
      <c r="A81" s="33"/>
      <c r="B81" s="35"/>
      <c r="D81" s="6"/>
      <c r="E81" s="6"/>
      <c r="F81" s="6"/>
      <c r="I81" s="2"/>
      <c r="K81" s="3"/>
      <c r="L81" s="9"/>
      <c r="M81" s="10"/>
      <c r="N81" s="9"/>
      <c r="O81" s="11"/>
      <c r="P81" s="11"/>
      <c r="Q81" s="11"/>
      <c r="R81" s="11"/>
      <c r="T81" s="11"/>
    </row>
    <row r="82">
      <c r="A82" s="33"/>
      <c r="B82" s="35"/>
      <c r="D82" s="6"/>
      <c r="E82" s="6"/>
      <c r="F82" s="6"/>
      <c r="I82" s="2"/>
      <c r="K82" s="3"/>
      <c r="L82" s="9"/>
      <c r="M82" s="10"/>
      <c r="N82" s="9"/>
      <c r="O82" s="11"/>
      <c r="P82" s="11"/>
      <c r="Q82" s="11"/>
      <c r="R82" s="11"/>
      <c r="T82" s="11"/>
    </row>
    <row r="83">
      <c r="A83" s="33"/>
      <c r="B83" s="35"/>
      <c r="D83" s="6"/>
      <c r="E83" s="6"/>
      <c r="F83" s="6"/>
      <c r="I83" s="2"/>
      <c r="K83" s="3"/>
      <c r="L83" s="9"/>
      <c r="M83" s="10"/>
      <c r="N83" s="9"/>
      <c r="O83" s="11"/>
      <c r="P83" s="11"/>
      <c r="Q83" s="11"/>
      <c r="R83" s="11"/>
      <c r="T83" s="11"/>
    </row>
    <row r="84">
      <c r="A84" s="33"/>
      <c r="B84" s="35"/>
      <c r="D84" s="6"/>
      <c r="E84" s="6"/>
      <c r="F84" s="6"/>
      <c r="I84" s="2"/>
      <c r="K84" s="3"/>
      <c r="L84" s="4"/>
    </row>
    <row r="85">
      <c r="A85" s="33"/>
      <c r="B85" s="35"/>
      <c r="D85" s="6"/>
      <c r="E85" s="6"/>
      <c r="F85" s="6"/>
      <c r="I85" s="2"/>
      <c r="K85" s="3"/>
      <c r="L85" s="4"/>
    </row>
    <row r="86">
      <c r="A86" s="33"/>
      <c r="B86" s="35"/>
      <c r="D86" s="6"/>
      <c r="E86" s="6"/>
      <c r="F86" s="6"/>
      <c r="I86" s="2"/>
      <c r="K86" s="3"/>
      <c r="L86" s="4"/>
    </row>
    <row r="87">
      <c r="A87" s="33"/>
      <c r="B87" s="35"/>
      <c r="D87" s="6"/>
      <c r="E87" s="6"/>
      <c r="F87" s="6"/>
      <c r="I87" s="2"/>
      <c r="K87" s="3"/>
      <c r="L87" s="4"/>
    </row>
    <row r="88">
      <c r="A88" s="33"/>
      <c r="B88" s="35"/>
      <c r="D88" s="6"/>
      <c r="E88" s="6"/>
      <c r="F88" s="6"/>
      <c r="I88" s="2"/>
      <c r="K88" s="3"/>
      <c r="L88" s="4"/>
    </row>
    <row r="89">
      <c r="A89" s="33"/>
      <c r="B89" s="35"/>
      <c r="D89" s="6"/>
      <c r="E89" s="6"/>
      <c r="F89" s="6"/>
      <c r="I89" s="2"/>
      <c r="K89" s="3"/>
      <c r="L89" s="4"/>
    </row>
    <row r="90">
      <c r="A90" s="33"/>
      <c r="B90" s="35"/>
      <c r="E90" s="6"/>
      <c r="F90" s="6"/>
      <c r="I90" s="2"/>
      <c r="K90" s="3"/>
      <c r="L90" s="4"/>
    </row>
    <row r="91">
      <c r="A91" s="33"/>
      <c r="B91" s="35"/>
      <c r="I91" s="2"/>
      <c r="K91" s="3"/>
      <c r="L91" s="4"/>
    </row>
    <row r="92">
      <c r="A92" s="33"/>
      <c r="B92" s="35"/>
      <c r="I92" s="2"/>
      <c r="K92" s="3"/>
      <c r="L92" s="4"/>
    </row>
    <row r="93">
      <c r="A93" s="33"/>
      <c r="B93" s="35"/>
      <c r="I93" s="2"/>
      <c r="K93" s="3"/>
      <c r="L93" s="4"/>
    </row>
    <row r="94">
      <c r="A94" s="33"/>
      <c r="B94" s="35"/>
      <c r="C94" s="1"/>
      <c r="D94" s="1"/>
      <c r="E94" s="6"/>
      <c r="I94" s="2"/>
      <c r="K94" s="3"/>
      <c r="L94" s="4"/>
    </row>
    <row r="95">
      <c r="A95" s="33"/>
      <c r="B95" s="35"/>
      <c r="C95" s="1"/>
      <c r="D95" s="1"/>
      <c r="E95" s="6"/>
      <c r="I95" s="2"/>
      <c r="K95" s="3"/>
      <c r="L95" s="4"/>
    </row>
    <row r="96">
      <c r="A96" s="33"/>
      <c r="B96" s="35"/>
      <c r="C96" s="1">
        <f>3056345/80.7</f>
        <v>37872.92441</v>
      </c>
      <c r="D96" s="19"/>
      <c r="E96" s="6"/>
      <c r="F96" s="6"/>
      <c r="I96" s="2"/>
      <c r="K96" s="3"/>
      <c r="L96" s="4"/>
    </row>
    <row r="97">
      <c r="A97" s="33"/>
      <c r="B97" s="35"/>
      <c r="E97" s="6"/>
      <c r="F97" s="6"/>
      <c r="I97" s="20" t="s">
        <v>132</v>
      </c>
      <c r="J97" s="27">
        <f>63519-35000</f>
        <v>28519</v>
      </c>
      <c r="K97" s="3"/>
      <c r="L97" s="4"/>
    </row>
    <row r="98">
      <c r="B98" s="35"/>
      <c r="F98" s="20" t="s">
        <v>134</v>
      </c>
      <c r="G98" s="20" t="s">
        <v>135</v>
      </c>
      <c r="H98" s="20" t="s">
        <v>136</v>
      </c>
      <c r="I98" s="20" t="s">
        <v>137</v>
      </c>
      <c r="J98" s="20" t="s">
        <v>138</v>
      </c>
      <c r="K98" s="25" t="s">
        <v>139</v>
      </c>
      <c r="L98" s="9"/>
      <c r="M98" s="10"/>
      <c r="N98" s="9"/>
      <c r="O98" s="11"/>
      <c r="P98" s="11"/>
    </row>
    <row r="99">
      <c r="A99" s="33"/>
      <c r="B99" s="35"/>
      <c r="C99" s="21"/>
      <c r="E99" t="str">
        <f t="shared" ref="E99:E109" si="21">B9</f>
        <v/>
      </c>
      <c r="F99" s="27">
        <f t="shared" ref="F99:F109" si="22">Max(F9+H9*J9*K9*if(D99="",1,0)-$B$7,(F9+H9*J9*K9*if(D99="",1,0))/1.5)+0*(0/2*if(A9=1,3,1))</f>
        <v>0</v>
      </c>
      <c r="G99" s="27">
        <f t="shared" ref="G99:G120" si="23">(1+C$5)/(1+B$5)*(E$6/D$6)*F99</f>
        <v>0</v>
      </c>
      <c r="H99" s="27">
        <f t="shared" ref="H99:I99" si="20">F99/2*if($A9=1,3,1)</f>
        <v>0</v>
      </c>
      <c r="I99" s="27">
        <f t="shared" si="20"/>
        <v>0</v>
      </c>
      <c r="J99" s="28" t="str">
        <f t="shared" ref="J99:J120" si="25">iferror(if((((Min(I99,B$7)+G99)/(G99+Min($J$97,I99)))^-1-1)=0,"",((Min(I99,B$7)+G99)/(G99+Min($J$97,I99)))^-1-1),"")</f>
        <v/>
      </c>
      <c r="K99" s="35">
        <v>4169233.13</v>
      </c>
      <c r="L99" s="9" t="str">
        <f t="shared" ref="L99:L123" si="26">if((J99*K99)=0,"",(J99*K99))</f>
        <v/>
      </c>
      <c r="M99" s="36">
        <f t="shared" ref="M99:M120" si="27">K99/sum(K$99:K$120,-K$113)</f>
        <v>0.2113289139</v>
      </c>
      <c r="N99" s="9"/>
      <c r="O99" s="11"/>
      <c r="P99" s="11"/>
    </row>
    <row r="100">
      <c r="A100" s="33"/>
      <c r="B100" s="35"/>
      <c r="C100" s="21"/>
      <c r="D100" s="20">
        <v>1.0</v>
      </c>
      <c r="E100" t="str">
        <f t="shared" si="21"/>
        <v/>
      </c>
      <c r="F100" s="27">
        <f t="shared" si="22"/>
        <v>0</v>
      </c>
      <c r="G100" s="27">
        <f t="shared" si="23"/>
        <v>0</v>
      </c>
      <c r="H100" s="27">
        <f t="shared" ref="H100:I100" si="24">F100/2*if($A10=1,3,1)</f>
        <v>0</v>
      </c>
      <c r="I100" s="27">
        <f t="shared" si="24"/>
        <v>0</v>
      </c>
      <c r="J100" s="28" t="str">
        <f t="shared" si="25"/>
        <v/>
      </c>
      <c r="K100" s="35">
        <v>3335870.35</v>
      </c>
      <c r="L100" s="9" t="str">
        <f t="shared" si="26"/>
        <v/>
      </c>
      <c r="M100" s="36">
        <f t="shared" si="27"/>
        <v>0.1690876562</v>
      </c>
      <c r="N100" s="9"/>
      <c r="O100" s="11"/>
      <c r="P100" s="11"/>
    </row>
    <row r="101">
      <c r="A101" s="33"/>
      <c r="B101" s="35"/>
      <c r="E101" t="str">
        <f t="shared" si="21"/>
        <v/>
      </c>
      <c r="F101" s="27">
        <f t="shared" si="22"/>
        <v>0</v>
      </c>
      <c r="G101" s="27">
        <f t="shared" si="23"/>
        <v>0</v>
      </c>
      <c r="H101" s="27">
        <f t="shared" ref="H101:I101" si="28">F101/2*if($A11=1,3,1)</f>
        <v>0</v>
      </c>
      <c r="I101" s="27">
        <f t="shared" si="28"/>
        <v>0</v>
      </c>
      <c r="J101" s="28" t="str">
        <f t="shared" si="25"/>
        <v/>
      </c>
      <c r="K101" s="35">
        <v>2673260.2</v>
      </c>
      <c r="L101" s="9" t="str">
        <f t="shared" si="26"/>
        <v/>
      </c>
      <c r="M101" s="36">
        <f t="shared" si="27"/>
        <v>0.1355014597</v>
      </c>
      <c r="N101" s="9"/>
      <c r="O101" s="11"/>
      <c r="P101" s="11"/>
    </row>
    <row r="102">
      <c r="A102" s="33"/>
      <c r="B102" s="35"/>
      <c r="D102" s="20"/>
      <c r="E102" t="str">
        <f t="shared" si="21"/>
        <v/>
      </c>
      <c r="F102" s="27">
        <f t="shared" si="22"/>
        <v>0</v>
      </c>
      <c r="G102" s="27">
        <f t="shared" si="23"/>
        <v>0</v>
      </c>
      <c r="H102" s="27">
        <f t="shared" ref="H102:I102" si="29">F102/2*if($A12=1,3,1)</f>
        <v>0</v>
      </c>
      <c r="I102" s="27">
        <f t="shared" si="29"/>
        <v>0</v>
      </c>
      <c r="J102" s="28" t="str">
        <f t="shared" si="25"/>
        <v/>
      </c>
      <c r="K102" s="35">
        <v>1334609.28</v>
      </c>
      <c r="L102" s="9" t="str">
        <f t="shared" si="26"/>
        <v/>
      </c>
      <c r="M102" s="36">
        <f t="shared" si="27"/>
        <v>0.06764829907</v>
      </c>
      <c r="N102" s="9"/>
      <c r="O102" s="11"/>
      <c r="P102" s="11"/>
    </row>
    <row r="103">
      <c r="A103" s="33"/>
      <c r="B103" s="37"/>
      <c r="E103" t="str">
        <f t="shared" si="21"/>
        <v/>
      </c>
      <c r="F103" s="27">
        <f t="shared" si="22"/>
        <v>0</v>
      </c>
      <c r="G103" s="27">
        <f t="shared" si="23"/>
        <v>0</v>
      </c>
      <c r="H103" s="27">
        <f t="shared" ref="H103:I103" si="30">F103/2*if($A13=1,3,1)</f>
        <v>0</v>
      </c>
      <c r="I103" s="27">
        <f t="shared" si="30"/>
        <v>0</v>
      </c>
      <c r="J103" s="28" t="str">
        <f t="shared" si="25"/>
        <v/>
      </c>
      <c r="K103" s="35">
        <v>940486.4</v>
      </c>
      <c r="L103" s="9" t="str">
        <f t="shared" si="26"/>
        <v/>
      </c>
      <c r="M103" s="36">
        <f t="shared" si="27"/>
        <v>0.0476711096</v>
      </c>
      <c r="N103" s="9"/>
      <c r="O103" s="11"/>
      <c r="P103" s="11"/>
    </row>
    <row r="104">
      <c r="A104" s="33"/>
      <c r="B104" s="35"/>
      <c r="E104" t="str">
        <f t="shared" si="21"/>
        <v/>
      </c>
      <c r="F104" s="27">
        <f t="shared" si="22"/>
        <v>0</v>
      </c>
      <c r="G104" s="27">
        <f t="shared" si="23"/>
        <v>0</v>
      </c>
      <c r="H104" s="27">
        <f t="shared" ref="H104:I104" si="31">F104/2*if($A14=1,3,1)</f>
        <v>0</v>
      </c>
      <c r="I104" s="27">
        <f t="shared" si="31"/>
        <v>0</v>
      </c>
      <c r="J104" s="28" t="str">
        <f t="shared" si="25"/>
        <v/>
      </c>
      <c r="K104" s="35">
        <v>935345.69</v>
      </c>
      <c r="L104" s="9" t="str">
        <f t="shared" si="26"/>
        <v/>
      </c>
      <c r="M104" s="36">
        <f t="shared" si="27"/>
        <v>0.04741053874</v>
      </c>
      <c r="N104" s="9"/>
      <c r="O104" s="11"/>
      <c r="P104" s="11"/>
    </row>
    <row r="105">
      <c r="A105" s="33"/>
      <c r="B105" s="35"/>
      <c r="E105" t="str">
        <f t="shared" si="21"/>
        <v/>
      </c>
      <c r="F105" s="27">
        <f t="shared" si="22"/>
        <v>0</v>
      </c>
      <c r="G105" s="27">
        <f t="shared" si="23"/>
        <v>0</v>
      </c>
      <c r="H105" s="27">
        <f t="shared" ref="H105:I105" si="32">F105/2*if($A15=1,3,1)</f>
        <v>0</v>
      </c>
      <c r="I105" s="27">
        <f t="shared" si="32"/>
        <v>0</v>
      </c>
      <c r="J105" s="28" t="str">
        <f t="shared" si="25"/>
        <v/>
      </c>
      <c r="K105" s="35">
        <v>796644.77</v>
      </c>
      <c r="L105" s="9" t="str">
        <f t="shared" si="26"/>
        <v/>
      </c>
      <c r="M105" s="36">
        <f t="shared" si="27"/>
        <v>0.0403801056</v>
      </c>
      <c r="N105" s="9"/>
      <c r="O105" s="11"/>
      <c r="P105" s="11"/>
    </row>
    <row r="106">
      <c r="E106" t="str">
        <f t="shared" si="21"/>
        <v/>
      </c>
      <c r="F106" s="27">
        <f t="shared" si="22"/>
        <v>0</v>
      </c>
      <c r="G106" s="27">
        <f t="shared" si="23"/>
        <v>0</v>
      </c>
      <c r="H106" s="27">
        <f t="shared" ref="H106:I106" si="33">F106/2*if($A16=1,3,1)</f>
        <v>0</v>
      </c>
      <c r="I106" s="27">
        <f t="shared" si="33"/>
        <v>0</v>
      </c>
      <c r="J106" s="28" t="str">
        <f t="shared" si="25"/>
        <v/>
      </c>
      <c r="K106" s="35">
        <v>713994.57</v>
      </c>
      <c r="L106" s="9" t="str">
        <f t="shared" si="26"/>
        <v/>
      </c>
      <c r="M106" s="36">
        <f t="shared" si="27"/>
        <v>0.03619075555</v>
      </c>
      <c r="N106" s="9"/>
      <c r="O106" s="11"/>
      <c r="P106" s="11"/>
    </row>
    <row r="107">
      <c r="E107" t="str">
        <f t="shared" si="21"/>
        <v/>
      </c>
      <c r="F107" s="27">
        <f t="shared" si="22"/>
        <v>0</v>
      </c>
      <c r="G107" s="27">
        <f t="shared" si="23"/>
        <v>0</v>
      </c>
      <c r="H107" s="27">
        <f t="shared" ref="H107:I107" si="34">F107/2*if($A17=1,3,1)</f>
        <v>0</v>
      </c>
      <c r="I107" s="27">
        <f t="shared" si="34"/>
        <v>0</v>
      </c>
      <c r="J107" s="28" t="str">
        <f t="shared" si="25"/>
        <v/>
      </c>
      <c r="K107" s="35">
        <v>702938.45</v>
      </c>
      <c r="L107" s="9" t="str">
        <f t="shared" si="26"/>
        <v/>
      </c>
      <c r="M107" s="36">
        <f t="shared" si="27"/>
        <v>0.03563034606</v>
      </c>
      <c r="N107" s="9"/>
      <c r="O107" s="11"/>
      <c r="P107" s="11"/>
    </row>
    <row r="108">
      <c r="E108" t="str">
        <f t="shared" si="21"/>
        <v/>
      </c>
      <c r="F108" s="27">
        <f t="shared" si="22"/>
        <v>0</v>
      </c>
      <c r="G108" s="27">
        <f t="shared" si="23"/>
        <v>0</v>
      </c>
      <c r="H108" s="27">
        <f t="shared" ref="H108:I108" si="35">F108/2*if($A18=1,3,1)</f>
        <v>0</v>
      </c>
      <c r="I108" s="27">
        <f t="shared" si="35"/>
        <v>0</v>
      </c>
      <c r="J108" s="28" t="str">
        <f t="shared" si="25"/>
        <v/>
      </c>
      <c r="K108" s="35">
        <v>665206.7</v>
      </c>
      <c r="L108" s="9" t="str">
        <f t="shared" si="26"/>
        <v/>
      </c>
      <c r="M108" s="36">
        <f t="shared" si="27"/>
        <v>0.03371780975</v>
      </c>
      <c r="N108" s="9"/>
      <c r="O108" s="11"/>
      <c r="P108" s="11"/>
    </row>
    <row r="109">
      <c r="E109" t="str">
        <f t="shared" si="21"/>
        <v/>
      </c>
      <c r="F109" s="27">
        <f t="shared" si="22"/>
        <v>0</v>
      </c>
      <c r="G109" s="27">
        <f t="shared" si="23"/>
        <v>0</v>
      </c>
      <c r="H109" s="27">
        <f t="shared" ref="H109:I109" si="36">F109/2*if($A19=1,3,1)</f>
        <v>0</v>
      </c>
      <c r="I109" s="27">
        <f t="shared" si="36"/>
        <v>0</v>
      </c>
      <c r="J109" s="28" t="str">
        <f t="shared" si="25"/>
        <v/>
      </c>
      <c r="K109" s="35">
        <v>635036.9</v>
      </c>
      <c r="L109" s="9" t="str">
        <f t="shared" si="26"/>
        <v/>
      </c>
      <c r="M109" s="36">
        <f t="shared" si="27"/>
        <v>0.03218857143</v>
      </c>
      <c r="N109" s="9"/>
      <c r="O109" s="11"/>
      <c r="P109" s="11"/>
    </row>
    <row r="110">
      <c r="E110" t="str">
        <f>B45</f>
        <v>Infusion</v>
      </c>
      <c r="F110" s="27">
        <f>Max(F$45+H20*J20*K20*if(D110="",1,0)-$B$7,(F$45+H20*J20*K20*if(D110="",1,0))/1.5)+0*(0/2*if(A20=1,3,1))</f>
        <v>47930.66667</v>
      </c>
      <c r="G110" s="27">
        <f t="shared" si="23"/>
        <v>71714.71562</v>
      </c>
      <c r="H110" s="27">
        <f t="shared" ref="H110:I110" si="37">F110/2*if($A20=1,3,1)</f>
        <v>23965.33333</v>
      </c>
      <c r="I110" s="27">
        <f t="shared" si="37"/>
        <v>35857.35781</v>
      </c>
      <c r="J110" s="28">
        <f t="shared" si="25"/>
        <v>-0.06821805675</v>
      </c>
      <c r="K110" s="35">
        <v>523168.13</v>
      </c>
      <c r="L110" s="9">
        <f t="shared" si="26"/>
        <v>-35689.51318</v>
      </c>
      <c r="M110" s="36">
        <f t="shared" si="27"/>
        <v>0.02651819874</v>
      </c>
      <c r="N110" s="9"/>
      <c r="O110" s="11"/>
      <c r="P110" s="11"/>
    </row>
    <row r="111">
      <c r="E111" t="str">
        <f t="shared" ref="E111:E112" si="39">B21</f>
        <v>Raging Whirlwind</v>
      </c>
      <c r="F111" s="27">
        <f t="shared" ref="F111:F112" si="40">Max(F21+H21*J21*K21*if(D111="",1,0)-$B$7,(F21+H21*J21*K21*if(D111="",1,0))/1.5)+0*(0/2*if(A21=1,3,1))</f>
        <v>95684.66667</v>
      </c>
      <c r="G111" s="27">
        <f t="shared" si="23"/>
        <v>143165.0994</v>
      </c>
      <c r="H111" s="27">
        <f t="shared" ref="H111:I111" si="38">F111/2*if($A21=1,3,1)</f>
        <v>143527</v>
      </c>
      <c r="I111" s="27">
        <f t="shared" si="38"/>
        <v>214747.6491</v>
      </c>
      <c r="J111" s="28">
        <f t="shared" si="25"/>
        <v>-0.19802304</v>
      </c>
      <c r="K111" s="35">
        <v>518321.71</v>
      </c>
      <c r="L111" s="9">
        <f t="shared" si="26"/>
        <v>-102639.6407</v>
      </c>
      <c r="M111" s="36">
        <f t="shared" si="27"/>
        <v>0.02627254477</v>
      </c>
      <c r="N111" s="9"/>
      <c r="O111" s="11"/>
      <c r="P111" s="11"/>
    </row>
    <row r="112">
      <c r="E112" t="str">
        <f t="shared" si="39"/>
        <v>Death Swarm</v>
      </c>
      <c r="F112" s="27">
        <f t="shared" si="40"/>
        <v>80286.24242</v>
      </c>
      <c r="G112" s="27">
        <f t="shared" si="23"/>
        <v>120125.7033</v>
      </c>
      <c r="H112" s="27">
        <f t="shared" ref="H112:I112" si="41">F112/2*if($A22=1,3,1)</f>
        <v>40143.12121</v>
      </c>
      <c r="I112" s="27">
        <f t="shared" si="41"/>
        <v>60062.85166</v>
      </c>
      <c r="J112" s="28">
        <f t="shared" si="25"/>
        <v>-0.1750602399</v>
      </c>
      <c r="K112" s="35">
        <v>462192.89</v>
      </c>
      <c r="L112" s="9">
        <f t="shared" si="26"/>
        <v>-80911.59819</v>
      </c>
      <c r="M112" s="36">
        <f t="shared" si="27"/>
        <v>0.02342750296</v>
      </c>
      <c r="N112" s="9"/>
      <c r="O112" s="11"/>
      <c r="P112" s="11"/>
    </row>
    <row r="113">
      <c r="E113" t="str">
        <f>#REF!</f>
        <v>#REF!</v>
      </c>
      <c r="F113" s="27" t="str">
        <f>Max(#REF!+#REF!*#REF!*#REF!*if(D113="",1,0)-$B$7,(#REF!+#REF!*#REF!*#REF!*if(D113="",1,0))/1.5)+0*(0/2*if(#REF!=1,3,1))</f>
        <v>#REF!</v>
      </c>
      <c r="G113" s="27" t="str">
        <f t="shared" si="23"/>
        <v>#REF!</v>
      </c>
      <c r="H113" s="27" t="str">
        <f t="shared" ref="H113:I113" si="42">F113/2*if(#REF!=1,3,1)</f>
        <v>#REF!</v>
      </c>
      <c r="I113" s="27" t="str">
        <f t="shared" si="42"/>
        <v>#REF!</v>
      </c>
      <c r="J113" s="28" t="str">
        <f t="shared" si="25"/>
        <v/>
      </c>
      <c r="K113" s="35">
        <v>428574.34</v>
      </c>
      <c r="L113" s="9" t="str">
        <f t="shared" si="26"/>
        <v/>
      </c>
      <c r="M113" s="36">
        <f t="shared" si="27"/>
        <v>0.02172345537</v>
      </c>
      <c r="N113" s="9"/>
      <c r="O113" s="11"/>
      <c r="P113" s="11"/>
    </row>
    <row r="114">
      <c r="E114" t="str">
        <f t="shared" ref="E114:E120" si="44">B23</f>
        <v>Thunderbolt</v>
      </c>
      <c r="F114" s="27">
        <f t="shared" ref="F114:F120" si="45">Max(F23+H23*J23*K23*if(D114="",1,0)-$B$7,(F23+H23*J23*K23*if(D114="",1,0))/1.5)+0*(0/2*if(A23=1,3,1))</f>
        <v>140562.6667</v>
      </c>
      <c r="G114" s="27">
        <f t="shared" si="23"/>
        <v>210312.3609</v>
      </c>
      <c r="H114" s="27">
        <f t="shared" ref="H114:I114" si="43">F114/2*if($A23=1,3,1)</f>
        <v>70281.33333</v>
      </c>
      <c r="I114" s="27">
        <f t="shared" si="43"/>
        <v>105156.1805</v>
      </c>
      <c r="J114" s="28">
        <f t="shared" si="25"/>
        <v>-0.1507413888</v>
      </c>
      <c r="K114" s="35">
        <v>291539.45</v>
      </c>
      <c r="L114" s="9">
        <f t="shared" si="26"/>
        <v>-43947.0616</v>
      </c>
      <c r="M114" s="36">
        <f t="shared" si="27"/>
        <v>0.01477746948</v>
      </c>
      <c r="N114" s="9"/>
      <c r="O114" s="11"/>
      <c r="P114" s="11"/>
    </row>
    <row r="115">
      <c r="E115" t="str">
        <f t="shared" si="44"/>
        <v>U.Wrath</v>
      </c>
      <c r="F115" s="27">
        <f t="shared" si="45"/>
        <v>75984.66667</v>
      </c>
      <c r="G115" s="27">
        <f t="shared" si="23"/>
        <v>113689.6092</v>
      </c>
      <c r="H115" s="27">
        <f t="shared" ref="H115:I115" si="46">F115/2*if($A24=1,3,1)</f>
        <v>37992.33333</v>
      </c>
      <c r="I115" s="27">
        <f t="shared" si="46"/>
        <v>56844.80459</v>
      </c>
      <c r="J115" s="28">
        <f t="shared" si="25"/>
        <v>-0.1661002256</v>
      </c>
      <c r="K115" s="35">
        <v>279421.73</v>
      </c>
      <c r="L115" s="9">
        <f t="shared" si="26"/>
        <v>-46412.01238</v>
      </c>
      <c r="M115" s="36">
        <f t="shared" si="27"/>
        <v>0.01416324991</v>
      </c>
      <c r="N115" s="9"/>
      <c r="O115" s="11"/>
      <c r="P115" s="11"/>
    </row>
    <row r="116">
      <c r="E116" t="str">
        <f t="shared" si="44"/>
        <v>Fae Fire</v>
      </c>
      <c r="F116" s="27">
        <f t="shared" si="45"/>
        <v>1464141</v>
      </c>
      <c r="G116" s="27">
        <f t="shared" si="23"/>
        <v>2190673.795</v>
      </c>
      <c r="H116" s="27">
        <f t="shared" ref="H116:I116" si="47">F116/2*if($A25=1,3,1)</f>
        <v>732070.5</v>
      </c>
      <c r="I116" s="27">
        <f t="shared" si="47"/>
        <v>1095336.897</v>
      </c>
      <c r="J116" s="28">
        <f t="shared" si="25"/>
        <v>-0.01874437788</v>
      </c>
      <c r="K116" s="35">
        <v>269587.48</v>
      </c>
      <c r="L116" s="9">
        <f t="shared" si="26"/>
        <v>-5053.249596</v>
      </c>
      <c r="M116" s="36">
        <f t="shared" si="27"/>
        <v>0.01366477421</v>
      </c>
      <c r="N116" s="9"/>
      <c r="O116" s="11"/>
      <c r="P116" s="11"/>
    </row>
    <row r="117">
      <c r="E117" t="str">
        <f t="shared" si="44"/>
        <v>Wrath of Nature</v>
      </c>
      <c r="F117" s="27">
        <f t="shared" si="45"/>
        <v>149997</v>
      </c>
      <c r="G117" s="27">
        <f t="shared" si="23"/>
        <v>224428.1782</v>
      </c>
      <c r="H117" s="27">
        <f t="shared" ref="H117:I117" si="48">F117/2*if($A26=1,3,1)</f>
        <v>224995.5</v>
      </c>
      <c r="I117" s="27">
        <f t="shared" si="48"/>
        <v>336642.2673</v>
      </c>
      <c r="J117" s="28">
        <f t="shared" si="25"/>
        <v>-0.1435366627</v>
      </c>
      <c r="K117" s="35">
        <v>148502.67</v>
      </c>
      <c r="L117" s="9">
        <f t="shared" si="26"/>
        <v>-21315.57765</v>
      </c>
      <c r="M117" s="36">
        <f t="shared" si="27"/>
        <v>0.007527261487</v>
      </c>
      <c r="N117" s="9"/>
      <c r="O117" s="11"/>
      <c r="P117" s="11"/>
    </row>
    <row r="118">
      <c r="E118" t="str">
        <f t="shared" si="44"/>
        <v>Starnova Vortex</v>
      </c>
      <c r="F118" s="27">
        <f t="shared" si="45"/>
        <v>93006</v>
      </c>
      <c r="G118" s="27">
        <f t="shared" si="23"/>
        <v>139157.2307</v>
      </c>
      <c r="H118" s="27">
        <f t="shared" ref="H118:I118" si="49">F118/2*if($A27=1,3,1)</f>
        <v>139509</v>
      </c>
      <c r="I118" s="27">
        <f t="shared" si="49"/>
        <v>208735.8461</v>
      </c>
      <c r="J118" s="28">
        <f t="shared" si="25"/>
        <v>-0.2018010998</v>
      </c>
      <c r="K118" s="35">
        <v>136275.64</v>
      </c>
      <c r="L118" s="9">
        <f t="shared" si="26"/>
        <v>-27500.57403</v>
      </c>
      <c r="M118" s="36">
        <f t="shared" si="27"/>
        <v>0.006907501236</v>
      </c>
      <c r="N118" s="9"/>
      <c r="O118" s="11"/>
      <c r="P118" s="11"/>
    </row>
    <row r="119">
      <c r="D119" s="20"/>
      <c r="E119" t="str">
        <f t="shared" si="44"/>
        <v>Starnova</v>
      </c>
      <c r="F119" s="27">
        <f t="shared" si="45"/>
        <v>93006</v>
      </c>
      <c r="G119" s="27">
        <f t="shared" si="23"/>
        <v>139157.2307</v>
      </c>
      <c r="H119" s="27">
        <f t="shared" ref="H119:I119" si="50">F119/2*if($A28=1,3,1)</f>
        <v>139509</v>
      </c>
      <c r="I119" s="27">
        <f t="shared" si="50"/>
        <v>208735.8461</v>
      </c>
      <c r="J119" s="28">
        <f t="shared" si="25"/>
        <v>-0.2018010998</v>
      </c>
      <c r="K119" s="35">
        <v>110806.41</v>
      </c>
      <c r="L119" s="9">
        <f t="shared" si="26"/>
        <v>-22360.8554</v>
      </c>
      <c r="M119" s="36">
        <f t="shared" si="27"/>
        <v>0.005616524083</v>
      </c>
      <c r="N119" s="9"/>
      <c r="O119" s="11"/>
      <c r="P119" s="11"/>
    </row>
    <row r="120">
      <c r="D120" s="20"/>
      <c r="E120" t="str">
        <f t="shared" si="44"/>
        <v>Call of Storms</v>
      </c>
      <c r="F120" s="27">
        <f t="shared" si="45"/>
        <v>87303.33333</v>
      </c>
      <c r="G120" s="27">
        <f t="shared" si="23"/>
        <v>130624.7995</v>
      </c>
      <c r="H120" s="27">
        <f t="shared" ref="H120:I120" si="51">F120/2*if($A29=1,3,1)</f>
        <v>130955</v>
      </c>
      <c r="I120" s="27">
        <f t="shared" si="51"/>
        <v>195937.1992</v>
      </c>
      <c r="J120" s="28">
        <f t="shared" si="25"/>
        <v>-0.2103447631</v>
      </c>
      <c r="K120" s="35">
        <v>86202.49</v>
      </c>
      <c r="L120" s="9">
        <f t="shared" si="26"/>
        <v>-18132.24234</v>
      </c>
      <c r="M120" s="36">
        <f t="shared" si="27"/>
        <v>0.00436940752</v>
      </c>
      <c r="N120" s="9"/>
      <c r="O120" s="11"/>
      <c r="P120" s="11"/>
    </row>
    <row r="121">
      <c r="D121" s="20"/>
      <c r="F121" s="27"/>
      <c r="G121" s="27"/>
      <c r="H121" s="27"/>
      <c r="I121" s="27"/>
      <c r="J121" s="28"/>
      <c r="K121" s="3"/>
      <c r="L121" s="9" t="str">
        <f t="shared" si="26"/>
        <v/>
      </c>
      <c r="M121" s="10"/>
      <c r="N121" s="9"/>
      <c r="O121" s="11"/>
      <c r="P121" s="11"/>
    </row>
    <row r="122">
      <c r="F122" s="27"/>
      <c r="G122" s="27"/>
      <c r="H122" s="27"/>
      <c r="I122" s="27"/>
      <c r="J122" s="28"/>
      <c r="K122" s="3"/>
      <c r="L122" s="9" t="str">
        <f t="shared" si="26"/>
        <v/>
      </c>
      <c r="M122" s="10"/>
      <c r="N122" s="9"/>
      <c r="O122" s="11"/>
      <c r="P122" s="11"/>
    </row>
    <row r="123">
      <c r="F123" s="27"/>
      <c r="G123" s="27"/>
      <c r="H123" s="27"/>
      <c r="I123" s="27"/>
      <c r="J123" s="28"/>
      <c r="K123" s="29"/>
      <c r="L123" s="9" t="str">
        <f t="shared" si="26"/>
        <v/>
      </c>
      <c r="M123" s="10"/>
      <c r="N123" s="9"/>
      <c r="O123" s="11"/>
      <c r="P123" s="11"/>
    </row>
    <row r="124">
      <c r="F124" s="27"/>
      <c r="G124" s="27"/>
      <c r="H124" s="27"/>
      <c r="I124" s="27"/>
      <c r="J124" s="28"/>
      <c r="K124" s="3"/>
      <c r="L124" s="16" t="s">
        <v>179</v>
      </c>
      <c r="M124" s="17" t="s">
        <v>180</v>
      </c>
      <c r="P124" s="16" t="s">
        <v>140</v>
      </c>
      <c r="Q124" s="13" t="s">
        <v>141</v>
      </c>
      <c r="R124" s="13" t="s">
        <v>142</v>
      </c>
    </row>
    <row r="125">
      <c r="E125" t="str">
        <f>B42</f>
        <v/>
      </c>
      <c r="I125" s="2"/>
      <c r="J125" s="31"/>
      <c r="K125" s="3"/>
      <c r="L125" s="9">
        <f>sum(L100:L124)</f>
        <v>-403962.3251</v>
      </c>
      <c r="M125" s="10">
        <f>L125/(J97-B7)*1000</f>
        <v>9529.211292</v>
      </c>
      <c r="N125">
        <f>L125/M125</f>
        <v>-42.392</v>
      </c>
      <c r="P125" s="9">
        <v>51551.131060775886</v>
      </c>
      <c r="Q125" s="11">
        <v>1630.5969019337172</v>
      </c>
      <c r="R125" s="11">
        <f t="shared" ref="R125:R126" si="52">P125/Q125</f>
        <v>31.61488348</v>
      </c>
    </row>
    <row r="126">
      <c r="D126" s="6"/>
      <c r="E126" s="6"/>
      <c r="F126" s="6"/>
      <c r="I126" s="2"/>
      <c r="K126" s="3"/>
      <c r="L126" s="9"/>
      <c r="M126" s="10"/>
      <c r="P126" s="9">
        <v>278265.4246262847</v>
      </c>
      <c r="Q126" s="11">
        <v>32505.88979666571</v>
      </c>
      <c r="R126" s="11">
        <f t="shared" si="52"/>
        <v>8.5604617</v>
      </c>
    </row>
    <row r="127">
      <c r="I127" s="2"/>
    </row>
    <row r="128">
      <c r="I128" s="2"/>
      <c r="O128" s="20"/>
    </row>
    <row r="129">
      <c r="I129" s="2"/>
      <c r="L129" s="20" t="s">
        <v>181</v>
      </c>
      <c r="M129" s="20" t="s">
        <v>182</v>
      </c>
      <c r="N129" s="20" t="s">
        <v>183</v>
      </c>
      <c r="O129" s="20" t="s">
        <v>184</v>
      </c>
      <c r="P129" s="20" t="s">
        <v>185</v>
      </c>
      <c r="Q129" s="20" t="s">
        <v>186</v>
      </c>
    </row>
    <row r="130">
      <c r="I130" s="2"/>
      <c r="L130">
        <f>3056345</f>
        <v>3056345</v>
      </c>
      <c r="M130">
        <f>L130/(Average(80.39,81.37))</f>
        <v>37788.63749</v>
      </c>
      <c r="N130" s="27">
        <v>30.3030303030303</v>
      </c>
      <c r="O130" s="27">
        <f>24.9/N130*M130</f>
        <v>31050.92342</v>
      </c>
      <c r="P130" s="27">
        <f>24.9/(200/(19.6-13.4))*M130</f>
        <v>29169.04928</v>
      </c>
      <c r="Q130" s="27">
        <f>24.9/(200/(25.6-19.6))*M130</f>
        <v>28228.1122</v>
      </c>
    </row>
    <row r="131">
      <c r="H131" s="20" t="s">
        <v>187</v>
      </c>
      <c r="I131" s="20" t="s">
        <v>188</v>
      </c>
      <c r="J131" s="20" t="s">
        <v>189</v>
      </c>
    </row>
    <row r="132">
      <c r="H132" s="20">
        <v>1000.0</v>
      </c>
      <c r="I132" s="20">
        <v>17.4</v>
      </c>
      <c r="J132" s="20">
        <v>24.9</v>
      </c>
    </row>
    <row r="133">
      <c r="I133" s="2"/>
    </row>
    <row r="134">
      <c r="I134" s="20">
        <v>980.0</v>
      </c>
      <c r="J134" s="38">
        <v>6.91</v>
      </c>
      <c r="K134" s="20" t="s">
        <v>190</v>
      </c>
      <c r="L134" s="20" t="s">
        <v>191</v>
      </c>
      <c r="N134" s="20" t="s">
        <v>192</v>
      </c>
      <c r="O134" s="20" t="s">
        <v>193</v>
      </c>
    </row>
    <row r="135">
      <c r="I135" s="20">
        <v>1000.0</v>
      </c>
      <c r="J135" s="38">
        <v>7.0</v>
      </c>
      <c r="K135" s="39">
        <f>(1+J135)/(J134+1)-1</f>
        <v>0.01137800253</v>
      </c>
      <c r="L135" s="20">
        <v>6110302.0</v>
      </c>
      <c r="M135">
        <f>L135*(8/7.91-1)</f>
        <v>69523.03161</v>
      </c>
      <c r="N135">
        <f>M135*17.4/20</f>
        <v>60485.0375</v>
      </c>
      <c r="O135">
        <f>17.4/600/8*L135*(8/7.91)</f>
        <v>22401.86574</v>
      </c>
    </row>
    <row r="136">
      <c r="I136" s="2"/>
      <c r="O136" s="20" t="s">
        <v>194</v>
      </c>
      <c r="P136" s="20" t="s">
        <v>188</v>
      </c>
    </row>
    <row r="137">
      <c r="I137" s="2"/>
      <c r="O137" s="20" t="s">
        <v>195</v>
      </c>
      <c r="P137">
        <v>60485.03749683887</v>
      </c>
    </row>
    <row r="138">
      <c r="I138" s="2"/>
      <c r="O138" s="20" t="s">
        <v>196</v>
      </c>
      <c r="P138" s="20">
        <v>46720.0</v>
      </c>
    </row>
    <row r="139">
      <c r="I139" s="2"/>
      <c r="O139" s="20" t="s">
        <v>197</v>
      </c>
      <c r="P139">
        <v>31050.923423590506</v>
      </c>
    </row>
    <row r="140">
      <c r="I140" s="2"/>
      <c r="O140" s="20" t="s">
        <v>198</v>
      </c>
      <c r="P140" s="20">
        <v>29169.0</v>
      </c>
    </row>
    <row r="141">
      <c r="I141" s="2"/>
      <c r="O141" s="20" t="s">
        <v>199</v>
      </c>
      <c r="P141" s="20">
        <v>28889.0</v>
      </c>
    </row>
    <row r="142">
      <c r="I142" s="2"/>
      <c r="O142" s="20" t="s">
        <v>200</v>
      </c>
      <c r="P142" s="20">
        <v>28245.0</v>
      </c>
    </row>
    <row r="143">
      <c r="I143" s="2"/>
      <c r="O143" s="20" t="s">
        <v>201</v>
      </c>
      <c r="P143">
        <f>28228</f>
        <v>28228</v>
      </c>
    </row>
    <row r="144">
      <c r="I144" s="2"/>
      <c r="O144" s="20" t="s">
        <v>202</v>
      </c>
      <c r="P144">
        <v>22401.865739570163</v>
      </c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</sheetData>
  <autoFilter ref="$A$8:$U$42">
    <sortState ref="A8:U42">
      <sortCondition descending="1" ref="T8:T42"/>
      <sortCondition descending="1" ref="R8:R42"/>
      <sortCondition descending="1" ref="D8:D42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3" width="15.13"/>
  </cols>
  <sheetData>
    <row r="1">
      <c r="A1" s="1" t="s">
        <v>0</v>
      </c>
      <c r="B1" s="2">
        <f>1001.7%+150%</f>
        <v>11.517</v>
      </c>
      <c r="I1" s="2"/>
      <c r="K1" s="3"/>
      <c r="L1" s="4"/>
    </row>
    <row r="2">
      <c r="A2" s="1" t="s">
        <v>1</v>
      </c>
      <c r="B2" s="38">
        <v>1.0</v>
      </c>
      <c r="C2" s="20" t="s">
        <v>222</v>
      </c>
      <c r="I2" s="2"/>
      <c r="K2" s="3"/>
      <c r="L2" s="4"/>
    </row>
    <row r="3">
      <c r="A3" s="1" t="s">
        <v>2</v>
      </c>
      <c r="B3" s="19">
        <f>38.9%+7%</f>
        <v>0.459</v>
      </c>
      <c r="C3" s="20">
        <v>5.0</v>
      </c>
      <c r="I3" s="2"/>
      <c r="K3" s="3"/>
      <c r="L3" s="4"/>
    </row>
    <row r="4">
      <c r="A4" s="1" t="s">
        <v>3</v>
      </c>
      <c r="B4" s="20">
        <v>1.0</v>
      </c>
      <c r="I4" s="2"/>
      <c r="K4" s="3"/>
      <c r="L4" s="4"/>
    </row>
    <row r="5">
      <c r="A5" s="20" t="s">
        <v>223</v>
      </c>
      <c r="B5" s="20">
        <v>10444.0</v>
      </c>
      <c r="I5" s="2"/>
      <c r="K5" s="3"/>
      <c r="L5" s="4"/>
    </row>
    <row r="6">
      <c r="A6" s="20" t="s">
        <v>103</v>
      </c>
      <c r="B6" s="2">
        <f>1055.6%</f>
        <v>10.556</v>
      </c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  <c r="V7" s="20" t="s">
        <v>224</v>
      </c>
      <c r="W7" s="20" t="s">
        <v>225</v>
      </c>
    </row>
    <row r="8">
      <c r="A8" s="1"/>
      <c r="B8" s="1"/>
      <c r="C8" s="1"/>
      <c r="D8" s="1"/>
      <c r="E8" s="23"/>
      <c r="F8" s="23"/>
      <c r="G8" s="41"/>
      <c r="H8" s="41"/>
      <c r="I8" s="2"/>
      <c r="K8" s="3"/>
      <c r="L8" s="9">
        <f t="shared" ref="L8:L31" si="2">if(E8*($B$1+$I8)&lt;(F8+1),F8+1,E8*($I8+$B$1))</f>
        <v>1</v>
      </c>
      <c r="M8" s="10">
        <f t="shared" ref="M8:M31" si="3">F8*($B$1+$I8)</f>
        <v>0</v>
      </c>
      <c r="N8" s="9">
        <f t="shared" ref="N8:N31" si="4">if(if(G8*($B$1+$I8)&lt;(H8+1),H8+1,G8*($I8+$B$1))=1,0,if(G8*($B$1+$I8)&lt;(H8+1),H8+1,G8*($I8+$B$1)))</f>
        <v>0</v>
      </c>
      <c r="O8" s="11">
        <f t="shared" ref="O8:O31" si="5">H8*($B$1+$I8)</f>
        <v>0</v>
      </c>
      <c r="P8" s="11">
        <f t="shared" ref="P8:P31" si="6">M8+O8*K8*J8</f>
        <v>0</v>
      </c>
      <c r="Q8" s="11" t="str">
        <f t="shared" ref="Q8:Q31" si="7">(if($A8=1,$B$4,1)*((L8*E8+F8*M8)/(E8+F8)+if(G8&gt;0,(N8*G8+H8*O8)/(G8+H8)*J8*K8,0)))*(if($U8=0,1+$B$3,1))</f>
        <v>#DIV/0!</v>
      </c>
      <c r="R8" s="11" t="str">
        <f t="shared" ref="R8:R31" si="8">Q8/(C8+0.5*(1/(1+$B$5)))</f>
        <v>#DIV/0!</v>
      </c>
      <c r="S8" s="6" t="str">
        <f t="shared" ref="S8:S31" si="9">B8</f>
        <v/>
      </c>
      <c r="T8" s="11" t="str">
        <f t="shared" ref="T8:T17" si="10">$Q8/(($C8+if($D8&lt;=$J8,$J8,$D8)))</f>
        <v>#DIV/0!</v>
      </c>
    </row>
    <row r="9">
      <c r="A9" s="20"/>
      <c r="B9" s="20" t="s">
        <v>226</v>
      </c>
      <c r="C9" s="20">
        <v>0.0</v>
      </c>
      <c r="D9" s="20">
        <v>15.0</v>
      </c>
      <c r="E9" s="23">
        <f t="shared" ref="E9:F9" si="1">5500*floor((log($B$5,2)*0.28-1.2)*100,1)/100*(1+$B$6)*(1+$B$3)*(1+$C$3/20)</f>
        <v>293262.1733</v>
      </c>
      <c r="F9" s="23">
        <f t="shared" si="1"/>
        <v>293262.1733</v>
      </c>
      <c r="G9" s="23"/>
      <c r="H9" s="23"/>
      <c r="I9" s="2"/>
      <c r="J9" s="1"/>
      <c r="K9" s="7"/>
      <c r="L9" s="9">
        <f t="shared" si="2"/>
        <v>3377500.45</v>
      </c>
      <c r="M9" s="10">
        <f t="shared" si="3"/>
        <v>3377500.45</v>
      </c>
      <c r="N9" s="9">
        <f t="shared" si="4"/>
        <v>0</v>
      </c>
      <c r="O9" s="11">
        <f t="shared" si="5"/>
        <v>0</v>
      </c>
      <c r="P9" s="11">
        <f t="shared" si="6"/>
        <v>3377500.45</v>
      </c>
      <c r="Q9" s="11">
        <f t="shared" si="7"/>
        <v>4927773.157</v>
      </c>
      <c r="R9" s="11">
        <f t="shared" si="8"/>
        <v>102941181246</v>
      </c>
      <c r="S9" s="6" t="str">
        <f t="shared" si="9"/>
        <v>Unda</v>
      </c>
      <c r="T9" s="11">
        <f t="shared" si="10"/>
        <v>328518.2105</v>
      </c>
      <c r="U9" s="11"/>
      <c r="V9" s="11">
        <f t="shared" ref="V9:V31" si="11">T9/((C9+(1+$B$2)^-1)/$D9)</f>
        <v>9855546.314</v>
      </c>
      <c r="W9" s="42">
        <f t="shared" ref="W9:W31" si="12">(C9+(1+$B$2)^-1)/$D9</f>
        <v>0.03333333333</v>
      </c>
    </row>
    <row r="10">
      <c r="A10" s="20">
        <v>1.0</v>
      </c>
      <c r="B10" s="20" t="s">
        <v>227</v>
      </c>
      <c r="C10" s="20">
        <v>0.0</v>
      </c>
      <c r="D10" s="20">
        <v>75.0</v>
      </c>
      <c r="E10" s="23">
        <v>30401.0</v>
      </c>
      <c r="F10" s="23">
        <v>47256.0</v>
      </c>
      <c r="G10" s="41"/>
      <c r="H10" s="41"/>
      <c r="I10" s="2"/>
      <c r="K10" s="3"/>
      <c r="L10" s="9">
        <f t="shared" si="2"/>
        <v>350128.317</v>
      </c>
      <c r="M10" s="10">
        <f t="shared" si="3"/>
        <v>544247.352</v>
      </c>
      <c r="N10" s="9">
        <f t="shared" si="4"/>
        <v>0</v>
      </c>
      <c r="O10" s="11">
        <f t="shared" si="5"/>
        <v>0</v>
      </c>
      <c r="P10" s="11">
        <f t="shared" si="6"/>
        <v>544247.352</v>
      </c>
      <c r="Q10" s="11">
        <f t="shared" si="7"/>
        <v>683182.6415</v>
      </c>
      <c r="R10" s="11">
        <f t="shared" si="8"/>
        <v>14271685381</v>
      </c>
      <c r="S10" s="6" t="str">
        <f t="shared" si="9"/>
        <v>Concussive Bla</v>
      </c>
      <c r="T10" s="11">
        <f t="shared" si="10"/>
        <v>9109.101886</v>
      </c>
      <c r="V10" s="11">
        <f t="shared" si="11"/>
        <v>1366365.283</v>
      </c>
      <c r="W10" s="42">
        <f t="shared" si="12"/>
        <v>0.006666666667</v>
      </c>
    </row>
    <row r="11">
      <c r="A11" s="20"/>
      <c r="B11" s="20" t="s">
        <v>228</v>
      </c>
      <c r="C11" s="20">
        <v>0.5</v>
      </c>
      <c r="D11" s="20">
        <v>5.0</v>
      </c>
      <c r="E11" s="23">
        <f>149614+130753+156905+143793+117641</f>
        <v>698706</v>
      </c>
      <c r="F11" s="23">
        <f>207578+203209+243852+223474+182831</f>
        <v>1060944</v>
      </c>
      <c r="G11" s="23"/>
      <c r="H11" s="23"/>
      <c r="I11" s="2"/>
      <c r="J11" s="1"/>
      <c r="K11" s="12"/>
      <c r="L11" s="9">
        <f t="shared" si="2"/>
        <v>8046997.002</v>
      </c>
      <c r="M11" s="10">
        <f t="shared" si="3"/>
        <v>12218892.05</v>
      </c>
      <c r="N11" s="9">
        <f t="shared" si="4"/>
        <v>0</v>
      </c>
      <c r="O11" s="11">
        <f t="shared" si="5"/>
        <v>0</v>
      </c>
      <c r="P11" s="11">
        <f t="shared" si="6"/>
        <v>12218892.05</v>
      </c>
      <c r="Q11" s="11">
        <f t="shared" si="7"/>
        <v>15410473.72</v>
      </c>
      <c r="R11" s="11">
        <f t="shared" si="8"/>
        <v>30817996.94</v>
      </c>
      <c r="S11" s="6" t="str">
        <f t="shared" si="9"/>
        <v>Toxic Assault</v>
      </c>
      <c r="T11" s="11">
        <f t="shared" si="10"/>
        <v>2801904.313</v>
      </c>
      <c r="V11" s="11">
        <f t="shared" si="11"/>
        <v>14009521.56</v>
      </c>
      <c r="W11" s="42">
        <f t="shared" si="12"/>
        <v>0.2</v>
      </c>
    </row>
    <row r="12">
      <c r="B12" s="20" t="s">
        <v>229</v>
      </c>
      <c r="C12" s="20">
        <v>0.25</v>
      </c>
      <c r="D12" s="20">
        <v>7.5</v>
      </c>
      <c r="E12" s="23">
        <v>77603.0</v>
      </c>
      <c r="F12" s="23">
        <v>89477.0</v>
      </c>
      <c r="G12" s="23">
        <v>33014.0</v>
      </c>
      <c r="H12" s="23">
        <v>44465.0</v>
      </c>
      <c r="I12" s="2"/>
      <c r="J12" s="20">
        <v>2.0</v>
      </c>
      <c r="K12" s="25">
        <v>1.0</v>
      </c>
      <c r="L12" s="9">
        <f t="shared" si="2"/>
        <v>893753.751</v>
      </c>
      <c r="M12" s="10">
        <f t="shared" si="3"/>
        <v>1030506.609</v>
      </c>
      <c r="N12" s="9">
        <f t="shared" si="4"/>
        <v>380222.238</v>
      </c>
      <c r="O12" s="11">
        <f t="shared" si="5"/>
        <v>512103.405</v>
      </c>
      <c r="P12" s="11">
        <f t="shared" si="6"/>
        <v>2054713.419</v>
      </c>
      <c r="Q12" s="11">
        <f t="shared" si="7"/>
        <v>2741178.748</v>
      </c>
      <c r="R12" s="11">
        <f t="shared" si="8"/>
        <v>10962615.88</v>
      </c>
      <c r="S12" s="6" t="str">
        <f t="shared" si="9"/>
        <v>Thunderclap</v>
      </c>
      <c r="T12" s="11">
        <f t="shared" si="10"/>
        <v>353700.4836</v>
      </c>
      <c r="V12" s="11">
        <f t="shared" si="11"/>
        <v>3537004.836</v>
      </c>
      <c r="W12" s="42">
        <f t="shared" si="12"/>
        <v>0.1</v>
      </c>
    </row>
    <row r="13">
      <c r="B13" s="20" t="s">
        <v>230</v>
      </c>
      <c r="C13" s="20">
        <v>1.0</v>
      </c>
      <c r="D13" s="20">
        <v>25.0</v>
      </c>
      <c r="E13" s="23">
        <v>154094.0</v>
      </c>
      <c r="F13" s="23">
        <v>240308.0</v>
      </c>
      <c r="G13" s="23">
        <v>27271.0</v>
      </c>
      <c r="H13" s="23">
        <v>48824.0</v>
      </c>
      <c r="I13" s="2"/>
      <c r="J13" s="20">
        <v>3.2</v>
      </c>
      <c r="K13" s="7">
        <f>1/0.3</f>
        <v>3.333333333</v>
      </c>
      <c r="L13" s="9">
        <f t="shared" si="2"/>
        <v>1774700.598</v>
      </c>
      <c r="M13" s="10">
        <f t="shared" si="3"/>
        <v>2767627.236</v>
      </c>
      <c r="N13" s="9">
        <f t="shared" si="4"/>
        <v>314080.107</v>
      </c>
      <c r="O13" s="11">
        <f t="shared" si="5"/>
        <v>562306.008</v>
      </c>
      <c r="P13" s="11">
        <f t="shared" si="6"/>
        <v>8765557.988</v>
      </c>
      <c r="Q13" s="11">
        <f t="shared" si="7"/>
        <v>10838499.56</v>
      </c>
      <c r="R13" s="11">
        <f t="shared" si="8"/>
        <v>10837980.74</v>
      </c>
      <c r="S13" s="6" t="str">
        <f t="shared" si="9"/>
        <v>Plaguebringer</v>
      </c>
      <c r="T13" s="11">
        <f t="shared" si="10"/>
        <v>416865.3676</v>
      </c>
      <c r="V13" s="11">
        <f t="shared" si="11"/>
        <v>6947756.126</v>
      </c>
      <c r="W13" s="42">
        <f t="shared" si="12"/>
        <v>0.06</v>
      </c>
    </row>
    <row r="14">
      <c r="A14" s="20">
        <v>1.0</v>
      </c>
      <c r="B14" s="20" t="s">
        <v>231</v>
      </c>
      <c r="C14" s="20">
        <v>0.5</v>
      </c>
      <c r="D14" s="20">
        <v>5.0</v>
      </c>
      <c r="E14" s="23">
        <f>49870+47943+39226+43584+52302</f>
        <v>232925</v>
      </c>
      <c r="F14" s="23">
        <f>69191+74511+60962+67736+81286</f>
        <v>353686</v>
      </c>
      <c r="G14" s="41"/>
      <c r="H14" s="41"/>
      <c r="I14" s="2"/>
      <c r="J14" s="1"/>
      <c r="K14" s="7"/>
      <c r="L14" s="9">
        <f t="shared" si="2"/>
        <v>2682597.225</v>
      </c>
      <c r="M14" s="10">
        <f t="shared" si="3"/>
        <v>4073401.662</v>
      </c>
      <c r="N14" s="9">
        <f t="shared" si="4"/>
        <v>0</v>
      </c>
      <c r="O14" s="11">
        <f t="shared" si="5"/>
        <v>0</v>
      </c>
      <c r="P14" s="11">
        <f t="shared" si="6"/>
        <v>4073401.662</v>
      </c>
      <c r="Q14" s="11">
        <f t="shared" si="7"/>
        <v>5137367.242</v>
      </c>
      <c r="R14" s="11">
        <f t="shared" si="8"/>
        <v>10273750.88</v>
      </c>
      <c r="S14" s="6" t="str">
        <f t="shared" si="9"/>
        <v>Caustic Det</v>
      </c>
      <c r="T14" s="11">
        <f t="shared" si="10"/>
        <v>934066.7713</v>
      </c>
      <c r="V14" s="11">
        <f t="shared" si="11"/>
        <v>4670333.856</v>
      </c>
      <c r="W14" s="42">
        <f t="shared" si="12"/>
        <v>0.2</v>
      </c>
    </row>
    <row r="15">
      <c r="B15" s="20" t="s">
        <v>232</v>
      </c>
      <c r="C15" s="20">
        <v>0.5</v>
      </c>
      <c r="D15" s="20">
        <v>22.5</v>
      </c>
      <c r="E15" s="23">
        <v>183812.0</v>
      </c>
      <c r="F15" s="23">
        <v>260767.0</v>
      </c>
      <c r="G15" s="41"/>
      <c r="H15" s="41"/>
      <c r="J15" s="2"/>
      <c r="K15" s="3"/>
      <c r="L15" s="9">
        <f t="shared" si="2"/>
        <v>2116962.804</v>
      </c>
      <c r="M15" s="10">
        <f t="shared" si="3"/>
        <v>3003253.539</v>
      </c>
      <c r="N15" s="9">
        <f t="shared" si="4"/>
        <v>0</v>
      </c>
      <c r="O15" s="11">
        <f t="shared" si="5"/>
        <v>0</v>
      </c>
      <c r="P15" s="11">
        <f t="shared" si="6"/>
        <v>3003253.539</v>
      </c>
      <c r="Q15" s="11">
        <f t="shared" si="7"/>
        <v>3847113.107</v>
      </c>
      <c r="R15" s="11">
        <f t="shared" si="8"/>
        <v>7693489.642</v>
      </c>
      <c r="S15" s="6" t="str">
        <f t="shared" si="9"/>
        <v>Ethernere Chains</v>
      </c>
      <c r="T15" s="11">
        <f t="shared" si="10"/>
        <v>167265.7873</v>
      </c>
      <c r="U15" s="11"/>
      <c r="V15" s="11">
        <f t="shared" si="11"/>
        <v>3763480.213</v>
      </c>
      <c r="W15" s="42">
        <f t="shared" si="12"/>
        <v>0.04444444444</v>
      </c>
    </row>
    <row r="16">
      <c r="A16" s="1"/>
      <c r="B16" s="20" t="s">
        <v>233</v>
      </c>
      <c r="C16" s="20">
        <v>0.25</v>
      </c>
      <c r="D16" s="20">
        <v>30.0</v>
      </c>
      <c r="E16" s="23">
        <v>53204.0</v>
      </c>
      <c r="F16" s="23">
        <v>82703.0</v>
      </c>
      <c r="G16" s="41"/>
      <c r="H16" s="41"/>
      <c r="I16" s="2"/>
      <c r="J16" s="1"/>
      <c r="K16" s="7"/>
      <c r="L16" s="9">
        <f t="shared" si="2"/>
        <v>612750.468</v>
      </c>
      <c r="M16" s="10">
        <f t="shared" si="3"/>
        <v>952490.451</v>
      </c>
      <c r="N16" s="9">
        <f t="shared" si="4"/>
        <v>0</v>
      </c>
      <c r="O16" s="11">
        <f t="shared" si="5"/>
        <v>0</v>
      </c>
      <c r="P16" s="11">
        <f t="shared" si="6"/>
        <v>952490.451</v>
      </c>
      <c r="Q16" s="11">
        <f t="shared" si="7"/>
        <v>1195637.695</v>
      </c>
      <c r="R16" s="11">
        <f t="shared" si="8"/>
        <v>4781635.195</v>
      </c>
      <c r="S16" s="6" t="str">
        <f t="shared" si="9"/>
        <v>Bewild</v>
      </c>
      <c r="T16" s="11">
        <f t="shared" si="10"/>
        <v>39525.21305</v>
      </c>
      <c r="V16" s="11">
        <f t="shared" si="11"/>
        <v>1581008.522</v>
      </c>
      <c r="W16" s="42">
        <f t="shared" si="12"/>
        <v>0.025</v>
      </c>
    </row>
    <row r="17">
      <c r="B17" s="20" t="s">
        <v>234</v>
      </c>
      <c r="C17" s="20">
        <v>0.5</v>
      </c>
      <c r="D17" s="20">
        <v>4.0</v>
      </c>
      <c r="E17" s="23">
        <v>23654.0</v>
      </c>
      <c r="F17" s="23">
        <v>36762.0</v>
      </c>
      <c r="G17" s="23">
        <v>4778.0</v>
      </c>
      <c r="H17" s="23">
        <v>7427.0</v>
      </c>
      <c r="I17" s="2"/>
      <c r="J17" s="20">
        <v>5.1</v>
      </c>
      <c r="K17" s="12">
        <f>1/0.6</f>
        <v>1.666666667</v>
      </c>
      <c r="L17" s="9">
        <f t="shared" si="2"/>
        <v>272423.118</v>
      </c>
      <c r="M17" s="10">
        <f t="shared" si="3"/>
        <v>423387.954</v>
      </c>
      <c r="N17" s="9">
        <f t="shared" si="4"/>
        <v>55028.226</v>
      </c>
      <c r="O17" s="11">
        <f t="shared" si="5"/>
        <v>85536.759</v>
      </c>
      <c r="P17" s="11">
        <f t="shared" si="6"/>
        <v>1150450.406</v>
      </c>
      <c r="Q17" s="11">
        <f t="shared" si="7"/>
        <v>1444155.454</v>
      </c>
      <c r="R17" s="11">
        <f t="shared" si="8"/>
        <v>2888034.409</v>
      </c>
      <c r="S17" s="6" t="str">
        <f t="shared" si="9"/>
        <v>Acid</v>
      </c>
      <c r="T17" s="11">
        <f t="shared" si="10"/>
        <v>257884.9025</v>
      </c>
      <c r="V17" s="11">
        <f t="shared" si="11"/>
        <v>1031539.61</v>
      </c>
      <c r="W17" s="42">
        <f t="shared" si="12"/>
        <v>0.25</v>
      </c>
    </row>
    <row r="18">
      <c r="B18" s="20" t="s">
        <v>235</v>
      </c>
      <c r="C18" s="20">
        <v>0.5</v>
      </c>
      <c r="D18" s="20">
        <v>10.0</v>
      </c>
      <c r="E18" s="23">
        <v>28440.0</v>
      </c>
      <c r="F18" s="23">
        <v>33090.0</v>
      </c>
      <c r="G18" s="41">
        <f t="shared" ref="G18:H18" si="13">E18</f>
        <v>28440</v>
      </c>
      <c r="H18" s="41">
        <f t="shared" si="13"/>
        <v>33090</v>
      </c>
      <c r="I18" s="2"/>
      <c r="J18" s="20">
        <v>3.0</v>
      </c>
      <c r="K18" s="25">
        <v>1.0</v>
      </c>
      <c r="L18" s="9">
        <f t="shared" si="2"/>
        <v>327543.48</v>
      </c>
      <c r="M18" s="10">
        <f t="shared" si="3"/>
        <v>381097.53</v>
      </c>
      <c r="N18" s="9">
        <f t="shared" si="4"/>
        <v>327543.48</v>
      </c>
      <c r="O18" s="11">
        <f t="shared" si="5"/>
        <v>381097.53</v>
      </c>
      <c r="P18" s="11">
        <f t="shared" si="6"/>
        <v>1524390.12</v>
      </c>
      <c r="Q18" s="11">
        <f t="shared" si="7"/>
        <v>1425376.489</v>
      </c>
      <c r="R18" s="11">
        <f t="shared" si="8"/>
        <v>2850480.074</v>
      </c>
      <c r="S18" s="6" t="str">
        <f t="shared" si="9"/>
        <v>Aura of Void</v>
      </c>
      <c r="T18" s="11">
        <f>$Q18/(($C18+$D18))</f>
        <v>135750.1418</v>
      </c>
      <c r="U18" s="20">
        <v>1.0</v>
      </c>
      <c r="V18" s="11">
        <f t="shared" si="11"/>
        <v>1357501.418</v>
      </c>
      <c r="W18" s="42">
        <f t="shared" si="12"/>
        <v>0.1</v>
      </c>
    </row>
    <row r="19">
      <c r="A19" s="20">
        <v>1.0</v>
      </c>
      <c r="B19" s="20" t="s">
        <v>236</v>
      </c>
      <c r="C19" s="20">
        <v>2.0</v>
      </c>
      <c r="D19" s="20">
        <v>22.5</v>
      </c>
      <c r="E19" s="23">
        <v>44280.0</v>
      </c>
      <c r="F19" s="23">
        <v>60504.0</v>
      </c>
      <c r="G19" s="23">
        <v>29276.0</v>
      </c>
      <c r="H19" s="23">
        <v>45500.0</v>
      </c>
      <c r="I19" s="2"/>
      <c r="J19" s="20">
        <v>4.2</v>
      </c>
      <c r="K19" s="3">
        <f>1/0.6</f>
        <v>1.666666667</v>
      </c>
      <c r="L19" s="9">
        <f t="shared" si="2"/>
        <v>509972.76</v>
      </c>
      <c r="M19" s="10">
        <f t="shared" si="3"/>
        <v>696824.568</v>
      </c>
      <c r="N19" s="9">
        <f t="shared" si="4"/>
        <v>337171.692</v>
      </c>
      <c r="O19" s="11">
        <f t="shared" si="5"/>
        <v>524023.5</v>
      </c>
      <c r="P19" s="11">
        <f t="shared" si="6"/>
        <v>4364989.068</v>
      </c>
      <c r="Q19" s="11">
        <f t="shared" si="7"/>
        <v>5506178.837</v>
      </c>
      <c r="R19" s="11">
        <f t="shared" si="8"/>
        <v>2753023.525</v>
      </c>
      <c r="S19" s="6" t="str">
        <f t="shared" si="9"/>
        <v>Apoc</v>
      </c>
      <c r="T19" s="11">
        <f t="shared" ref="T19:T22" si="15">$Q19/(($C19+if($D19&lt;=$J19,$J19,$D19)))</f>
        <v>224741.9933</v>
      </c>
      <c r="V19" s="11">
        <f t="shared" si="11"/>
        <v>2022677.94</v>
      </c>
      <c r="W19" s="42">
        <f t="shared" si="12"/>
        <v>0.1111111111</v>
      </c>
    </row>
    <row r="20">
      <c r="A20" s="20">
        <v>1.0</v>
      </c>
      <c r="B20" s="20" t="s">
        <v>237</v>
      </c>
      <c r="C20" s="20">
        <v>1.5</v>
      </c>
      <c r="D20" s="20">
        <v>53.0</v>
      </c>
      <c r="E20" s="23">
        <v>18796.0</v>
      </c>
      <c r="F20" s="23">
        <v>22973.0</v>
      </c>
      <c r="G20" s="41">
        <f t="shared" ref="G20:H20" si="14">E20</f>
        <v>18796</v>
      </c>
      <c r="H20" s="41">
        <f t="shared" si="14"/>
        <v>22973</v>
      </c>
      <c r="I20" s="2"/>
      <c r="J20" s="20">
        <v>23.0</v>
      </c>
      <c r="K20" s="3">
        <f>1/2.9</f>
        <v>0.3448275862</v>
      </c>
      <c r="L20" s="9">
        <f t="shared" si="2"/>
        <v>216473.532</v>
      </c>
      <c r="M20" s="10">
        <f t="shared" si="3"/>
        <v>264580.041</v>
      </c>
      <c r="N20" s="9">
        <f t="shared" si="4"/>
        <v>216473.532</v>
      </c>
      <c r="O20" s="11">
        <f t="shared" si="5"/>
        <v>264580.041</v>
      </c>
      <c r="P20" s="11">
        <f t="shared" si="6"/>
        <v>2362973.47</v>
      </c>
      <c r="Q20" s="11">
        <f t="shared" si="7"/>
        <v>3165498.316</v>
      </c>
      <c r="R20" s="11">
        <f t="shared" si="8"/>
        <v>2110264.865</v>
      </c>
      <c r="S20" s="6" t="str">
        <f t="shared" si="9"/>
        <v>Eternal Damn</v>
      </c>
      <c r="T20" s="11">
        <f t="shared" si="15"/>
        <v>58082.5379</v>
      </c>
      <c r="V20" s="11">
        <f t="shared" si="11"/>
        <v>1539187.254</v>
      </c>
      <c r="W20" s="42">
        <f t="shared" si="12"/>
        <v>0.03773584906</v>
      </c>
    </row>
    <row r="21">
      <c r="A21" s="20">
        <v>1.0</v>
      </c>
      <c r="B21" s="20" t="s">
        <v>238</v>
      </c>
      <c r="C21" s="20">
        <v>1.5</v>
      </c>
      <c r="D21" s="20">
        <v>30.0</v>
      </c>
      <c r="E21" s="23">
        <v>15824.0</v>
      </c>
      <c r="F21" s="23">
        <v>20437.0</v>
      </c>
      <c r="G21" s="23">
        <v>8322.0</v>
      </c>
      <c r="H21" s="23">
        <v>12935.0</v>
      </c>
      <c r="I21" s="2"/>
      <c r="J21" s="20">
        <v>13.2</v>
      </c>
      <c r="K21" s="40">
        <f>1/0.9</f>
        <v>1.111111111</v>
      </c>
      <c r="L21" s="9">
        <f t="shared" si="2"/>
        <v>182245.008</v>
      </c>
      <c r="M21" s="10">
        <f t="shared" si="3"/>
        <v>235372.929</v>
      </c>
      <c r="N21" s="9">
        <f t="shared" si="4"/>
        <v>95844.474</v>
      </c>
      <c r="O21" s="11">
        <f t="shared" si="5"/>
        <v>148972.395</v>
      </c>
      <c r="P21" s="11">
        <f t="shared" si="6"/>
        <v>2420301.389</v>
      </c>
      <c r="Q21" s="11">
        <f t="shared" si="7"/>
        <v>3052316.293</v>
      </c>
      <c r="R21" s="11">
        <f t="shared" si="8"/>
        <v>2034812.591</v>
      </c>
      <c r="S21" s="6" t="str">
        <f t="shared" si="9"/>
        <v>Dark Siphon</v>
      </c>
      <c r="T21" s="11">
        <f t="shared" si="15"/>
        <v>96898.92993</v>
      </c>
      <c r="V21" s="11">
        <f t="shared" si="11"/>
        <v>1453483.949</v>
      </c>
      <c r="W21" s="42">
        <f t="shared" si="12"/>
        <v>0.06666666667</v>
      </c>
    </row>
    <row r="22">
      <c r="B22" s="20" t="s">
        <v>239</v>
      </c>
      <c r="C22" s="20">
        <v>1.0</v>
      </c>
      <c r="D22" s="20">
        <v>4.0</v>
      </c>
      <c r="E22" s="23">
        <v>37608.0</v>
      </c>
      <c r="F22" s="23">
        <v>58449.0</v>
      </c>
      <c r="G22" s="23">
        <v>7521.0</v>
      </c>
      <c r="H22" s="23">
        <v>11690.0</v>
      </c>
      <c r="I22" s="2"/>
      <c r="J22" s="20">
        <v>3.5</v>
      </c>
      <c r="K22" s="12">
        <f>1/0.5</f>
        <v>2</v>
      </c>
      <c r="L22" s="9">
        <f t="shared" si="2"/>
        <v>433131.336</v>
      </c>
      <c r="M22" s="10">
        <f t="shared" si="3"/>
        <v>673157.133</v>
      </c>
      <c r="N22" s="9">
        <f t="shared" si="4"/>
        <v>86619.357</v>
      </c>
      <c r="O22" s="11">
        <f t="shared" si="5"/>
        <v>134633.73</v>
      </c>
      <c r="P22" s="11">
        <f t="shared" si="6"/>
        <v>1615593.243</v>
      </c>
      <c r="Q22" s="11">
        <f t="shared" si="7"/>
        <v>2028064.579</v>
      </c>
      <c r="R22" s="11">
        <f t="shared" si="8"/>
        <v>2027967.5</v>
      </c>
      <c r="S22" s="6" t="str">
        <f t="shared" si="9"/>
        <v>Dark Pyre</v>
      </c>
      <c r="T22" s="11">
        <f t="shared" si="15"/>
        <v>405612.9157</v>
      </c>
      <c r="V22" s="11">
        <f t="shared" si="11"/>
        <v>1081634.442</v>
      </c>
      <c r="W22" s="42">
        <f t="shared" si="12"/>
        <v>0.375</v>
      </c>
    </row>
    <row r="23">
      <c r="B23" s="20" t="s">
        <v>240</v>
      </c>
      <c r="C23" s="20">
        <v>1.0</v>
      </c>
      <c r="D23" s="20">
        <v>15.0</v>
      </c>
      <c r="E23" s="23">
        <v>79619.0</v>
      </c>
      <c r="F23" s="23">
        <f>E23</f>
        <v>79619</v>
      </c>
      <c r="G23" s="23">
        <v>34607.0</v>
      </c>
      <c r="H23" s="23">
        <f>G23</f>
        <v>34607</v>
      </c>
      <c r="I23" s="2"/>
      <c r="J23" s="20">
        <v>1.0</v>
      </c>
      <c r="K23" s="25">
        <v>1.0</v>
      </c>
      <c r="L23" s="9">
        <f t="shared" si="2"/>
        <v>916972.023</v>
      </c>
      <c r="M23" s="10">
        <f t="shared" si="3"/>
        <v>916972.023</v>
      </c>
      <c r="N23" s="9">
        <f t="shared" si="4"/>
        <v>398568.819</v>
      </c>
      <c r="O23" s="11">
        <f t="shared" si="5"/>
        <v>398568.819</v>
      </c>
      <c r="P23" s="11">
        <f t="shared" si="6"/>
        <v>1315540.842</v>
      </c>
      <c r="Q23" s="11">
        <f t="shared" si="7"/>
        <v>1919374.088</v>
      </c>
      <c r="R23" s="11">
        <f t="shared" si="8"/>
        <v>1919282.213</v>
      </c>
      <c r="S23" s="6" t="str">
        <f t="shared" si="9"/>
        <v>Flames of Vel</v>
      </c>
      <c r="T23" s="11">
        <f>$Q23/(($C23+$D23))</f>
        <v>119960.8805</v>
      </c>
      <c r="V23" s="11">
        <f t="shared" si="11"/>
        <v>1199608.805</v>
      </c>
      <c r="W23" s="42">
        <f t="shared" si="12"/>
        <v>0.1</v>
      </c>
    </row>
    <row r="24">
      <c r="B24" s="20" t="s">
        <v>241</v>
      </c>
      <c r="C24" s="20">
        <v>1.0</v>
      </c>
      <c r="D24" s="20">
        <v>15.0</v>
      </c>
      <c r="E24" s="23">
        <v>82008.0</v>
      </c>
      <c r="F24" s="23">
        <v>118701.0</v>
      </c>
      <c r="G24" s="23"/>
      <c r="H24" s="23"/>
      <c r="I24" s="2"/>
      <c r="J24" s="1"/>
      <c r="K24" s="7"/>
      <c r="L24" s="9">
        <f t="shared" si="2"/>
        <v>944486.136</v>
      </c>
      <c r="M24" s="10">
        <f t="shared" si="3"/>
        <v>1367079.417</v>
      </c>
      <c r="N24" s="9">
        <f t="shared" si="4"/>
        <v>0</v>
      </c>
      <c r="O24" s="11">
        <f t="shared" si="5"/>
        <v>0</v>
      </c>
      <c r="P24" s="11">
        <f t="shared" si="6"/>
        <v>1367079.417</v>
      </c>
      <c r="Q24" s="11">
        <f t="shared" si="7"/>
        <v>1742646.198</v>
      </c>
      <c r="R24" s="11">
        <f t="shared" si="8"/>
        <v>1742562.782</v>
      </c>
      <c r="S24" s="6" t="str">
        <f t="shared" si="9"/>
        <v>Encase</v>
      </c>
      <c r="T24" s="11">
        <f t="shared" ref="T24:T25" si="16">$Q24/(($C24+if($D24&lt;=$J24,$J24,$D24)))</f>
        <v>108915.3874</v>
      </c>
      <c r="U24" s="11"/>
      <c r="V24" s="11">
        <f t="shared" si="11"/>
        <v>1089153.874</v>
      </c>
      <c r="W24" s="42">
        <f t="shared" si="12"/>
        <v>0.1</v>
      </c>
    </row>
    <row r="25">
      <c r="A25" s="20">
        <v>1.0</v>
      </c>
      <c r="B25" s="20" t="s">
        <v>242</v>
      </c>
      <c r="C25" s="20">
        <v>1.5</v>
      </c>
      <c r="D25" s="20">
        <v>30.0</v>
      </c>
      <c r="E25" s="23">
        <v>122913.0</v>
      </c>
      <c r="F25" s="23">
        <v>172118.0</v>
      </c>
      <c r="G25" s="41"/>
      <c r="H25" s="41"/>
      <c r="I25" s="2"/>
      <c r="K25" s="3"/>
      <c r="L25" s="9">
        <f t="shared" si="2"/>
        <v>1415589.021</v>
      </c>
      <c r="M25" s="10">
        <f t="shared" si="3"/>
        <v>1982283.006</v>
      </c>
      <c r="N25" s="9">
        <f t="shared" si="4"/>
        <v>0</v>
      </c>
      <c r="O25" s="11">
        <f t="shared" si="5"/>
        <v>0</v>
      </c>
      <c r="P25" s="11">
        <f t="shared" si="6"/>
        <v>1982283.006</v>
      </c>
      <c r="Q25" s="11">
        <f t="shared" si="7"/>
        <v>2547694.661</v>
      </c>
      <c r="R25" s="11">
        <f t="shared" si="8"/>
        <v>1698408.906</v>
      </c>
      <c r="S25" s="6" t="str">
        <f t="shared" si="9"/>
        <v>Blast of Dev</v>
      </c>
      <c r="T25" s="11">
        <f t="shared" si="16"/>
        <v>80879.19559</v>
      </c>
      <c r="V25" s="11">
        <f t="shared" si="11"/>
        <v>1213187.934</v>
      </c>
      <c r="W25" s="42">
        <f t="shared" si="12"/>
        <v>0.06666666667</v>
      </c>
    </row>
    <row r="26">
      <c r="A26" s="20">
        <v>1.0</v>
      </c>
      <c r="B26" s="20" t="s">
        <v>243</v>
      </c>
      <c r="C26" s="20">
        <v>1.0</v>
      </c>
      <c r="D26" s="20">
        <v>4.0</v>
      </c>
      <c r="E26" s="23">
        <v>17080.0</v>
      </c>
      <c r="F26" s="23">
        <v>26546.0</v>
      </c>
      <c r="G26" s="23">
        <v>10249.0</v>
      </c>
      <c r="H26" s="23">
        <v>15928.0</v>
      </c>
      <c r="I26" s="2"/>
      <c r="J26" s="20">
        <v>2.1</v>
      </c>
      <c r="K26" s="12">
        <f>1/0.4</f>
        <v>2.5</v>
      </c>
      <c r="L26" s="9">
        <f t="shared" si="2"/>
        <v>196710.36</v>
      </c>
      <c r="M26" s="10">
        <f t="shared" si="3"/>
        <v>305730.282</v>
      </c>
      <c r="N26" s="9">
        <f t="shared" si="4"/>
        <v>118037.733</v>
      </c>
      <c r="O26" s="11">
        <f t="shared" si="5"/>
        <v>183442.776</v>
      </c>
      <c r="P26" s="11">
        <f t="shared" si="6"/>
        <v>1268804.856</v>
      </c>
      <c r="Q26" s="11">
        <f t="shared" si="7"/>
        <v>1592763.123</v>
      </c>
      <c r="R26" s="11">
        <f t="shared" si="8"/>
        <v>1592686.882</v>
      </c>
      <c r="S26" s="6" t="str">
        <f t="shared" si="9"/>
        <v>Cataclysm</v>
      </c>
      <c r="T26" s="11">
        <f>$Q26/(($C26+$D26))</f>
        <v>318552.6246</v>
      </c>
      <c r="V26" s="11">
        <f t="shared" si="11"/>
        <v>849473.6657</v>
      </c>
      <c r="W26" s="42">
        <f t="shared" si="12"/>
        <v>0.375</v>
      </c>
    </row>
    <row r="27">
      <c r="B27" s="20" t="s">
        <v>244</v>
      </c>
      <c r="C27" s="20">
        <v>1.5</v>
      </c>
      <c r="D27" s="20">
        <v>6.0</v>
      </c>
      <c r="E27" s="23">
        <v>110941.0</v>
      </c>
      <c r="F27" s="23">
        <v>163286.0</v>
      </c>
      <c r="G27" s="41"/>
      <c r="H27" s="41"/>
      <c r="I27" s="2"/>
      <c r="J27" s="1"/>
      <c r="K27" s="7"/>
      <c r="L27" s="9">
        <f t="shared" si="2"/>
        <v>1277707.497</v>
      </c>
      <c r="M27" s="10">
        <f t="shared" si="3"/>
        <v>1880564.862</v>
      </c>
      <c r="N27" s="9">
        <f t="shared" si="4"/>
        <v>0</v>
      </c>
      <c r="O27" s="11">
        <f t="shared" si="5"/>
        <v>0</v>
      </c>
      <c r="P27" s="11">
        <f t="shared" si="6"/>
        <v>1880564.862</v>
      </c>
      <c r="Q27" s="11">
        <f t="shared" si="7"/>
        <v>2387906.624</v>
      </c>
      <c r="R27" s="11">
        <f t="shared" si="8"/>
        <v>1591886.947</v>
      </c>
      <c r="S27" s="6" t="str">
        <f t="shared" si="9"/>
        <v>Distortion</v>
      </c>
      <c r="T27" s="11">
        <f>$Q27/(($C27+if($D27&lt;=$J27,$J27,$D27)))</f>
        <v>318387.5498</v>
      </c>
      <c r="V27" s="11">
        <f t="shared" si="11"/>
        <v>955162.6495</v>
      </c>
      <c r="W27" s="42">
        <f t="shared" si="12"/>
        <v>0.3333333333</v>
      </c>
    </row>
    <row r="28">
      <c r="B28" s="20" t="s">
        <v>245</v>
      </c>
      <c r="C28" s="20">
        <v>1.0</v>
      </c>
      <c r="D28" s="20">
        <v>2.0</v>
      </c>
      <c r="E28" s="23">
        <v>50578.0</v>
      </c>
      <c r="F28" s="23">
        <v>78606.0</v>
      </c>
      <c r="G28" s="41"/>
      <c r="H28" s="41"/>
      <c r="K28" s="3"/>
      <c r="L28" s="9">
        <f t="shared" si="2"/>
        <v>582506.826</v>
      </c>
      <c r="M28" s="10">
        <f t="shared" si="3"/>
        <v>905305.302</v>
      </c>
      <c r="N28" s="9">
        <f t="shared" si="4"/>
        <v>0</v>
      </c>
      <c r="O28" s="11">
        <f t="shared" si="5"/>
        <v>0</v>
      </c>
      <c r="P28" s="11">
        <f t="shared" si="6"/>
        <v>905305.302</v>
      </c>
      <c r="Q28" s="11">
        <f t="shared" si="7"/>
        <v>1136449.447</v>
      </c>
      <c r="R28" s="11">
        <f t="shared" si="8"/>
        <v>1136395.048</v>
      </c>
      <c r="S28" s="6" t="str">
        <f t="shared" si="9"/>
        <v>Dissolve</v>
      </c>
      <c r="T28" s="11">
        <f>$Q28/(($C28+$D28))</f>
        <v>378816.4825</v>
      </c>
      <c r="V28" s="11">
        <f t="shared" si="11"/>
        <v>505088.6433</v>
      </c>
      <c r="W28" s="42">
        <f t="shared" si="12"/>
        <v>0.75</v>
      </c>
    </row>
    <row r="29">
      <c r="A29" s="20">
        <v>1.0</v>
      </c>
      <c r="B29" s="20" t="s">
        <v>246</v>
      </c>
      <c r="C29" s="20">
        <v>2.5</v>
      </c>
      <c r="D29" s="20">
        <v>90.0</v>
      </c>
      <c r="E29" s="23">
        <v>129311.0</v>
      </c>
      <c r="F29" s="23">
        <v>180430.0</v>
      </c>
      <c r="G29" s="41"/>
      <c r="H29" s="41"/>
      <c r="I29" s="2"/>
      <c r="J29" s="1"/>
      <c r="K29" s="7"/>
      <c r="L29" s="9">
        <f t="shared" si="2"/>
        <v>1489274.787</v>
      </c>
      <c r="M29" s="10">
        <f t="shared" si="3"/>
        <v>2078012.31</v>
      </c>
      <c r="N29" s="9">
        <f t="shared" si="4"/>
        <v>0</v>
      </c>
      <c r="O29" s="11">
        <f t="shared" si="5"/>
        <v>0</v>
      </c>
      <c r="P29" s="11">
        <f t="shared" si="6"/>
        <v>2078012.31</v>
      </c>
      <c r="Q29" s="11">
        <f t="shared" si="7"/>
        <v>2673217.073</v>
      </c>
      <c r="R29" s="11">
        <f t="shared" si="8"/>
        <v>1069266.355</v>
      </c>
      <c r="S29" s="6" t="str">
        <f t="shared" si="9"/>
        <v>Rift</v>
      </c>
      <c r="T29" s="11">
        <f t="shared" ref="T29:T31" si="17">$Q29/(($C29+if($D29&lt;=$J29,$J29,$D29)))</f>
        <v>28899.64403</v>
      </c>
      <c r="V29" s="11">
        <f t="shared" si="11"/>
        <v>866989.3209</v>
      </c>
      <c r="W29" s="42">
        <f t="shared" si="12"/>
        <v>0.03333333333</v>
      </c>
    </row>
    <row r="30">
      <c r="A30" s="20">
        <v>1.0</v>
      </c>
      <c r="B30" s="20" t="s">
        <v>247</v>
      </c>
      <c r="C30" s="20">
        <v>2.0</v>
      </c>
      <c r="D30" s="20">
        <v>6.0</v>
      </c>
      <c r="E30" s="23">
        <v>89333.0</v>
      </c>
      <c r="F30" s="23">
        <v>130522.0</v>
      </c>
      <c r="G30" s="41"/>
      <c r="H30" s="41"/>
      <c r="I30" s="2"/>
      <c r="K30" s="3"/>
      <c r="L30" s="9">
        <f t="shared" si="2"/>
        <v>1028848.161</v>
      </c>
      <c r="M30" s="10">
        <f t="shared" si="3"/>
        <v>1503221.874</v>
      </c>
      <c r="N30" s="9">
        <f t="shared" si="4"/>
        <v>0</v>
      </c>
      <c r="O30" s="11">
        <f t="shared" si="5"/>
        <v>0</v>
      </c>
      <c r="P30" s="11">
        <f t="shared" si="6"/>
        <v>1503221.874</v>
      </c>
      <c r="Q30" s="11">
        <f t="shared" si="7"/>
        <v>1911977.298</v>
      </c>
      <c r="R30" s="11">
        <f t="shared" si="8"/>
        <v>955965.7683</v>
      </c>
      <c r="S30" s="6" t="str">
        <f t="shared" si="9"/>
        <v>Abso</v>
      </c>
      <c r="T30" s="11">
        <f t="shared" si="17"/>
        <v>238997.1623</v>
      </c>
      <c r="V30" s="11">
        <f t="shared" si="11"/>
        <v>573593.1895</v>
      </c>
      <c r="W30" s="42">
        <f t="shared" si="12"/>
        <v>0.4166666667</v>
      </c>
    </row>
    <row r="31">
      <c r="A31" s="20">
        <v>1.0</v>
      </c>
      <c r="B31" s="20" t="s">
        <v>248</v>
      </c>
      <c r="C31" s="20">
        <v>1.5</v>
      </c>
      <c r="D31" s="20">
        <v>4.5</v>
      </c>
      <c r="E31" s="23">
        <v>48040.0</v>
      </c>
      <c r="F31" s="23">
        <v>66347.0</v>
      </c>
      <c r="G31" s="41"/>
      <c r="H31" s="41"/>
      <c r="I31" s="2"/>
      <c r="K31" s="3"/>
      <c r="L31" s="9">
        <f t="shared" si="2"/>
        <v>553276.68</v>
      </c>
      <c r="M31" s="10">
        <f t="shared" si="3"/>
        <v>764118.399</v>
      </c>
      <c r="N31" s="9">
        <f t="shared" si="4"/>
        <v>0</v>
      </c>
      <c r="O31" s="11">
        <f t="shared" si="5"/>
        <v>0</v>
      </c>
      <c r="P31" s="11">
        <f t="shared" si="6"/>
        <v>764118.399</v>
      </c>
      <c r="Q31" s="11">
        <f t="shared" si="7"/>
        <v>985655.9863</v>
      </c>
      <c r="R31" s="11">
        <f t="shared" si="8"/>
        <v>657083.0213</v>
      </c>
      <c r="S31" s="6" t="str">
        <f t="shared" si="9"/>
        <v>Dark Nebula</v>
      </c>
      <c r="T31" s="11">
        <f t="shared" si="17"/>
        <v>164275.9977</v>
      </c>
      <c r="V31" s="11">
        <f t="shared" si="11"/>
        <v>369620.9949</v>
      </c>
      <c r="W31" s="42">
        <f t="shared" si="12"/>
        <v>0.4444444444</v>
      </c>
    </row>
    <row r="32">
      <c r="J32" s="2"/>
      <c r="L32" s="3"/>
      <c r="M32" s="9"/>
      <c r="N32" s="10"/>
      <c r="O32" s="9"/>
      <c r="P32" s="11"/>
      <c r="Q32" s="11"/>
      <c r="R32" s="11"/>
      <c r="S32" s="11"/>
      <c r="U32" s="11"/>
      <c r="V32" s="11"/>
      <c r="W32" s="31"/>
    </row>
    <row r="33">
      <c r="I33" s="2"/>
      <c r="K33" s="3"/>
      <c r="L33" s="9"/>
      <c r="M33" s="10"/>
      <c r="N33" s="9"/>
      <c r="O33" s="11"/>
      <c r="P33" s="11"/>
      <c r="Q33" s="11"/>
      <c r="R33" s="11"/>
      <c r="T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D35" s="20"/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E46" s="1"/>
      <c r="F46" s="1"/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E47" s="1"/>
      <c r="F47" s="1"/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E48" s="6"/>
      <c r="F48" s="1"/>
      <c r="G48" s="6"/>
      <c r="H48" s="6"/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E49" s="1"/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E50" s="6"/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8">E27</f>
        <v>110941</v>
      </c>
      <c r="G61" s="6">
        <f t="shared" si="18"/>
        <v>163286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19">F$61*0.85^($E62-1)</f>
        <v>110941</v>
      </c>
      <c r="G62" s="6">
        <f t="shared" si="19"/>
        <v>163286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20">F$61*0.85^($D63-1)</f>
        <v>94299.85</v>
      </c>
      <c r="F63" s="6">
        <f t="shared" si="20"/>
        <v>138793.1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22">D63+1</f>
        <v>3</v>
      </c>
      <c r="E64" s="6">
        <f t="shared" ref="E64:F64" si="21">F$61*0.85^($D64-1)</f>
        <v>80154.8725</v>
      </c>
      <c r="F64" s="6">
        <f t="shared" si="21"/>
        <v>117974.135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22"/>
        <v>4</v>
      </c>
      <c r="E65" s="6">
        <f t="shared" ref="E65:F65" si="23">F$61*0.85^($D65-1)</f>
        <v>68131.64163</v>
      </c>
      <c r="F65" s="6">
        <f t="shared" si="23"/>
        <v>100278.0148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22"/>
        <v>5</v>
      </c>
      <c r="E66" s="6">
        <f t="shared" ref="E66:F66" si="24">F$61*0.85^($D66-1)</f>
        <v>57911.89538</v>
      </c>
      <c r="F66" s="6">
        <f t="shared" si="24"/>
        <v>85236.31254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22"/>
        <v>6</v>
      </c>
      <c r="E67" s="6">
        <f t="shared" ref="E67:F67" si="25">F$61*0.85^($D67-1)</f>
        <v>49225.11107</v>
      </c>
      <c r="F67" s="6">
        <f t="shared" si="25"/>
        <v>72450.86566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22"/>
        <v>7</v>
      </c>
      <c r="E68" s="6">
        <f t="shared" ref="E68:F68" si="26">F$61*0.85^($D68-1)</f>
        <v>41841.34441</v>
      </c>
      <c r="F68" s="6">
        <f t="shared" si="26"/>
        <v>61583.23581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22"/>
        <v>8</v>
      </c>
      <c r="E69" s="6">
        <f t="shared" ref="E69:F69" si="27">F$61*0.85^($D69-1)</f>
        <v>35565.14275</v>
      </c>
      <c r="F69" s="6">
        <f t="shared" si="27"/>
        <v>52345.75044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22"/>
        <v>9</v>
      </c>
      <c r="E70" s="6">
        <f t="shared" ref="E70:F70" si="28">F$61*0.85^($D70-1)</f>
        <v>30230.37134</v>
      </c>
      <c r="F70" s="6">
        <f t="shared" si="28"/>
        <v>44493.88787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22"/>
        <v>10</v>
      </c>
      <c r="E71" s="6">
        <f t="shared" ref="E71:F71" si="29">F$61*0.85^($D71-1)</f>
        <v>25695.81564</v>
      </c>
      <c r="F71" s="6">
        <f t="shared" si="29"/>
        <v>37819.80469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22"/>
        <v>11</v>
      </c>
      <c r="E72" s="6">
        <f t="shared" ref="E72:F72" si="30">F$61*0.85^($D72-1)</f>
        <v>21841.44329</v>
      </c>
      <c r="F72" s="6">
        <f t="shared" si="30"/>
        <v>32146.83399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22"/>
        <v>12</v>
      </c>
      <c r="E73" s="6">
        <f t="shared" ref="E73:F73" si="31">F$61*0.85^($D73-1)</f>
        <v>18565.2268</v>
      </c>
      <c r="F73" s="6">
        <f t="shared" si="31"/>
        <v>27324.80889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22"/>
        <v>13</v>
      </c>
      <c r="E74" s="6">
        <f t="shared" ref="E74:F74" si="32">F$61*0.85^($D74-1)</f>
        <v>15780.44278</v>
      </c>
      <c r="F74" s="6">
        <f t="shared" si="32"/>
        <v>23226.08756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22"/>
        <v>14</v>
      </c>
      <c r="E75" s="6">
        <f t="shared" ref="E75:F75" si="33">F$61*0.85^($D75-1)</f>
        <v>13413.37636</v>
      </c>
      <c r="F75" s="6">
        <f t="shared" si="33"/>
        <v>19742.17442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22"/>
        <v>15</v>
      </c>
      <c r="E76" s="6">
        <f t="shared" ref="E76:F76" si="34">F$61*0.85^($D76-1)</f>
        <v>11401.36991</v>
      </c>
      <c r="F76" s="6">
        <f t="shared" si="34"/>
        <v>16780.84826</v>
      </c>
      <c r="I76" s="2"/>
      <c r="K76" s="3"/>
      <c r="L76" s="4"/>
    </row>
    <row r="77">
      <c r="B77" s="1" t="s">
        <v>90</v>
      </c>
      <c r="D77" s="6">
        <f t="shared" si="22"/>
        <v>16</v>
      </c>
      <c r="E77" s="6">
        <f t="shared" ref="E77:F77" si="35">F$61*0.85^($D77-1)</f>
        <v>9691.164421</v>
      </c>
      <c r="F77" s="6">
        <f t="shared" si="35"/>
        <v>14263.72102</v>
      </c>
      <c r="I77" s="2"/>
      <c r="K77" s="3"/>
      <c r="L77" s="4"/>
    </row>
    <row r="78">
      <c r="D78" s="6">
        <f t="shared" si="22"/>
        <v>17</v>
      </c>
      <c r="E78" s="6">
        <f t="shared" ref="E78:F78" si="36">F$61*0.85^($D78-1)</f>
        <v>8237.489758</v>
      </c>
      <c r="F78" s="6">
        <f t="shared" si="36"/>
        <v>12124.16287</v>
      </c>
      <c r="I78" s="2"/>
      <c r="K78" s="3"/>
      <c r="L78" s="4"/>
    </row>
    <row r="79">
      <c r="D79" s="6">
        <f t="shared" si="22"/>
        <v>18</v>
      </c>
      <c r="E79" s="6">
        <f t="shared" ref="E79:F79" si="37">F$61*0.85^($D79-1)</f>
        <v>7001.866294</v>
      </c>
      <c r="F79" s="6">
        <f t="shared" si="37"/>
        <v>10305.53844</v>
      </c>
      <c r="I79" s="2"/>
      <c r="K79" s="3"/>
      <c r="L79" s="4"/>
    </row>
    <row r="80">
      <c r="D80" s="6">
        <f t="shared" si="22"/>
        <v>19</v>
      </c>
      <c r="E80" s="6">
        <f t="shared" ref="E80:F80" si="38">F$61*0.85^($D80-1)</f>
        <v>5951.58635</v>
      </c>
      <c r="F80" s="6">
        <f t="shared" si="38"/>
        <v>8759.707672</v>
      </c>
      <c r="I80" s="2"/>
      <c r="K80" s="3"/>
      <c r="L80" s="4"/>
    </row>
    <row r="81">
      <c r="D81" s="6">
        <f t="shared" si="22"/>
        <v>20</v>
      </c>
      <c r="E81" s="6">
        <f t="shared" ref="E81:F81" si="39">F$61*0.85^($D81-1)</f>
        <v>5058.848398</v>
      </c>
      <c r="F81" s="6">
        <f t="shared" si="39"/>
        <v>7445.751521</v>
      </c>
      <c r="I81" s="2"/>
      <c r="K81" s="3"/>
      <c r="L81" s="4"/>
    </row>
    <row r="82">
      <c r="E82" s="6">
        <f t="shared" ref="E82:F82" si="40">sum(E63:E81)</f>
        <v>599998.8591</v>
      </c>
      <c r="F82" s="6">
        <f t="shared" si="40"/>
        <v>883094.7414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B86" s="1" t="s">
        <v>95</v>
      </c>
      <c r="C86" s="1">
        <v>2.0</v>
      </c>
      <c r="D86" s="1">
        <v>0.0</v>
      </c>
      <c r="E86" s="6">
        <f t="shared" ref="E86:E88" si="41">C86*150</f>
        <v>300</v>
      </c>
      <c r="I86" s="2"/>
      <c r="K86" s="3"/>
      <c r="L86" s="4"/>
    </row>
    <row r="87">
      <c r="B87" s="1" t="s">
        <v>96</v>
      </c>
      <c r="C87" s="1">
        <v>2.0</v>
      </c>
      <c r="D87" s="1">
        <v>0.0</v>
      </c>
      <c r="E87" s="6">
        <f t="shared" si="41"/>
        <v>300</v>
      </c>
      <c r="I87" s="2"/>
      <c r="K87" s="3"/>
      <c r="L87" s="4"/>
    </row>
    <row r="88">
      <c r="B88" s="1" t="s">
        <v>97</v>
      </c>
      <c r="C88" s="1">
        <v>1.5</v>
      </c>
      <c r="D88" s="19">
        <v>0.35</v>
      </c>
      <c r="E88" s="6">
        <f t="shared" si="41"/>
        <v>225</v>
      </c>
      <c r="F88" s="6">
        <f>E88*D88</f>
        <v>78.75</v>
      </c>
      <c r="I88" s="2"/>
      <c r="K88" s="3"/>
      <c r="L88" s="4"/>
    </row>
    <row r="89">
      <c r="E89" s="6">
        <f>sum(E86:E88)</f>
        <v>825</v>
      </c>
      <c r="F89" s="6">
        <f>F88/E89</f>
        <v>0.09545454545</v>
      </c>
      <c r="I89" s="2"/>
      <c r="K89" s="3"/>
      <c r="L89" s="4"/>
    </row>
    <row r="90">
      <c r="E90" s="1" t="s">
        <v>98</v>
      </c>
      <c r="F90" s="1" t="s">
        <v>99</v>
      </c>
      <c r="I90" s="2"/>
      <c r="K90" s="3"/>
      <c r="L90" s="4"/>
    </row>
    <row r="91">
      <c r="B91" s="1" t="s">
        <v>100</v>
      </c>
      <c r="C91" s="21">
        <v>0.71875</v>
      </c>
      <c r="D91" s="19">
        <v>0.0</v>
      </c>
      <c r="I91" s="2"/>
      <c r="K91" s="3"/>
      <c r="L91" s="4"/>
    </row>
    <row r="92">
      <c r="C92" s="21">
        <v>0.7708333333333334</v>
      </c>
      <c r="D92" s="19">
        <v>9.0E-4</v>
      </c>
      <c r="E92" s="1" t="s">
        <v>101</v>
      </c>
      <c r="F92" s="6">
        <f>F88*2/3</f>
        <v>52.5</v>
      </c>
      <c r="G92" s="1" t="s">
        <v>102</v>
      </c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W$31">
    <sortState ref="A7:W31">
      <sortCondition descending="1" ref="R7:R31"/>
      <sortCondition descending="1" ref="V7:V31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3" width="15.13"/>
  </cols>
  <sheetData>
    <row r="1">
      <c r="A1" s="1" t="s">
        <v>0</v>
      </c>
      <c r="B1" s="2">
        <f>1035.9%+130%</f>
        <v>11.659</v>
      </c>
      <c r="I1" s="2"/>
      <c r="K1" s="3"/>
      <c r="L1" s="4"/>
      <c r="W1" s="31"/>
    </row>
    <row r="2">
      <c r="A2" s="1" t="s">
        <v>1</v>
      </c>
      <c r="B2" s="5">
        <v>0.854</v>
      </c>
      <c r="E2" s="20">
        <v>7608.0</v>
      </c>
      <c r="F2" s="20">
        <v>11411.0</v>
      </c>
      <c r="I2" s="2"/>
      <c r="K2" s="3"/>
      <c r="L2" s="4"/>
      <c r="W2" s="31"/>
    </row>
    <row r="3">
      <c r="A3" s="1" t="s">
        <v>2</v>
      </c>
      <c r="B3" s="19">
        <v>0.38</v>
      </c>
      <c r="C3" s="20" t="s">
        <v>249</v>
      </c>
      <c r="D3" s="20" t="s">
        <v>187</v>
      </c>
      <c r="E3" s="20" t="s">
        <v>250</v>
      </c>
      <c r="F3" s="20" t="s">
        <v>251</v>
      </c>
      <c r="I3" s="2"/>
      <c r="K3" s="3"/>
      <c r="L3" s="4"/>
      <c r="W3" s="31"/>
    </row>
    <row r="4">
      <c r="A4" s="1" t="s">
        <v>3</v>
      </c>
      <c r="B4" s="20">
        <v>1.0</v>
      </c>
      <c r="C4" s="38">
        <v>0.38</v>
      </c>
      <c r="D4" s="20">
        <v>35451.0</v>
      </c>
      <c r="E4" s="20">
        <v>1247.0</v>
      </c>
      <c r="F4" s="20">
        <v>1067.0</v>
      </c>
      <c r="G4" s="20" t="s">
        <v>252</v>
      </c>
      <c r="I4" s="2"/>
      <c r="K4" s="3"/>
      <c r="L4" s="4"/>
      <c r="W4" s="31"/>
    </row>
    <row r="5">
      <c r="B5" s="2"/>
      <c r="D5" s="20">
        <v>24901.0</v>
      </c>
      <c r="E5" s="20">
        <v>1041.0</v>
      </c>
      <c r="F5" s="20">
        <v>1131.0</v>
      </c>
      <c r="G5" s="20" t="s">
        <v>253</v>
      </c>
      <c r="I5" s="2"/>
      <c r="K5" s="3"/>
      <c r="L5" s="4"/>
      <c r="W5" s="31"/>
    </row>
    <row r="6">
      <c r="B6" s="2"/>
      <c r="I6" s="2"/>
      <c r="K6" s="3"/>
      <c r="L6" s="4"/>
      <c r="W6" s="31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  <c r="V7" s="20" t="s">
        <v>254</v>
      </c>
      <c r="W7" s="43"/>
    </row>
    <row r="8">
      <c r="B8" s="1"/>
      <c r="C8" s="1"/>
      <c r="D8" s="1"/>
      <c r="E8" s="1"/>
      <c r="F8" s="1"/>
      <c r="I8" s="2"/>
      <c r="J8" s="1"/>
      <c r="K8" s="7"/>
      <c r="L8" s="9">
        <f t="shared" ref="L8:L31" si="1">if(E8*($B$1+$I8)&lt;(F8+1),F8+1,E8*($I8+$B$1))</f>
        <v>1</v>
      </c>
      <c r="M8" s="10">
        <f t="shared" ref="M8:M31" si="2">F8*($B$1+$I8)</f>
        <v>0</v>
      </c>
      <c r="N8" s="9">
        <f t="shared" ref="N8:N31" si="3">if(if(G8*($B$1+$I8)&lt;(H8+1),H8+1,G8*($I8+$B$1))=1,0,if(G8*($B$1+$I8)&lt;(H8+1),H8+1,G8*($I8+$B$1)))</f>
        <v>0</v>
      </c>
      <c r="O8" s="11" t="str">
        <f t="shared" ref="O8:O31" si="4">if(H8*($B$1+$I8)&gt;0,H8*($B$1+$I8)," ")</f>
        <v> </v>
      </c>
      <c r="P8" s="11" t="str">
        <f t="shared" ref="P8:P31" si="5">IFERROR(if(M8+O8*K8*J8&gt;0,M8+O8*K8*J8," ")," ")</f>
        <v> </v>
      </c>
      <c r="Q8" s="11" t="str">
        <f t="shared" ref="Q8:Q31" si="6">IFERROR((if($A8=1,$B$4,1)*((L8*E8+F8*M8)/(E8+F8)+if(G8&gt;0,(N8*G8+H8*O8)/(G8+H8)*J8*K8,0)))*(if($U8=0,1+$B$3,1))," ")</f>
        <v> </v>
      </c>
      <c r="R8" s="11" t="str">
        <f t="shared" ref="R8:R31" si="7">iferror(Q8/(C8+0.5*(1/(1+$B$5)))," ")</f>
        <v> </v>
      </c>
      <c r="S8" s="6" t="str">
        <f t="shared" ref="S8:S31" si="8">B8</f>
        <v/>
      </c>
      <c r="T8" s="11" t="str">
        <f t="shared" ref="T8:T31" si="9">IFERROR($Q8/(($C8+$D8))," ")</f>
        <v> </v>
      </c>
      <c r="W8" s="31"/>
    </row>
    <row r="9">
      <c r="B9" s="1"/>
      <c r="C9" s="1"/>
      <c r="D9" s="1"/>
      <c r="E9" s="1"/>
      <c r="F9" s="1"/>
      <c r="G9" s="1"/>
      <c r="H9" s="1"/>
      <c r="I9" s="2"/>
      <c r="J9" s="1"/>
      <c r="K9" s="12"/>
      <c r="L9" s="9">
        <f t="shared" si="1"/>
        <v>1</v>
      </c>
      <c r="M9" s="10">
        <f t="shared" si="2"/>
        <v>0</v>
      </c>
      <c r="N9" s="9">
        <f t="shared" si="3"/>
        <v>0</v>
      </c>
      <c r="O9" s="11" t="str">
        <f t="shared" si="4"/>
        <v> </v>
      </c>
      <c r="P9" s="11" t="str">
        <f t="shared" si="5"/>
        <v> </v>
      </c>
      <c r="Q9" s="11" t="str">
        <f t="shared" si="6"/>
        <v> </v>
      </c>
      <c r="R9" s="11" t="str">
        <f t="shared" si="7"/>
        <v> </v>
      </c>
      <c r="S9" s="6" t="str">
        <f t="shared" si="8"/>
        <v/>
      </c>
      <c r="T9" s="11" t="str">
        <f t="shared" si="9"/>
        <v> </v>
      </c>
      <c r="W9" s="31"/>
    </row>
    <row r="10">
      <c r="B10" s="1"/>
      <c r="C10" s="1"/>
      <c r="D10" s="1"/>
      <c r="E10" s="1"/>
      <c r="F10" s="1"/>
      <c r="I10" s="2"/>
      <c r="K10" s="3"/>
      <c r="L10" s="9">
        <f t="shared" si="1"/>
        <v>1</v>
      </c>
      <c r="M10" s="10">
        <f t="shared" si="2"/>
        <v>0</v>
      </c>
      <c r="N10" s="9">
        <f t="shared" si="3"/>
        <v>0</v>
      </c>
      <c r="O10" s="11" t="str">
        <f t="shared" si="4"/>
        <v> </v>
      </c>
      <c r="P10" s="11" t="str">
        <f t="shared" si="5"/>
        <v> </v>
      </c>
      <c r="Q10" s="11" t="str">
        <f t="shared" si="6"/>
        <v> </v>
      </c>
      <c r="R10" s="11" t="str">
        <f t="shared" si="7"/>
        <v> </v>
      </c>
      <c r="S10" s="6" t="str">
        <f t="shared" si="8"/>
        <v/>
      </c>
      <c r="T10" s="11" t="str">
        <f t="shared" si="9"/>
        <v> </v>
      </c>
      <c r="W10" s="31"/>
    </row>
    <row r="11">
      <c r="B11" s="1"/>
      <c r="C11" s="1"/>
      <c r="D11" s="1"/>
      <c r="E11" s="1"/>
      <c r="F11" s="1"/>
      <c r="G11" s="6"/>
      <c r="H11" s="6"/>
      <c r="I11" s="2"/>
      <c r="J11" s="1"/>
      <c r="K11" s="7"/>
      <c r="L11" s="9">
        <f t="shared" si="1"/>
        <v>1</v>
      </c>
      <c r="M11" s="10">
        <f t="shared" si="2"/>
        <v>0</v>
      </c>
      <c r="N11" s="9">
        <f t="shared" si="3"/>
        <v>0</v>
      </c>
      <c r="O11" s="11" t="str">
        <f t="shared" si="4"/>
        <v> </v>
      </c>
      <c r="P11" s="11" t="str">
        <f t="shared" si="5"/>
        <v> </v>
      </c>
      <c r="Q11" s="11" t="str">
        <f t="shared" si="6"/>
        <v> </v>
      </c>
      <c r="R11" s="11" t="str">
        <f t="shared" si="7"/>
        <v> </v>
      </c>
      <c r="S11" s="6" t="str">
        <f t="shared" si="8"/>
        <v/>
      </c>
      <c r="T11" s="11" t="str">
        <f t="shared" si="9"/>
        <v> </v>
      </c>
      <c r="W11" s="31"/>
    </row>
    <row r="12">
      <c r="A12" s="1"/>
      <c r="B12" s="1"/>
      <c r="C12" s="1"/>
      <c r="D12" s="1"/>
      <c r="E12" s="1"/>
      <c r="F12" s="1"/>
      <c r="G12" s="1"/>
      <c r="H12" s="1"/>
      <c r="I12" s="2"/>
      <c r="J12" s="1"/>
      <c r="K12" s="12"/>
      <c r="L12" s="9">
        <f t="shared" si="1"/>
        <v>1</v>
      </c>
      <c r="M12" s="10">
        <f t="shared" si="2"/>
        <v>0</v>
      </c>
      <c r="N12" s="9">
        <f t="shared" si="3"/>
        <v>0</v>
      </c>
      <c r="O12" s="11" t="str">
        <f t="shared" si="4"/>
        <v> </v>
      </c>
      <c r="P12" s="11" t="str">
        <f t="shared" si="5"/>
        <v> </v>
      </c>
      <c r="Q12" s="11" t="str">
        <f t="shared" si="6"/>
        <v> </v>
      </c>
      <c r="R12" s="11" t="str">
        <f t="shared" si="7"/>
        <v> </v>
      </c>
      <c r="S12" s="6" t="str">
        <f t="shared" si="8"/>
        <v/>
      </c>
      <c r="T12" s="11" t="str">
        <f t="shared" si="9"/>
        <v> </v>
      </c>
      <c r="W12" s="31"/>
    </row>
    <row r="13">
      <c r="B13" s="1"/>
      <c r="C13" s="1"/>
      <c r="D13" s="1"/>
      <c r="E13" s="1"/>
      <c r="F13" s="1"/>
      <c r="J13" s="2"/>
      <c r="K13" s="3"/>
      <c r="L13" s="9">
        <f t="shared" si="1"/>
        <v>1</v>
      </c>
      <c r="M13" s="10">
        <f t="shared" si="2"/>
        <v>0</v>
      </c>
      <c r="N13" s="9">
        <f t="shared" si="3"/>
        <v>0</v>
      </c>
      <c r="O13" s="11" t="str">
        <f t="shared" si="4"/>
        <v> </v>
      </c>
      <c r="P13" s="11" t="str">
        <f t="shared" si="5"/>
        <v> </v>
      </c>
      <c r="Q13" s="11" t="str">
        <f t="shared" si="6"/>
        <v> </v>
      </c>
      <c r="R13" s="11" t="str">
        <f t="shared" si="7"/>
        <v> </v>
      </c>
      <c r="S13" s="6" t="str">
        <f t="shared" si="8"/>
        <v/>
      </c>
      <c r="T13" s="11" t="str">
        <f t="shared" si="9"/>
        <v> </v>
      </c>
      <c r="U13" s="11"/>
      <c r="V13" s="11"/>
      <c r="W13" s="31"/>
    </row>
    <row r="14">
      <c r="A14" s="1"/>
      <c r="B14" s="1"/>
      <c r="C14" s="1"/>
      <c r="D14" s="1"/>
      <c r="E14" s="1"/>
      <c r="F14" s="1"/>
      <c r="I14" s="2"/>
      <c r="K14" s="3"/>
      <c r="L14" s="9">
        <f t="shared" si="1"/>
        <v>1</v>
      </c>
      <c r="M14" s="10">
        <f t="shared" si="2"/>
        <v>0</v>
      </c>
      <c r="N14" s="9">
        <f t="shared" si="3"/>
        <v>0</v>
      </c>
      <c r="O14" s="11" t="str">
        <f t="shared" si="4"/>
        <v> </v>
      </c>
      <c r="P14" s="11" t="str">
        <f t="shared" si="5"/>
        <v> </v>
      </c>
      <c r="Q14" s="11" t="str">
        <f t="shared" si="6"/>
        <v> </v>
      </c>
      <c r="R14" s="11" t="str">
        <f t="shared" si="7"/>
        <v> </v>
      </c>
      <c r="S14" s="6" t="str">
        <f t="shared" si="8"/>
        <v/>
      </c>
      <c r="T14" s="11" t="str">
        <f t="shared" si="9"/>
        <v> </v>
      </c>
      <c r="W14" s="31"/>
    </row>
    <row r="15">
      <c r="B15" s="1"/>
      <c r="C15" s="1"/>
      <c r="D15" s="1"/>
      <c r="E15" s="1"/>
      <c r="F15" s="1"/>
      <c r="I15" s="2"/>
      <c r="K15" s="3"/>
      <c r="L15" s="9">
        <f t="shared" si="1"/>
        <v>1</v>
      </c>
      <c r="M15" s="10">
        <f t="shared" si="2"/>
        <v>0</v>
      </c>
      <c r="N15" s="9">
        <f t="shared" si="3"/>
        <v>0</v>
      </c>
      <c r="O15" s="11" t="str">
        <f t="shared" si="4"/>
        <v> </v>
      </c>
      <c r="P15" s="11" t="str">
        <f t="shared" si="5"/>
        <v> </v>
      </c>
      <c r="Q15" s="11" t="str">
        <f t="shared" si="6"/>
        <v> </v>
      </c>
      <c r="R15" s="11" t="str">
        <f t="shared" si="7"/>
        <v> </v>
      </c>
      <c r="S15" s="6" t="str">
        <f t="shared" si="8"/>
        <v/>
      </c>
      <c r="T15" s="11" t="str">
        <f t="shared" si="9"/>
        <v> </v>
      </c>
      <c r="W15" s="31"/>
    </row>
    <row r="16">
      <c r="A16" s="1"/>
      <c r="B16" s="1"/>
      <c r="C16" s="1"/>
      <c r="D16" s="1"/>
      <c r="E16" s="1"/>
      <c r="F16" s="1"/>
      <c r="I16" s="2"/>
      <c r="K16" s="3"/>
      <c r="L16" s="9">
        <f t="shared" si="1"/>
        <v>1</v>
      </c>
      <c r="M16" s="10">
        <f t="shared" si="2"/>
        <v>0</v>
      </c>
      <c r="N16" s="9">
        <f t="shared" si="3"/>
        <v>0</v>
      </c>
      <c r="O16" s="11" t="str">
        <f t="shared" si="4"/>
        <v> </v>
      </c>
      <c r="P16" s="11" t="str">
        <f t="shared" si="5"/>
        <v> </v>
      </c>
      <c r="Q16" s="11" t="str">
        <f t="shared" si="6"/>
        <v> </v>
      </c>
      <c r="R16" s="11" t="str">
        <f t="shared" si="7"/>
        <v> </v>
      </c>
      <c r="S16" s="6" t="str">
        <f t="shared" si="8"/>
        <v/>
      </c>
      <c r="T16" s="11" t="str">
        <f t="shared" si="9"/>
        <v> </v>
      </c>
      <c r="W16" s="31"/>
    </row>
    <row r="17">
      <c r="A17" s="1"/>
      <c r="B17" s="20" t="s">
        <v>255</v>
      </c>
      <c r="C17" s="20">
        <v>1.0</v>
      </c>
      <c r="D17" s="20">
        <v>1.5</v>
      </c>
      <c r="E17" s="20">
        <v>59862.0</v>
      </c>
      <c r="F17" s="20">
        <v>69918.0</v>
      </c>
      <c r="G17" s="26">
        <v>17103.0</v>
      </c>
      <c r="H17" s="26">
        <v>19977.0</v>
      </c>
      <c r="I17" s="2"/>
      <c r="J17" s="20">
        <v>1.0</v>
      </c>
      <c r="K17" s="25">
        <v>1.0</v>
      </c>
      <c r="L17" s="9">
        <f t="shared" si="1"/>
        <v>697931.058</v>
      </c>
      <c r="M17" s="10">
        <f t="shared" si="2"/>
        <v>815173.962</v>
      </c>
      <c r="N17" s="9">
        <f t="shared" si="3"/>
        <v>199403.877</v>
      </c>
      <c r="O17" s="11">
        <f t="shared" si="4"/>
        <v>232911.843</v>
      </c>
      <c r="P17" s="11">
        <f t="shared" si="5"/>
        <v>1048085.805</v>
      </c>
      <c r="Q17" s="11">
        <f t="shared" si="6"/>
        <v>1350400.685</v>
      </c>
      <c r="R17" s="11">
        <f t="shared" si="7"/>
        <v>900267.1233</v>
      </c>
      <c r="S17" s="6" t="str">
        <f t="shared" si="8"/>
        <v>DawnstrikeSpell</v>
      </c>
      <c r="T17" s="11">
        <f t="shared" si="9"/>
        <v>540160.274</v>
      </c>
      <c r="V17" s="41">
        <f t="shared" ref="V17:V31" si="10">T17*(1-(C17+0.5*(1/(1+$B$2)))/D17)</f>
        <v>82937.23013</v>
      </c>
      <c r="W17" s="31">
        <f t="shared" ref="W17:W31" si="11">(C17+0.5*(1/(1+$B$2)))/D17</f>
        <v>0.8464581086</v>
      </c>
    </row>
    <row r="18">
      <c r="B18" s="20" t="s">
        <v>256</v>
      </c>
      <c r="C18" s="20">
        <v>1.0</v>
      </c>
      <c r="D18" s="20">
        <v>4.0</v>
      </c>
      <c r="E18" s="20">
        <v>88022.0</v>
      </c>
      <c r="F18" s="20">
        <v>96853.0</v>
      </c>
      <c r="G18" s="20">
        <v>26285.0</v>
      </c>
      <c r="H18" s="20">
        <v>30701.0</v>
      </c>
      <c r="J18" s="20">
        <v>1.0</v>
      </c>
      <c r="K18" s="25">
        <v>1.0</v>
      </c>
      <c r="L18" s="9">
        <f t="shared" si="1"/>
        <v>1026248.498</v>
      </c>
      <c r="M18" s="10">
        <f t="shared" si="2"/>
        <v>1129209.127</v>
      </c>
      <c r="N18" s="9">
        <f t="shared" si="3"/>
        <v>306456.815</v>
      </c>
      <c r="O18" s="11">
        <f t="shared" si="4"/>
        <v>357942.959</v>
      </c>
      <c r="P18" s="11">
        <f t="shared" si="5"/>
        <v>1487152.086</v>
      </c>
      <c r="Q18" s="11">
        <f t="shared" si="6"/>
        <v>1951848.1</v>
      </c>
      <c r="R18" s="11">
        <f t="shared" si="7"/>
        <v>1301232.067</v>
      </c>
      <c r="S18" s="6" t="str">
        <f t="shared" si="8"/>
        <v>Icefall Spell
</v>
      </c>
      <c r="T18" s="11">
        <f t="shared" si="9"/>
        <v>390369.6201</v>
      </c>
      <c r="V18" s="41">
        <f t="shared" si="10"/>
        <v>266457.7962</v>
      </c>
      <c r="W18" s="31">
        <f t="shared" si="11"/>
        <v>0.3174217907</v>
      </c>
    </row>
    <row r="19">
      <c r="B19" s="20" t="s">
        <v>257</v>
      </c>
      <c r="C19" s="20">
        <v>0.25</v>
      </c>
      <c r="D19" s="20">
        <v>4.0</v>
      </c>
      <c r="E19" s="1">
        <f>69488</f>
        <v>69488</v>
      </c>
      <c r="F19" s="20">
        <v>79903.0</v>
      </c>
      <c r="G19" s="44">
        <v>18674.0</v>
      </c>
      <c r="H19" s="26">
        <v>22824.0</v>
      </c>
      <c r="I19" s="2"/>
      <c r="J19" s="20">
        <v>1.0</v>
      </c>
      <c r="K19" s="7">
        <v>1.0</v>
      </c>
      <c r="L19" s="9">
        <f t="shared" si="1"/>
        <v>810160.592</v>
      </c>
      <c r="M19" s="10">
        <f t="shared" si="2"/>
        <v>931589.077</v>
      </c>
      <c r="N19" s="9">
        <f t="shared" si="3"/>
        <v>217720.166</v>
      </c>
      <c r="O19" s="11">
        <f t="shared" si="4"/>
        <v>266105.016</v>
      </c>
      <c r="P19" s="11">
        <f t="shared" si="5"/>
        <v>1197694.093</v>
      </c>
      <c r="Q19" s="11">
        <f t="shared" si="6"/>
        <v>1544826.595</v>
      </c>
      <c r="R19" s="11">
        <f t="shared" si="7"/>
        <v>2059768.794</v>
      </c>
      <c r="S19" s="6" t="str">
        <f t="shared" si="8"/>
        <v>DawnstrikeAA</v>
      </c>
      <c r="T19" s="11">
        <f t="shared" si="9"/>
        <v>363488.6107</v>
      </c>
      <c r="V19" s="41">
        <f t="shared" si="10"/>
        <v>316263.5195</v>
      </c>
      <c r="W19" s="31">
        <f t="shared" si="11"/>
        <v>0.1299217907</v>
      </c>
    </row>
    <row r="20">
      <c r="B20" s="20" t="s">
        <v>258</v>
      </c>
      <c r="C20" s="20">
        <v>0.25</v>
      </c>
      <c r="D20" s="20">
        <v>6.0</v>
      </c>
      <c r="E20" s="20">
        <v>99717.0</v>
      </c>
      <c r="F20" s="20">
        <v>110219.0</v>
      </c>
      <c r="G20" s="20">
        <v>29346.0</v>
      </c>
      <c r="H20" s="20">
        <v>35867.0</v>
      </c>
      <c r="I20" s="2"/>
      <c r="J20" s="20">
        <v>1.0</v>
      </c>
      <c r="K20" s="40">
        <v>1.0</v>
      </c>
      <c r="L20" s="9">
        <f t="shared" si="1"/>
        <v>1162600.503</v>
      </c>
      <c r="M20" s="10">
        <f t="shared" si="2"/>
        <v>1285043.321</v>
      </c>
      <c r="N20" s="9">
        <f t="shared" si="3"/>
        <v>342145.014</v>
      </c>
      <c r="O20" s="11">
        <f t="shared" si="4"/>
        <v>418173.353</v>
      </c>
      <c r="P20" s="11">
        <f t="shared" si="5"/>
        <v>1703216.674</v>
      </c>
      <c r="Q20" s="11">
        <f t="shared" si="6"/>
        <v>2222965.996</v>
      </c>
      <c r="R20" s="11">
        <f t="shared" si="7"/>
        <v>2963954.661</v>
      </c>
      <c r="S20" s="6" t="str">
        <f t="shared" si="8"/>
        <v>Icefall Strike
</v>
      </c>
      <c r="T20" s="11">
        <f t="shared" si="9"/>
        <v>355674.5593</v>
      </c>
      <c r="V20" s="41">
        <f t="shared" si="10"/>
        <v>324867.9755</v>
      </c>
      <c r="W20" s="31">
        <f t="shared" si="11"/>
        <v>0.08661452715</v>
      </c>
    </row>
    <row r="21">
      <c r="B21" s="20" t="s">
        <v>259</v>
      </c>
      <c r="C21" s="20">
        <v>0.25</v>
      </c>
      <c r="D21" s="20">
        <v>10.0</v>
      </c>
      <c r="E21" s="1">
        <f>56141+9782</f>
        <v>65923</v>
      </c>
      <c r="F21" s="1">
        <f>59522+11956</f>
        <v>71478</v>
      </c>
      <c r="G21" s="6">
        <f>14821+7410</f>
        <v>22231</v>
      </c>
      <c r="H21" s="6">
        <f>18115+9057</f>
        <v>27172</v>
      </c>
      <c r="I21" s="2"/>
      <c r="J21" s="20">
        <v>12.8</v>
      </c>
      <c r="K21" s="7">
        <f t="shared" ref="K21:K22" si="12">1/3.2</f>
        <v>0.3125</v>
      </c>
      <c r="L21" s="9">
        <f t="shared" si="1"/>
        <v>768596.257</v>
      </c>
      <c r="M21" s="10">
        <f t="shared" si="2"/>
        <v>833362.002</v>
      </c>
      <c r="N21" s="9">
        <f t="shared" si="3"/>
        <v>259191.229</v>
      </c>
      <c r="O21" s="11">
        <f t="shared" si="4"/>
        <v>316798.348</v>
      </c>
      <c r="P21" s="11">
        <f t="shared" si="5"/>
        <v>2100555.394</v>
      </c>
      <c r="Q21" s="11">
        <f t="shared" si="6"/>
        <v>2712790.96</v>
      </c>
      <c r="R21" s="11">
        <f t="shared" si="7"/>
        <v>3617054.613</v>
      </c>
      <c r="S21" s="6" t="str">
        <f t="shared" si="8"/>
        <v>Frostbite Slice
</v>
      </c>
      <c r="T21" s="11">
        <f t="shared" si="9"/>
        <v>264662.5326</v>
      </c>
      <c r="V21" s="41">
        <f t="shared" si="10"/>
        <v>250908.3606</v>
      </c>
      <c r="W21" s="31">
        <f t="shared" si="11"/>
        <v>0.05196871629</v>
      </c>
    </row>
    <row r="22">
      <c r="B22" s="20" t="s">
        <v>260</v>
      </c>
      <c r="C22" s="20">
        <v>0.5</v>
      </c>
      <c r="D22" s="20">
        <v>12.0</v>
      </c>
      <c r="E22" s="1">
        <f>49013+6780</f>
        <v>55793</v>
      </c>
      <c r="F22" s="1">
        <f>51292+7920</f>
        <v>59212</v>
      </c>
      <c r="G22" s="1">
        <f>13562+6780</f>
        <v>20342</v>
      </c>
      <c r="H22" s="1">
        <f>7920+15841</f>
        <v>23761</v>
      </c>
      <c r="I22" s="2"/>
      <c r="J22" s="20">
        <v>19.2</v>
      </c>
      <c r="K22" s="12">
        <f t="shared" si="12"/>
        <v>0.3125</v>
      </c>
      <c r="L22" s="9">
        <f t="shared" si="1"/>
        <v>650490.587</v>
      </c>
      <c r="M22" s="10">
        <f t="shared" si="2"/>
        <v>690352.708</v>
      </c>
      <c r="N22" s="9">
        <f t="shared" si="3"/>
        <v>237167.378</v>
      </c>
      <c r="O22" s="11">
        <f t="shared" si="4"/>
        <v>277029.499</v>
      </c>
      <c r="P22" s="11">
        <f t="shared" si="5"/>
        <v>2352529.702</v>
      </c>
      <c r="Q22" s="11">
        <f t="shared" si="6"/>
        <v>3067568.209</v>
      </c>
      <c r="R22" s="11">
        <f t="shared" si="7"/>
        <v>3067568.209</v>
      </c>
      <c r="S22" s="6" t="str">
        <f t="shared" si="8"/>
        <v>Frostbite
</v>
      </c>
      <c r="T22" s="11">
        <f t="shared" si="9"/>
        <v>245405.4567</v>
      </c>
      <c r="V22" s="41">
        <f t="shared" si="10"/>
        <v>229665.0043</v>
      </c>
      <c r="W22" s="31">
        <f t="shared" si="11"/>
        <v>0.06414059691</v>
      </c>
    </row>
    <row r="23">
      <c r="B23" s="20" t="s">
        <v>261</v>
      </c>
      <c r="C23" s="20">
        <v>0.5</v>
      </c>
      <c r="D23" s="20">
        <v>5.0</v>
      </c>
      <c r="E23" s="20">
        <v>67677.0</v>
      </c>
      <c r="F23" s="20">
        <v>73090.0</v>
      </c>
      <c r="I23" s="2"/>
      <c r="K23" s="3"/>
      <c r="L23" s="9">
        <f t="shared" si="1"/>
        <v>789046.143</v>
      </c>
      <c r="M23" s="10">
        <f t="shared" si="2"/>
        <v>852156.31</v>
      </c>
      <c r="N23" s="9">
        <f t="shared" si="3"/>
        <v>0</v>
      </c>
      <c r="O23" s="11" t="str">
        <f t="shared" si="4"/>
        <v> </v>
      </c>
      <c r="P23" s="11" t="str">
        <f t="shared" si="5"/>
        <v> </v>
      </c>
      <c r="Q23" s="11">
        <f t="shared" si="6"/>
        <v>1134104.194</v>
      </c>
      <c r="R23" s="11">
        <f t="shared" si="7"/>
        <v>1134104.194</v>
      </c>
      <c r="S23" s="6" t="str">
        <f t="shared" si="8"/>
        <v>Uncontrollable Wra</v>
      </c>
      <c r="T23" s="11">
        <f t="shared" si="9"/>
        <v>206200.7626</v>
      </c>
      <c r="V23" s="41">
        <f t="shared" si="10"/>
        <v>174458.7466</v>
      </c>
      <c r="W23" s="31">
        <f t="shared" si="11"/>
        <v>0.1539374326</v>
      </c>
    </row>
    <row r="24">
      <c r="A24" s="20">
        <v>1.0</v>
      </c>
      <c r="B24" s="20" t="s">
        <v>209</v>
      </c>
      <c r="C24" s="20">
        <v>1.0</v>
      </c>
      <c r="D24" s="20">
        <v>15.0</v>
      </c>
      <c r="E24" s="20">
        <v>54333.0</v>
      </c>
      <c r="F24" s="20">
        <v>69559.0</v>
      </c>
      <c r="G24" s="26">
        <v>12754.0</v>
      </c>
      <c r="H24" s="26">
        <v>17322.0</v>
      </c>
      <c r="I24" s="2"/>
      <c r="J24" s="20">
        <v>14.0</v>
      </c>
      <c r="K24" s="7">
        <f>1/2</f>
        <v>0.5</v>
      </c>
      <c r="L24" s="9">
        <f t="shared" si="1"/>
        <v>633468.447</v>
      </c>
      <c r="M24" s="10">
        <f t="shared" si="2"/>
        <v>810988.381</v>
      </c>
      <c r="N24" s="9">
        <f t="shared" si="3"/>
        <v>148698.886</v>
      </c>
      <c r="O24" s="11">
        <f t="shared" si="4"/>
        <v>201957.198</v>
      </c>
      <c r="P24" s="11">
        <f t="shared" si="5"/>
        <v>2224688.767</v>
      </c>
      <c r="Q24" s="11">
        <f t="shared" si="6"/>
        <v>2744467.384</v>
      </c>
      <c r="R24" s="11">
        <f t="shared" si="7"/>
        <v>1829644.923</v>
      </c>
      <c r="S24" s="6" t="str">
        <f t="shared" si="8"/>
        <v>Wrath of Nature</v>
      </c>
      <c r="T24" s="11">
        <f t="shared" si="9"/>
        <v>171529.2115</v>
      </c>
      <c r="V24" s="41">
        <f t="shared" si="10"/>
        <v>157009.9823</v>
      </c>
      <c r="W24" s="31">
        <f t="shared" si="11"/>
        <v>0.08464581086</v>
      </c>
    </row>
    <row r="25">
      <c r="A25" s="20">
        <v>1.0</v>
      </c>
      <c r="B25" s="45" t="s">
        <v>262</v>
      </c>
      <c r="C25" s="20">
        <v>0.75</v>
      </c>
      <c r="D25" s="20">
        <v>3.7</v>
      </c>
      <c r="E25" s="1">
        <f>7608*6</f>
        <v>45648</v>
      </c>
      <c r="F25" s="1">
        <f>11411*6</f>
        <v>68466</v>
      </c>
      <c r="I25" s="2"/>
      <c r="K25" s="3"/>
      <c r="L25" s="9">
        <f t="shared" si="1"/>
        <v>532210.032</v>
      </c>
      <c r="M25" s="10">
        <f t="shared" si="2"/>
        <v>798245.094</v>
      </c>
      <c r="N25" s="9">
        <f t="shared" si="3"/>
        <v>0</v>
      </c>
      <c r="O25" s="11" t="str">
        <f t="shared" si="4"/>
        <v> </v>
      </c>
      <c r="P25" s="11" t="str">
        <f t="shared" si="5"/>
        <v> </v>
      </c>
      <c r="Q25" s="11">
        <f t="shared" si="6"/>
        <v>691825.4741</v>
      </c>
      <c r="R25" s="11">
        <f t="shared" si="7"/>
        <v>553460.3792</v>
      </c>
      <c r="S25" s="6" t="str">
        <f t="shared" si="8"/>
        <v>Winds of Healing</v>
      </c>
      <c r="T25" s="11">
        <f t="shared" si="9"/>
        <v>155466.3987</v>
      </c>
      <c r="U25" s="20">
        <v>1.0</v>
      </c>
      <c r="V25" s="41">
        <f t="shared" si="10"/>
        <v>112621.2389</v>
      </c>
      <c r="W25" s="31">
        <f t="shared" si="11"/>
        <v>0.2755911251</v>
      </c>
    </row>
    <row r="26">
      <c r="A26" s="20">
        <v>1.0</v>
      </c>
      <c r="B26" s="20" t="s">
        <v>263</v>
      </c>
      <c r="C26" s="20">
        <v>0.5</v>
      </c>
      <c r="D26" s="20">
        <v>12.3</v>
      </c>
      <c r="E26" s="1">
        <f>80615</f>
        <v>80615</v>
      </c>
      <c r="F26" s="20">
        <v>92580.0</v>
      </c>
      <c r="G26" s="6"/>
      <c r="H26" s="6"/>
      <c r="I26" s="2"/>
      <c r="J26" s="1"/>
      <c r="K26" s="7"/>
      <c r="L26" s="9">
        <f t="shared" si="1"/>
        <v>939890.285</v>
      </c>
      <c r="M26" s="10">
        <f t="shared" si="2"/>
        <v>1079390.22</v>
      </c>
      <c r="N26" s="9">
        <f t="shared" si="3"/>
        <v>0</v>
      </c>
      <c r="O26" s="11" t="str">
        <f t="shared" si="4"/>
        <v> </v>
      </c>
      <c r="P26" s="11" t="str">
        <f t="shared" si="5"/>
        <v> </v>
      </c>
      <c r="Q26" s="11">
        <f t="shared" si="6"/>
        <v>1399953.224</v>
      </c>
      <c r="R26" s="11">
        <f t="shared" si="7"/>
        <v>1399953.224</v>
      </c>
      <c r="S26" s="6" t="str">
        <f t="shared" si="8"/>
        <v>Whirl of Permafrost</v>
      </c>
      <c r="T26" s="11">
        <f t="shared" si="9"/>
        <v>109371.3456</v>
      </c>
      <c r="V26" s="41">
        <f t="shared" si="10"/>
        <v>102527.3033</v>
      </c>
      <c r="W26" s="31">
        <f t="shared" si="11"/>
        <v>0.0625761921</v>
      </c>
    </row>
    <row r="27">
      <c r="A27" s="20">
        <v>1.0</v>
      </c>
      <c r="B27" s="45" t="s">
        <v>264</v>
      </c>
      <c r="C27" s="20">
        <v>1.28</v>
      </c>
      <c r="D27" s="20">
        <v>6.0</v>
      </c>
      <c r="E27" s="1">
        <f>7608*6</f>
        <v>45648</v>
      </c>
      <c r="F27" s="1">
        <f>11411*6</f>
        <v>68466</v>
      </c>
      <c r="I27" s="2"/>
      <c r="K27" s="3"/>
      <c r="L27" s="9">
        <f t="shared" si="1"/>
        <v>532210.032</v>
      </c>
      <c r="M27" s="10">
        <f t="shared" si="2"/>
        <v>798245.094</v>
      </c>
      <c r="N27" s="9">
        <f t="shared" si="3"/>
        <v>0</v>
      </c>
      <c r="O27" s="11" t="str">
        <f t="shared" si="4"/>
        <v> </v>
      </c>
      <c r="P27" s="11" t="str">
        <f t="shared" si="5"/>
        <v> </v>
      </c>
      <c r="Q27" s="11">
        <f t="shared" si="6"/>
        <v>691825.4741</v>
      </c>
      <c r="R27" s="11">
        <f t="shared" si="7"/>
        <v>388665.9967</v>
      </c>
      <c r="S27" s="6" t="str">
        <f t="shared" si="8"/>
        <v>Healstorm</v>
      </c>
      <c r="T27" s="11">
        <f t="shared" si="9"/>
        <v>95030.97171</v>
      </c>
      <c r="U27" s="20">
        <v>1.0</v>
      </c>
      <c r="V27" s="41">
        <f t="shared" si="10"/>
        <v>70486.25889</v>
      </c>
      <c r="W27" s="31">
        <f t="shared" si="11"/>
        <v>0.2582811938</v>
      </c>
    </row>
    <row r="28">
      <c r="A28" s="20">
        <v>1.0</v>
      </c>
      <c r="B28" s="45" t="s">
        <v>221</v>
      </c>
      <c r="C28" s="20">
        <v>0.0</v>
      </c>
      <c r="D28" s="20">
        <v>1.5</v>
      </c>
      <c r="E28" s="20">
        <v>7608.0</v>
      </c>
      <c r="F28" s="20">
        <v>11411.0</v>
      </c>
      <c r="G28" s="1"/>
      <c r="H28" s="1"/>
      <c r="I28" s="2"/>
      <c r="J28" s="1"/>
      <c r="K28" s="7"/>
      <c r="L28" s="9">
        <f t="shared" si="1"/>
        <v>88701.672</v>
      </c>
      <c r="M28" s="10">
        <f t="shared" si="2"/>
        <v>133040.849</v>
      </c>
      <c r="N28" s="9">
        <f t="shared" si="3"/>
        <v>0</v>
      </c>
      <c r="O28" s="11" t="str">
        <f t="shared" si="4"/>
        <v> </v>
      </c>
      <c r="P28" s="11" t="str">
        <f t="shared" si="5"/>
        <v> </v>
      </c>
      <c r="Q28" s="11">
        <f t="shared" si="6"/>
        <v>115304.2457</v>
      </c>
      <c r="R28" s="11">
        <f t="shared" si="7"/>
        <v>230608.4914</v>
      </c>
      <c r="S28" s="6" t="str">
        <f t="shared" si="8"/>
        <v>Infusion</v>
      </c>
      <c r="T28" s="11">
        <f t="shared" si="9"/>
        <v>76869.49712</v>
      </c>
      <c r="U28" s="13">
        <v>1.0</v>
      </c>
      <c r="V28" s="41">
        <f t="shared" si="10"/>
        <v>63049.01939</v>
      </c>
      <c r="W28" s="31">
        <f t="shared" si="11"/>
        <v>0.1797914419</v>
      </c>
    </row>
    <row r="29">
      <c r="B29" s="20" t="s">
        <v>265</v>
      </c>
      <c r="C29" s="20">
        <v>0.25</v>
      </c>
      <c r="D29" s="20">
        <v>30.0</v>
      </c>
      <c r="E29" s="20">
        <v>95873.0</v>
      </c>
      <c r="F29" s="1"/>
      <c r="G29" s="1"/>
      <c r="H29" s="1"/>
      <c r="I29" s="2"/>
      <c r="J29" s="1"/>
      <c r="K29" s="7"/>
      <c r="L29" s="9">
        <f t="shared" si="1"/>
        <v>1117783.307</v>
      </c>
      <c r="M29" s="10">
        <f t="shared" si="2"/>
        <v>0</v>
      </c>
      <c r="N29" s="9">
        <f t="shared" si="3"/>
        <v>0</v>
      </c>
      <c r="O29" s="11" t="str">
        <f t="shared" si="4"/>
        <v> </v>
      </c>
      <c r="P29" s="11" t="str">
        <f t="shared" si="5"/>
        <v> </v>
      </c>
      <c r="Q29" s="11">
        <f t="shared" si="6"/>
        <v>1542540.964</v>
      </c>
      <c r="R29" s="11">
        <f t="shared" si="7"/>
        <v>2056721.285</v>
      </c>
      <c r="S29" s="6" t="str">
        <f t="shared" si="8"/>
        <v>Rage of the Wild</v>
      </c>
      <c r="T29" s="11">
        <f t="shared" si="9"/>
        <v>50993.08971</v>
      </c>
      <c r="U29" s="11"/>
      <c r="V29" s="41">
        <f t="shared" si="10"/>
        <v>50109.74124</v>
      </c>
      <c r="W29" s="31">
        <f t="shared" si="11"/>
        <v>0.01732290543</v>
      </c>
    </row>
    <row r="30">
      <c r="A30" s="20">
        <v>1.0</v>
      </c>
      <c r="B30" s="45" t="s">
        <v>266</v>
      </c>
      <c r="C30" s="20">
        <v>0.25</v>
      </c>
      <c r="D30" s="20">
        <v>15.0</v>
      </c>
      <c r="E30" s="1">
        <f>7608*2</f>
        <v>15216</v>
      </c>
      <c r="F30" s="1">
        <f>11411*2</f>
        <v>22822</v>
      </c>
      <c r="I30" s="2"/>
      <c r="K30" s="3"/>
      <c r="L30" s="9">
        <f t="shared" si="1"/>
        <v>177403.344</v>
      </c>
      <c r="M30" s="10">
        <f t="shared" si="2"/>
        <v>266081.698</v>
      </c>
      <c r="N30" s="9">
        <f t="shared" si="3"/>
        <v>0</v>
      </c>
      <c r="O30" s="11" t="str">
        <f t="shared" si="4"/>
        <v> </v>
      </c>
      <c r="P30" s="11" t="str">
        <f t="shared" si="5"/>
        <v> </v>
      </c>
      <c r="Q30" s="11">
        <f t="shared" si="6"/>
        <v>230608.4914</v>
      </c>
      <c r="R30" s="11">
        <f t="shared" si="7"/>
        <v>307477.9885</v>
      </c>
      <c r="S30" s="6" t="str">
        <f t="shared" si="8"/>
        <v>Winds of Growth</v>
      </c>
      <c r="T30" s="11">
        <f t="shared" si="9"/>
        <v>15121.86829</v>
      </c>
      <c r="U30" s="20">
        <v>1.0</v>
      </c>
      <c r="V30" s="41">
        <f t="shared" si="10"/>
        <v>14597.9589</v>
      </c>
      <c r="W30" s="31">
        <f t="shared" si="11"/>
        <v>0.03464581086</v>
      </c>
    </row>
    <row r="31">
      <c r="A31" s="20">
        <v>1.0</v>
      </c>
      <c r="B31" s="20" t="s">
        <v>267</v>
      </c>
      <c r="C31" s="20">
        <v>0.5</v>
      </c>
      <c r="D31" s="20">
        <v>30.0</v>
      </c>
      <c r="E31" s="20">
        <v>20716.0</v>
      </c>
      <c r="F31" s="20">
        <v>29980.0</v>
      </c>
      <c r="G31" s="1"/>
      <c r="H31" s="1"/>
      <c r="I31" s="2"/>
      <c r="J31" s="1"/>
      <c r="K31" s="12"/>
      <c r="L31" s="9">
        <f t="shared" si="1"/>
        <v>241527.844</v>
      </c>
      <c r="M31" s="10">
        <f t="shared" si="2"/>
        <v>349536.82</v>
      </c>
      <c r="N31" s="9">
        <f t="shared" si="3"/>
        <v>0</v>
      </c>
      <c r="O31" s="11" t="str">
        <f t="shared" si="4"/>
        <v> </v>
      </c>
      <c r="P31" s="11" t="str">
        <f t="shared" si="5"/>
        <v> </v>
      </c>
      <c r="Q31" s="11">
        <f t="shared" si="6"/>
        <v>421453.2598</v>
      </c>
      <c r="R31" s="11">
        <f t="shared" si="7"/>
        <v>421453.2598</v>
      </c>
      <c r="S31" s="6" t="str">
        <f t="shared" si="8"/>
        <v>Hierophant Grasp</v>
      </c>
      <c r="T31" s="11">
        <f t="shared" si="9"/>
        <v>13818.13967</v>
      </c>
      <c r="V31" s="41">
        <f t="shared" si="10"/>
        <v>13463.61817</v>
      </c>
      <c r="W31" s="31">
        <f t="shared" si="11"/>
        <v>0.02565623876</v>
      </c>
    </row>
    <row r="32">
      <c r="J32" s="2"/>
      <c r="L32" s="3"/>
      <c r="M32" s="9"/>
      <c r="N32" s="10"/>
      <c r="O32" s="9"/>
      <c r="P32" s="11"/>
      <c r="Q32" s="11"/>
      <c r="R32" s="11"/>
      <c r="S32" s="11"/>
      <c r="U32" s="11"/>
      <c r="V32" s="11"/>
      <c r="W32" s="31"/>
    </row>
    <row r="33">
      <c r="I33" s="2"/>
      <c r="K33" s="3"/>
      <c r="L33" s="9"/>
      <c r="M33" s="10"/>
      <c r="N33" s="9"/>
      <c r="O33" s="11"/>
      <c r="P33" s="11"/>
      <c r="Q33" s="11"/>
      <c r="R33" s="11"/>
      <c r="T33" s="11"/>
      <c r="W33" s="3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  <c r="W34" s="3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  <c r="W35" s="3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  <c r="W36" s="3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  <c r="W37" s="3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  <c r="W38" s="3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  <c r="W39" s="3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  <c r="W40" s="3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  <c r="W41" s="3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  <c r="W42" s="3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  <c r="W43" s="3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  <c r="W44" s="3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  <c r="W45" s="31"/>
    </row>
    <row r="46">
      <c r="E46" s="1">
        <v>3100.0</v>
      </c>
      <c r="F46" s="1" t="s">
        <v>268</v>
      </c>
      <c r="I46" s="2"/>
      <c r="K46" s="3"/>
      <c r="L46" s="9"/>
      <c r="M46" s="10"/>
      <c r="N46" s="9"/>
      <c r="O46" s="11"/>
      <c r="P46" s="11"/>
      <c r="Q46" s="11"/>
      <c r="R46" s="11"/>
      <c r="T46" s="11"/>
      <c r="W46" s="31"/>
    </row>
    <row r="47">
      <c r="E47" s="1">
        <v>18.0</v>
      </c>
      <c r="F47" s="1" t="s">
        <v>269</v>
      </c>
      <c r="I47" s="2"/>
      <c r="K47" s="3"/>
      <c r="L47" s="9"/>
      <c r="M47" s="10"/>
      <c r="N47" s="9"/>
      <c r="O47" s="11"/>
      <c r="P47" s="11"/>
      <c r="Q47" s="11"/>
      <c r="R47" s="11"/>
      <c r="T47" s="11"/>
      <c r="W47" s="31"/>
    </row>
    <row r="48">
      <c r="E48" s="6">
        <f>E47/3.1</f>
        <v>5.806451613</v>
      </c>
      <c r="F48" s="1" t="s">
        <v>270</v>
      </c>
      <c r="G48" s="6">
        <f>E48/1.5</f>
        <v>3.870967742</v>
      </c>
      <c r="H48" s="6">
        <f>G48*30</f>
        <v>116.1290323</v>
      </c>
      <c r="I48" s="2"/>
      <c r="K48" s="3"/>
      <c r="L48" s="9"/>
      <c r="M48" s="10"/>
      <c r="N48" s="9"/>
      <c r="O48" s="11"/>
      <c r="P48" s="11"/>
      <c r="Q48" s="11"/>
      <c r="R48" s="11"/>
      <c r="T48" s="11"/>
      <c r="W48" s="31"/>
    </row>
    <row r="49">
      <c r="E49" s="1">
        <v>4000.0</v>
      </c>
      <c r="I49" s="2"/>
      <c r="K49" s="3"/>
      <c r="L49" s="9"/>
      <c r="M49" s="10"/>
      <c r="N49" s="9"/>
      <c r="O49" s="11"/>
      <c r="P49" s="11"/>
      <c r="Q49" s="11"/>
      <c r="R49" s="11"/>
      <c r="T49" s="11"/>
      <c r="W49" s="31"/>
    </row>
    <row r="50">
      <c r="E50" s="6">
        <f>15/4</f>
        <v>3.75</v>
      </c>
      <c r="I50" s="2"/>
      <c r="K50" s="3"/>
      <c r="L50" s="9"/>
      <c r="M50" s="10"/>
      <c r="N50" s="9"/>
      <c r="O50" s="11"/>
      <c r="P50" s="11"/>
      <c r="Q50" s="11"/>
      <c r="R50" s="11"/>
      <c r="T50" s="11"/>
      <c r="W50" s="3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  <c r="W51" s="3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  <c r="W52" s="3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  <c r="W53" s="3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  <c r="W54" s="3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  <c r="W55" s="3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  <c r="W56" s="3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  <c r="W57" s="3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  <c r="W58" s="3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  <c r="W59" s="3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  <c r="W60" s="31"/>
    </row>
    <row r="61">
      <c r="B61" s="1" t="s">
        <v>74</v>
      </c>
      <c r="F61" s="6">
        <f t="shared" ref="F61:G61" si="13">E27</f>
        <v>45648</v>
      </c>
      <c r="G61" s="6">
        <f t="shared" si="13"/>
        <v>68466</v>
      </c>
      <c r="I61" s="2"/>
      <c r="K61" s="3"/>
      <c r="L61" s="9"/>
      <c r="M61" s="10"/>
      <c r="N61" s="9"/>
      <c r="O61" s="11"/>
      <c r="P61" s="11"/>
      <c r="Q61" s="11"/>
      <c r="R61" s="11"/>
      <c r="T61" s="11"/>
      <c r="W61" s="31"/>
    </row>
    <row r="62">
      <c r="B62" s="1" t="s">
        <v>73</v>
      </c>
      <c r="E62" s="1">
        <v>1.0</v>
      </c>
      <c r="F62" s="6">
        <f t="shared" ref="F62:G62" si="14">F$61*0.85^($E62-1)</f>
        <v>45648</v>
      </c>
      <c r="G62" s="6">
        <f t="shared" si="14"/>
        <v>68466</v>
      </c>
      <c r="I62" s="2"/>
      <c r="K62" s="3"/>
      <c r="L62" s="9"/>
      <c r="M62" s="10"/>
      <c r="N62" s="9"/>
      <c r="O62" s="11"/>
      <c r="P62" s="11"/>
      <c r="Q62" s="11"/>
      <c r="R62" s="11"/>
      <c r="T62" s="11"/>
      <c r="W62" s="31"/>
    </row>
    <row r="63">
      <c r="B63" s="1" t="s">
        <v>75</v>
      </c>
      <c r="D63" s="6">
        <f>E62+1</f>
        <v>2</v>
      </c>
      <c r="E63" s="6">
        <f t="shared" ref="E63:F63" si="15">F$61*0.85^($D63-1)</f>
        <v>38800.8</v>
      </c>
      <c r="F63" s="6">
        <f t="shared" si="15"/>
        <v>58196.1</v>
      </c>
      <c r="I63" s="2"/>
      <c r="K63" s="3"/>
      <c r="L63" s="9"/>
      <c r="M63" s="10"/>
      <c r="N63" s="9"/>
      <c r="O63" s="11"/>
      <c r="P63" s="11"/>
      <c r="Q63" s="11"/>
      <c r="R63" s="11"/>
      <c r="T63" s="11"/>
      <c r="W63" s="31"/>
    </row>
    <row r="64">
      <c r="B64" s="1" t="s">
        <v>79</v>
      </c>
      <c r="D64" s="6">
        <f t="shared" ref="D64:D81" si="17">D63+1</f>
        <v>3</v>
      </c>
      <c r="E64" s="6">
        <f t="shared" ref="E64:F64" si="16">F$61*0.85^($D64-1)</f>
        <v>32980.68</v>
      </c>
      <c r="F64" s="6">
        <f t="shared" si="16"/>
        <v>49466.685</v>
      </c>
      <c r="I64" s="2"/>
      <c r="K64" s="3"/>
      <c r="L64" s="9"/>
      <c r="M64" s="10"/>
      <c r="N64" s="9"/>
      <c r="O64" s="11"/>
      <c r="P64" s="11"/>
      <c r="Q64" s="11"/>
      <c r="R64" s="11"/>
      <c r="T64" s="11"/>
      <c r="W64" s="31"/>
    </row>
    <row r="65">
      <c r="B65" s="1" t="s">
        <v>76</v>
      </c>
      <c r="D65" s="6">
        <f t="shared" si="17"/>
        <v>4</v>
      </c>
      <c r="E65" s="6">
        <f t="shared" ref="E65:F65" si="18">F$61*0.85^($D65-1)</f>
        <v>28033.578</v>
      </c>
      <c r="F65" s="6">
        <f t="shared" si="18"/>
        <v>42046.68225</v>
      </c>
      <c r="I65" s="2"/>
      <c r="K65" s="3"/>
      <c r="L65" s="9"/>
      <c r="M65" s="10"/>
      <c r="N65" s="9"/>
      <c r="O65" s="11"/>
      <c r="P65" s="11"/>
      <c r="Q65" s="11"/>
      <c r="R65" s="11"/>
      <c r="T65" s="11"/>
      <c r="W65" s="31"/>
    </row>
    <row r="66">
      <c r="B66" s="1" t="s">
        <v>77</v>
      </c>
      <c r="D66" s="6">
        <f t="shared" si="17"/>
        <v>5</v>
      </c>
      <c r="E66" s="6">
        <f t="shared" ref="E66:F66" si="19">F$61*0.85^($D66-1)</f>
        <v>23828.5413</v>
      </c>
      <c r="F66" s="6">
        <f t="shared" si="19"/>
        <v>35739.67991</v>
      </c>
      <c r="I66" s="2"/>
      <c r="K66" s="3"/>
      <c r="L66" s="9"/>
      <c r="M66" s="10"/>
      <c r="N66" s="9"/>
      <c r="O66" s="11"/>
      <c r="P66" s="11"/>
      <c r="Q66" s="11"/>
      <c r="R66" s="11"/>
      <c r="T66" s="11"/>
      <c r="W66" s="31"/>
    </row>
    <row r="67">
      <c r="B67" s="1" t="s">
        <v>82</v>
      </c>
      <c r="D67" s="6">
        <f t="shared" si="17"/>
        <v>6</v>
      </c>
      <c r="E67" s="6">
        <f t="shared" ref="E67:F67" si="20">F$61*0.85^($D67-1)</f>
        <v>20254.26011</v>
      </c>
      <c r="F67" s="6">
        <f t="shared" si="20"/>
        <v>30378.72793</v>
      </c>
      <c r="I67" s="2"/>
      <c r="K67" s="3"/>
      <c r="L67" s="9"/>
      <c r="M67" s="10"/>
      <c r="N67" s="9"/>
      <c r="O67" s="11"/>
      <c r="P67" s="11"/>
      <c r="Q67" s="11"/>
      <c r="R67" s="11"/>
      <c r="T67" s="11"/>
      <c r="W67" s="31"/>
    </row>
    <row r="68">
      <c r="B68" s="1" t="s">
        <v>84</v>
      </c>
      <c r="D68" s="6">
        <f t="shared" si="17"/>
        <v>7</v>
      </c>
      <c r="E68" s="6">
        <f t="shared" ref="E68:F68" si="21">F$61*0.85^($D68-1)</f>
        <v>17216.12109</v>
      </c>
      <c r="F68" s="6">
        <f t="shared" si="21"/>
        <v>25821.91874</v>
      </c>
      <c r="I68" s="2"/>
      <c r="K68" s="3"/>
      <c r="L68" s="9"/>
      <c r="M68" s="10"/>
      <c r="N68" s="9"/>
      <c r="O68" s="11"/>
      <c r="P68" s="11"/>
      <c r="Q68" s="11"/>
      <c r="R68" s="11"/>
      <c r="T68" s="11"/>
      <c r="W68" s="31"/>
    </row>
    <row r="69">
      <c r="B69" s="1" t="s">
        <v>81</v>
      </c>
      <c r="D69" s="6">
        <f t="shared" si="17"/>
        <v>8</v>
      </c>
      <c r="E69" s="6">
        <f t="shared" ref="E69:F69" si="22">F$61*0.85^($D69-1)</f>
        <v>14633.70293</v>
      </c>
      <c r="F69" s="6">
        <f t="shared" si="22"/>
        <v>21948.63093</v>
      </c>
      <c r="I69" s="2"/>
      <c r="K69" s="3"/>
      <c r="L69" s="9"/>
      <c r="M69" s="10"/>
      <c r="N69" s="9"/>
      <c r="O69" s="11"/>
      <c r="P69" s="11"/>
      <c r="Q69" s="11"/>
      <c r="R69" s="11"/>
      <c r="T69" s="11"/>
      <c r="W69" s="31"/>
    </row>
    <row r="70">
      <c r="B70" s="1" t="s">
        <v>89</v>
      </c>
      <c r="D70" s="6">
        <f t="shared" si="17"/>
        <v>9</v>
      </c>
      <c r="E70" s="6">
        <f t="shared" ref="E70:F70" si="23">F$61*0.85^($D70-1)</f>
        <v>12438.64749</v>
      </c>
      <c r="F70" s="6">
        <f t="shared" si="23"/>
        <v>18656.33629</v>
      </c>
      <c r="I70" s="2"/>
      <c r="K70" s="3"/>
      <c r="L70" s="9"/>
      <c r="M70" s="10"/>
      <c r="N70" s="9"/>
      <c r="O70" s="11"/>
      <c r="P70" s="11"/>
      <c r="Q70" s="11"/>
      <c r="R70" s="11"/>
      <c r="T70" s="11"/>
      <c r="W70" s="31"/>
    </row>
    <row r="71">
      <c r="B71" s="1" t="s">
        <v>88</v>
      </c>
      <c r="D71" s="6">
        <f t="shared" si="17"/>
        <v>10</v>
      </c>
      <c r="E71" s="6">
        <f t="shared" ref="E71:F71" si="24">F$61*0.85^($D71-1)</f>
        <v>10572.85036</v>
      </c>
      <c r="F71" s="6">
        <f t="shared" si="24"/>
        <v>15857.88584</v>
      </c>
      <c r="I71" s="2"/>
      <c r="K71" s="3"/>
      <c r="L71" s="9"/>
      <c r="M71" s="10"/>
      <c r="N71" s="9"/>
      <c r="O71" s="11"/>
      <c r="P71" s="11"/>
      <c r="Q71" s="11"/>
      <c r="R71" s="11"/>
      <c r="T71" s="11"/>
      <c r="W71" s="31"/>
    </row>
    <row r="72">
      <c r="B72" s="1" t="s">
        <v>85</v>
      </c>
      <c r="D72" s="6">
        <f t="shared" si="17"/>
        <v>11</v>
      </c>
      <c r="E72" s="6">
        <f t="shared" ref="E72:F72" si="25">F$61*0.85^($D72-1)</f>
        <v>8986.922809</v>
      </c>
      <c r="F72" s="6">
        <f t="shared" si="25"/>
        <v>13479.20297</v>
      </c>
      <c r="I72" s="2"/>
      <c r="K72" s="3"/>
      <c r="L72" s="9"/>
      <c r="M72" s="10"/>
      <c r="N72" s="9"/>
      <c r="O72" s="11"/>
      <c r="P72" s="11"/>
      <c r="Q72" s="11"/>
      <c r="R72" s="11"/>
      <c r="T72" s="11"/>
      <c r="W72" s="31"/>
    </row>
    <row r="73">
      <c r="B73" s="1" t="s">
        <v>86</v>
      </c>
      <c r="D73" s="6">
        <f t="shared" si="17"/>
        <v>12</v>
      </c>
      <c r="E73" s="6">
        <f t="shared" ref="E73:F73" si="26">F$61*0.85^($D73-1)</f>
        <v>7638.884388</v>
      </c>
      <c r="F73" s="6">
        <f t="shared" si="26"/>
        <v>11457.32252</v>
      </c>
      <c r="I73" s="2"/>
      <c r="K73" s="3"/>
      <c r="L73" s="9"/>
      <c r="M73" s="10"/>
      <c r="N73" s="9"/>
      <c r="O73" s="11"/>
      <c r="P73" s="11"/>
      <c r="Q73" s="11"/>
      <c r="R73" s="11"/>
      <c r="T73" s="11"/>
      <c r="W73" s="31"/>
    </row>
    <row r="74">
      <c r="B74" s="1" t="s">
        <v>93</v>
      </c>
      <c r="D74" s="6">
        <f t="shared" si="17"/>
        <v>13</v>
      </c>
      <c r="E74" s="6">
        <f t="shared" ref="E74:F74" si="27">F$61*0.85^($D74-1)</f>
        <v>6493.05173</v>
      </c>
      <c r="F74" s="6">
        <f t="shared" si="27"/>
        <v>9738.724144</v>
      </c>
      <c r="I74" s="2"/>
      <c r="K74" s="3"/>
      <c r="L74" s="9"/>
      <c r="M74" s="10"/>
      <c r="N74" s="9"/>
      <c r="O74" s="11"/>
      <c r="P74" s="11"/>
      <c r="Q74" s="11"/>
      <c r="R74" s="11"/>
      <c r="T74" s="11"/>
      <c r="W74" s="31"/>
    </row>
    <row r="75">
      <c r="B75" s="1" t="s">
        <v>92</v>
      </c>
      <c r="D75" s="6">
        <f t="shared" si="17"/>
        <v>14</v>
      </c>
      <c r="E75" s="6">
        <f t="shared" ref="E75:F75" si="28">F$61*0.85^($D75-1)</f>
        <v>5519.09397</v>
      </c>
      <c r="F75" s="6">
        <f t="shared" si="28"/>
        <v>8277.915522</v>
      </c>
      <c r="I75" s="2"/>
      <c r="K75" s="3"/>
      <c r="L75" s="9"/>
      <c r="M75" s="10"/>
      <c r="N75" s="9"/>
      <c r="O75" s="11"/>
      <c r="P75" s="11"/>
      <c r="Q75" s="11"/>
      <c r="R75" s="11"/>
      <c r="T75" s="11"/>
      <c r="W75" s="31"/>
    </row>
    <row r="76">
      <c r="B76" s="1" t="s">
        <v>94</v>
      </c>
      <c r="D76" s="6">
        <f t="shared" si="17"/>
        <v>15</v>
      </c>
      <c r="E76" s="6">
        <f t="shared" ref="E76:F76" si="29">F$61*0.85^($D76-1)</f>
        <v>4691.229875</v>
      </c>
      <c r="F76" s="6">
        <f t="shared" si="29"/>
        <v>7036.228194</v>
      </c>
      <c r="I76" s="2"/>
      <c r="K76" s="3"/>
      <c r="L76" s="4"/>
      <c r="W76" s="31"/>
    </row>
    <row r="77">
      <c r="B77" s="1" t="s">
        <v>90</v>
      </c>
      <c r="D77" s="6">
        <f t="shared" si="17"/>
        <v>16</v>
      </c>
      <c r="E77" s="6">
        <f t="shared" ref="E77:F77" si="30">F$61*0.85^($D77-1)</f>
        <v>3987.545394</v>
      </c>
      <c r="F77" s="6">
        <f t="shared" si="30"/>
        <v>5980.793965</v>
      </c>
      <c r="I77" s="2"/>
      <c r="K77" s="3"/>
      <c r="L77" s="4"/>
      <c r="W77" s="31"/>
    </row>
    <row r="78">
      <c r="D78" s="6">
        <f t="shared" si="17"/>
        <v>17</v>
      </c>
      <c r="E78" s="6">
        <f t="shared" ref="E78:F78" si="31">F$61*0.85^($D78-1)</f>
        <v>3389.413585</v>
      </c>
      <c r="F78" s="6">
        <f t="shared" si="31"/>
        <v>5083.67487</v>
      </c>
      <c r="I78" s="2"/>
      <c r="K78" s="3"/>
      <c r="L78" s="4"/>
      <c r="W78" s="31"/>
    </row>
    <row r="79">
      <c r="D79" s="6">
        <f t="shared" si="17"/>
        <v>18</v>
      </c>
      <c r="E79" s="6">
        <f t="shared" ref="E79:F79" si="32">F$61*0.85^($D79-1)</f>
        <v>2881.001547</v>
      </c>
      <c r="F79" s="6">
        <f t="shared" si="32"/>
        <v>4321.12364</v>
      </c>
      <c r="I79" s="2"/>
      <c r="K79" s="3"/>
      <c r="L79" s="4"/>
      <c r="W79" s="31"/>
    </row>
    <row r="80">
      <c r="D80" s="6">
        <f t="shared" si="17"/>
        <v>19</v>
      </c>
      <c r="E80" s="6">
        <f t="shared" ref="E80:F80" si="33">F$61*0.85^($D80-1)</f>
        <v>2448.851315</v>
      </c>
      <c r="F80" s="6">
        <f t="shared" si="33"/>
        <v>3672.955094</v>
      </c>
      <c r="I80" s="2"/>
      <c r="K80" s="3"/>
      <c r="L80" s="4"/>
      <c r="W80" s="31"/>
    </row>
    <row r="81">
      <c r="D81" s="6">
        <f t="shared" si="17"/>
        <v>20</v>
      </c>
      <c r="E81" s="6">
        <f t="shared" ref="E81:F81" si="34">F$61*0.85^($D81-1)</f>
        <v>2081.523618</v>
      </c>
      <c r="F81" s="6">
        <f t="shared" si="34"/>
        <v>3122.01183</v>
      </c>
      <c r="I81" s="2"/>
      <c r="K81" s="3"/>
      <c r="L81" s="4"/>
      <c r="W81" s="31"/>
    </row>
    <row r="82">
      <c r="E82" s="6">
        <f t="shared" ref="E82:F82" si="35">sum(E63:E81)</f>
        <v>246876.6995</v>
      </c>
      <c r="F82" s="6">
        <f t="shared" si="35"/>
        <v>370282.5996</v>
      </c>
      <c r="I82" s="2"/>
      <c r="K82" s="3"/>
      <c r="L82" s="4"/>
      <c r="W82" s="31"/>
    </row>
    <row r="83">
      <c r="I83" s="2"/>
      <c r="K83" s="3"/>
      <c r="L83" s="4"/>
      <c r="W83" s="31"/>
    </row>
    <row r="84">
      <c r="I84" s="2"/>
      <c r="K84" s="3"/>
      <c r="L84" s="4"/>
      <c r="W84" s="31"/>
    </row>
    <row r="85">
      <c r="I85" s="2"/>
      <c r="K85" s="3"/>
      <c r="L85" s="4"/>
      <c r="W85" s="31"/>
    </row>
    <row r="86">
      <c r="B86" s="1" t="s">
        <v>95</v>
      </c>
      <c r="C86" s="1">
        <v>2.0</v>
      </c>
      <c r="D86" s="1">
        <v>0.0</v>
      </c>
      <c r="E86" s="6">
        <f t="shared" ref="E86:E88" si="36">C86*150</f>
        <v>300</v>
      </c>
      <c r="I86" s="2"/>
      <c r="K86" s="3"/>
      <c r="L86" s="4"/>
      <c r="W86" s="31"/>
    </row>
    <row r="87">
      <c r="B87" s="1" t="s">
        <v>96</v>
      </c>
      <c r="C87" s="1">
        <v>2.0</v>
      </c>
      <c r="D87" s="1">
        <v>0.0</v>
      </c>
      <c r="E87" s="6">
        <f t="shared" si="36"/>
        <v>300</v>
      </c>
      <c r="I87" s="2"/>
      <c r="K87" s="3"/>
      <c r="L87" s="4"/>
      <c r="W87" s="31"/>
    </row>
    <row r="88">
      <c r="B88" s="1" t="s">
        <v>97</v>
      </c>
      <c r="C88" s="1">
        <v>1.5</v>
      </c>
      <c r="D88" s="19">
        <v>0.35</v>
      </c>
      <c r="E88" s="6">
        <f t="shared" si="36"/>
        <v>225</v>
      </c>
      <c r="F88" s="6">
        <f>E88*D88</f>
        <v>78.75</v>
      </c>
      <c r="I88" s="2"/>
      <c r="K88" s="3"/>
      <c r="L88" s="4"/>
      <c r="W88" s="31"/>
    </row>
    <row r="89">
      <c r="E89" s="6">
        <f>sum(E86:E88)</f>
        <v>825</v>
      </c>
      <c r="F89" s="6">
        <f>F88/E89</f>
        <v>0.09545454545</v>
      </c>
      <c r="I89" s="2"/>
      <c r="K89" s="3"/>
      <c r="L89" s="4"/>
      <c r="W89" s="31"/>
    </row>
    <row r="90">
      <c r="E90" s="1" t="s">
        <v>98</v>
      </c>
      <c r="F90" s="1" t="s">
        <v>99</v>
      </c>
      <c r="I90" s="2"/>
      <c r="K90" s="3"/>
      <c r="L90" s="4"/>
      <c r="W90" s="31"/>
    </row>
    <row r="91">
      <c r="B91" s="1" t="s">
        <v>100</v>
      </c>
      <c r="C91" s="21">
        <v>0.71875</v>
      </c>
      <c r="D91" s="19">
        <v>0.0</v>
      </c>
      <c r="I91" s="2"/>
      <c r="K91" s="3"/>
      <c r="L91" s="4"/>
      <c r="W91" s="31"/>
    </row>
    <row r="92">
      <c r="C92" s="21">
        <v>0.7708333333333334</v>
      </c>
      <c r="D92" s="19">
        <v>9.0E-4</v>
      </c>
      <c r="E92" s="1" t="s">
        <v>101</v>
      </c>
      <c r="F92" s="6">
        <f>F88*2/3</f>
        <v>52.5</v>
      </c>
      <c r="G92" s="1" t="s">
        <v>102</v>
      </c>
      <c r="I92" s="2"/>
      <c r="K92" s="3"/>
      <c r="L92" s="4"/>
      <c r="W92" s="31"/>
    </row>
    <row r="93">
      <c r="I93" s="2"/>
      <c r="K93" s="3"/>
      <c r="L93" s="4"/>
      <c r="W93" s="31"/>
    </row>
    <row r="94">
      <c r="I94" s="2"/>
      <c r="K94" s="3"/>
      <c r="L94" s="4"/>
      <c r="W94" s="31"/>
    </row>
    <row r="95">
      <c r="I95" s="2"/>
      <c r="K95" s="3"/>
      <c r="L95" s="4"/>
      <c r="W95" s="31"/>
    </row>
    <row r="96">
      <c r="I96" s="2"/>
      <c r="K96" s="3"/>
      <c r="L96" s="4"/>
      <c r="W96" s="31"/>
    </row>
    <row r="97">
      <c r="I97" s="2"/>
      <c r="K97" s="3"/>
      <c r="L97" s="4"/>
      <c r="W97" s="31"/>
    </row>
    <row r="98">
      <c r="I98" s="2"/>
      <c r="K98" s="3"/>
      <c r="L98" s="4"/>
      <c r="W98" s="31"/>
    </row>
    <row r="99">
      <c r="I99" s="2"/>
      <c r="K99" s="3"/>
      <c r="L99" s="4"/>
      <c r="W99" s="31"/>
    </row>
    <row r="100">
      <c r="I100" s="2"/>
      <c r="K100" s="3"/>
      <c r="L100" s="4"/>
      <c r="W100" s="31"/>
    </row>
  </sheetData>
  <autoFilter ref="$A$7:$U$54">
    <sortState ref="A7:U54">
      <sortCondition descending="1" ref="T7:T54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46"/>
      <c r="B1" s="1" t="s">
        <v>271</v>
      </c>
    </row>
    <row r="2">
      <c r="A2" s="14" t="s">
        <v>272</v>
      </c>
      <c r="B2" s="1">
        <v>1.0</v>
      </c>
    </row>
    <row r="3">
      <c r="A3" s="14" t="s">
        <v>273</v>
      </c>
      <c r="B3" s="1">
        <v>1.43181818181818</v>
      </c>
    </row>
    <row r="4">
      <c r="A4" s="14" t="s">
        <v>274</v>
      </c>
      <c r="B4" s="1">
        <v>1.43181818181818</v>
      </c>
      <c r="D4" s="1" t="s">
        <v>275</v>
      </c>
    </row>
    <row r="5">
      <c r="A5" s="46"/>
      <c r="D5" s="1" t="s">
        <v>188</v>
      </c>
      <c r="E5" s="1">
        <v>781.0</v>
      </c>
    </row>
    <row r="6">
      <c r="A6" s="46"/>
      <c r="C6" s="47"/>
      <c r="D6" s="1" t="s">
        <v>276</v>
      </c>
      <c r="E6" s="1">
        <v>152.3</v>
      </c>
    </row>
    <row r="7">
      <c r="A7" s="46"/>
      <c r="D7" s="1" t="s">
        <v>189</v>
      </c>
      <c r="E7" s="19">
        <v>3.528</v>
      </c>
    </row>
    <row r="8">
      <c r="A8" s="46"/>
      <c r="D8" s="1" t="s">
        <v>277</v>
      </c>
      <c r="E8" s="19">
        <v>0.384</v>
      </c>
    </row>
    <row r="9">
      <c r="A9" s="14" t="s">
        <v>188</v>
      </c>
      <c r="B9" s="14" t="s">
        <v>278</v>
      </c>
      <c r="C9" s="14" t="s">
        <v>279</v>
      </c>
      <c r="D9" s="14" t="s">
        <v>280</v>
      </c>
    </row>
    <row r="10">
      <c r="A10" s="14">
        <v>0.0</v>
      </c>
      <c r="B10" s="1">
        <v>0.0</v>
      </c>
      <c r="C10" s="5">
        <v>0.0</v>
      </c>
      <c r="D10" s="46"/>
    </row>
    <row r="11">
      <c r="A11" s="14">
        <v>100.0</v>
      </c>
      <c r="B11" s="1">
        <v>100.0</v>
      </c>
      <c r="C11" s="2">
        <f t="shared" ref="C11:C19" si="1">(B11-B10)/(A11-A10)</f>
        <v>1</v>
      </c>
      <c r="D11" s="46"/>
      <c r="G11" s="1" t="s">
        <v>281</v>
      </c>
    </row>
    <row r="12">
      <c r="A12" s="14">
        <v>200.0</v>
      </c>
      <c r="B12" s="1">
        <v>200.0</v>
      </c>
      <c r="C12" s="2">
        <f t="shared" si="1"/>
        <v>1</v>
      </c>
      <c r="D12" s="46"/>
      <c r="E12" s="1" t="s">
        <v>282</v>
      </c>
      <c r="F12" s="6">
        <f>45.4%-8.3%</f>
        <v>0.371</v>
      </c>
      <c r="G12" s="6">
        <f>(1+G13)*(G15+3.05*G14)</f>
        <v>23.67085</v>
      </c>
      <c r="H12" s="1" t="s">
        <v>283</v>
      </c>
    </row>
    <row r="13">
      <c r="A13" s="14">
        <v>300.0</v>
      </c>
      <c r="B13" s="1">
        <v>300.0</v>
      </c>
      <c r="C13" s="2">
        <f t="shared" si="1"/>
        <v>1</v>
      </c>
      <c r="E13" s="1" t="s">
        <v>188</v>
      </c>
      <c r="F13" s="1">
        <v>600.0</v>
      </c>
      <c r="G13" s="6">
        <f>if(AND($F13&gt;=$A14,$F13&lt;=$A15),(($F13-$A14)*$C15+$B14)/100,if(AND($F13&gt;=$A15,$F13&lt;=$A16),(($F13-$A15)*$C16+$B15)/100,if(AND($F13&gt;=$A16,$F13&lt;=$A17),(($F13-$A16)*$C17+$B16)/100,if(AND($F13&gt;=$A17,$F13&lt;=$A18),(($F13-$A17)*$C18+$B17)/100,if(AND($F13&gt;=$A18,$F13&lt;=$A19),(($F13-$A18)*$C19+$B18)/100,FALSE)))))</f>
        <v>6</v>
      </c>
      <c r="H13" s="6">
        <f>if(AND(($F13+100)&gt;=$A14,($F13+100)&lt;=$A15),((($F13+100)-$A14)*$C15+$B14)/100,if(AND(($F13+100)&gt;=$A15,($F13+100)&lt;=$A16),((($F13+100)-$A15)*$C16+$B15)/100,if(AND(($F13+100)&gt;=$A16,($F13+100)&lt;=$A17),((($F13+100)-$A16)*$C17+$B16)/100,if(AND(($F13+100)&gt;=$A17,($F13+100)&lt;=$A18),((($F13+100)-$A17)*$C18+$B17)/100,if(AND(($F13+100)&gt;=$A18,($F13+100)&lt;=$A19),((($F13+100)-$A18)*$C19+$B18)/100,FALSE)))))</f>
        <v>6.25</v>
      </c>
      <c r="I13" s="6">
        <f>(1+H13)*(G15+3.05*G14)</f>
        <v>24.5162375</v>
      </c>
      <c r="J13" s="6">
        <f t="shared" ref="J13:J15" si="2">I13-(1+G$13)*(G$15+3.05*G$14)</f>
        <v>0.8453875</v>
      </c>
    </row>
    <row r="14">
      <c r="A14" s="14">
        <v>400.0</v>
      </c>
      <c r="B14" s="1">
        <v>400.0</v>
      </c>
      <c r="C14" s="2">
        <f t="shared" si="1"/>
        <v>1</v>
      </c>
      <c r="E14" s="1" t="s">
        <v>284</v>
      </c>
      <c r="F14" s="1">
        <v>200.0</v>
      </c>
      <c r="G14" s="6">
        <f>$F$12+if(AND($F14&gt;=$A22,$F14&lt;=$A23),(($F14-$A22)*$C23+$B22)/100,if(AND($F14&gt;=$A23,$F14&lt;=$A24),(($F14-$A23)*$C24+$B23)/100,if(AND($F14&gt;=$A24,$F14&lt;=$A25),(($F14-$A24)*$C25+$B24)/100,if(AND($F14&gt;=$A25,$F14&lt;=$A26),(($F14-$A25)*$C26+$B25)/100,if(AND($F14&gt;=$A26,$F14&lt;=$A27),(($F14-$A26)*$C27+$B26)/100,FALSE)))))</f>
        <v>0.371</v>
      </c>
      <c r="H14" s="6">
        <f>$F$12+if(AND(($F14+100)&gt;=$A22,($F14+100)&lt;=$A23),((($F14+100)-$A22)*$C23+$B22)/100,if(AND(($F14+100)&gt;=$A23,($F14+100)&lt;=$A24),((($F14+100)-$A23)*$C24+$B23)/100,if(AND(($F14+100)&gt;=$A24,($F14+100)&lt;=$A25),((($F14+100)-$A24)*$C25+$B24)/100,if(AND(($F14+100)&gt;=$A25,($F14+100)&lt;=$A26),((($F14+100)-$A25)*$C26+$B25)/100,if(AND(($F14+100)&gt;=$A26,($F14+100)&lt;=$A27),((($F14+100)-$A26)*$C27+$B26)/100,FALSE)))))</f>
        <v>0.439</v>
      </c>
      <c r="I14" s="6">
        <f>(1+G13)*(G15+3.05*H14)</f>
        <v>25.12265</v>
      </c>
      <c r="J14" s="6">
        <f t="shared" si="2"/>
        <v>1.4518</v>
      </c>
    </row>
    <row r="15">
      <c r="A15" s="14">
        <v>500.0</v>
      </c>
      <c r="B15" s="1">
        <v>500.0</v>
      </c>
      <c r="C15" s="2">
        <f t="shared" si="1"/>
        <v>1</v>
      </c>
      <c r="E15" s="1" t="s">
        <v>276</v>
      </c>
      <c r="F15" s="14">
        <v>200.0</v>
      </c>
      <c r="G15" s="6">
        <f>if(AND($F15&gt;=$A50,$F15&lt;=$A51),(($F15-$A50)*$C51+$B50)/100,if(AND($F15&gt;=$A51,$F15&lt;=$A52),(($F15-$A51)*$C52+$B51)/100,if(AND($F15&gt;=$A52,$F15&lt;=$A53),(($F15-$A52)*$C53+$B52)/100,if(AND($F15&gt;=$A53,$F15&lt;=$A54),(($F15-$A53)*$C54+$B53)/100,if(AND($F15&gt;=$A54,$F15&lt;=$A55),(($F15-$A54)*$C55+$B54)/100,FALSE)))))</f>
        <v>2.25</v>
      </c>
      <c r="H15" s="6">
        <f>if(AND(($F15+100)&gt;=$A50,($F15+100)&lt;=$A51),((($F15+100)-$A50)*$C51+$B50)/100,if(AND(($F15+100)&gt;=$A51,($F15+100)&lt;=$A52),((($F15+100)-$A51)*$C52+$B51)/100,if(AND(($F15+100)&gt;=$A52,($F15+100)&lt;=$A53),((($F15+100)-$A52)*$C53+$B52)/100,if(AND(($F15+100)&gt;=$A53,($F15+100)&lt;=$A54),((($F15+100)-$A53)*$C54+$B53)/100,if(AND(($F15+100)&gt;=$A54,($F15+100)&lt;=$A55),((($F15+100)-$A54)*$C55+$B54)/100,FALSE)))))</f>
        <v>2.35</v>
      </c>
      <c r="I15" s="6">
        <f>(1+G13)*(H15+3.05*G14)</f>
        <v>24.37085</v>
      </c>
      <c r="J15" s="6">
        <f t="shared" si="2"/>
        <v>0.7</v>
      </c>
    </row>
    <row r="16">
      <c r="A16" s="14">
        <v>600.0</v>
      </c>
      <c r="B16" s="1">
        <v>600.0</v>
      </c>
      <c r="C16" s="2">
        <f t="shared" si="1"/>
        <v>1</v>
      </c>
      <c r="D16" s="46"/>
    </row>
    <row r="17">
      <c r="A17" s="14">
        <v>1000.0</v>
      </c>
      <c r="B17" s="1">
        <v>700.0</v>
      </c>
      <c r="C17" s="2">
        <f t="shared" si="1"/>
        <v>0.25</v>
      </c>
      <c r="D17" s="46"/>
    </row>
    <row r="18">
      <c r="A18" s="14">
        <v>1600.0</v>
      </c>
      <c r="B18" s="1">
        <v>800.0</v>
      </c>
      <c r="C18" s="2">
        <f t="shared" si="1"/>
        <v>0.1666666667</v>
      </c>
      <c r="D18" s="46"/>
    </row>
    <row r="19">
      <c r="A19" s="14">
        <v>2300.0</v>
      </c>
      <c r="B19" s="1">
        <v>900.0</v>
      </c>
      <c r="C19" s="2">
        <f t="shared" si="1"/>
        <v>0.1428571429</v>
      </c>
      <c r="D19" s="46"/>
    </row>
    <row r="20">
      <c r="A20" s="46"/>
      <c r="C20" s="46"/>
      <c r="D20" s="46"/>
    </row>
    <row r="21">
      <c r="A21" s="14" t="s">
        <v>189</v>
      </c>
      <c r="B21" s="1" t="s">
        <v>285</v>
      </c>
      <c r="C21" s="14" t="s">
        <v>279</v>
      </c>
    </row>
    <row r="22">
      <c r="A22" s="14">
        <v>200.0</v>
      </c>
      <c r="B22" s="1">
        <v>0.0</v>
      </c>
      <c r="C22" s="46">
        <f>B22/A22</f>
        <v>0</v>
      </c>
      <c r="D22" s="46"/>
    </row>
    <row r="23">
      <c r="A23" s="14">
        <v>300.0</v>
      </c>
      <c r="B23" s="1">
        <v>6.8</v>
      </c>
      <c r="C23" s="2">
        <f t="shared" ref="C23:C27" si="3">(B23-B22)/(A23-A22)</f>
        <v>0.068</v>
      </c>
      <c r="D23" s="46"/>
    </row>
    <row r="24">
      <c r="A24" s="14">
        <v>500.0</v>
      </c>
      <c r="B24" s="1">
        <v>13.4</v>
      </c>
      <c r="C24" s="2">
        <f t="shared" si="3"/>
        <v>0.033</v>
      </c>
      <c r="D24" s="46"/>
    </row>
    <row r="25">
      <c r="A25" s="14">
        <v>700.0</v>
      </c>
      <c r="B25" s="1">
        <v>19.6</v>
      </c>
      <c r="C25" s="2">
        <f t="shared" si="3"/>
        <v>0.031</v>
      </c>
      <c r="D25" s="46"/>
    </row>
    <row r="26">
      <c r="A26" s="14">
        <v>900.0</v>
      </c>
      <c r="B26" s="1">
        <v>25.6</v>
      </c>
      <c r="C26" s="2">
        <f t="shared" si="3"/>
        <v>0.03</v>
      </c>
      <c r="D26" s="46"/>
    </row>
    <row r="27">
      <c r="A27" s="14">
        <v>1200.0</v>
      </c>
      <c r="B27" s="1">
        <v>31.4</v>
      </c>
      <c r="C27" s="2">
        <f t="shared" si="3"/>
        <v>0.01933333333</v>
      </c>
      <c r="D27" s="46"/>
    </row>
    <row r="28">
      <c r="A28" s="46"/>
      <c r="C28" s="46"/>
      <c r="D28" s="46"/>
    </row>
    <row r="29">
      <c r="A29" s="46"/>
      <c r="C29" s="46"/>
      <c r="D29" s="46"/>
    </row>
    <row r="30">
      <c r="A30" s="14" t="s">
        <v>276</v>
      </c>
      <c r="B30" s="1" t="s">
        <v>286</v>
      </c>
      <c r="C30" s="14" t="s">
        <v>279</v>
      </c>
      <c r="D30" s="46"/>
    </row>
    <row r="31">
      <c r="A31" s="14">
        <v>10.0</v>
      </c>
      <c r="B31" s="14">
        <v>112.0</v>
      </c>
      <c r="C31" s="2">
        <f>12%/10</f>
        <v>0.012</v>
      </c>
      <c r="D31" s="46"/>
    </row>
    <row r="32">
      <c r="A32" s="14">
        <v>20.0</v>
      </c>
      <c r="B32" s="14">
        <v>122.0</v>
      </c>
      <c r="C32" s="2">
        <f t="shared" ref="C32:C55" si="4">(B32-B31)/(A32-A31)</f>
        <v>1</v>
      </c>
      <c r="D32" s="46"/>
    </row>
    <row r="33">
      <c r="A33" s="14">
        <v>30.0</v>
      </c>
      <c r="B33" s="14">
        <v>133.0</v>
      </c>
      <c r="C33" s="2">
        <f t="shared" si="4"/>
        <v>1.1</v>
      </c>
      <c r="D33" s="46"/>
    </row>
    <row r="34">
      <c r="A34" s="14">
        <v>40.0</v>
      </c>
      <c r="B34" s="14">
        <v>143.0</v>
      </c>
      <c r="C34" s="2">
        <f t="shared" si="4"/>
        <v>1</v>
      </c>
      <c r="D34" s="46"/>
      <c r="H34" s="1" t="s">
        <v>272</v>
      </c>
      <c r="I34" s="1" t="s">
        <v>287</v>
      </c>
    </row>
    <row r="35">
      <c r="A35" s="14">
        <v>50.0</v>
      </c>
      <c r="B35" s="14">
        <v>152.0</v>
      </c>
      <c r="C35" s="2">
        <f t="shared" si="4"/>
        <v>0.9</v>
      </c>
      <c r="D35" s="46"/>
      <c r="H35" s="1" t="s">
        <v>288</v>
      </c>
    </row>
    <row r="36">
      <c r="A36" s="14">
        <v>60.0</v>
      </c>
      <c r="B36" s="14">
        <v>161.0</v>
      </c>
      <c r="C36" s="2">
        <f t="shared" si="4"/>
        <v>0.9</v>
      </c>
      <c r="D36" s="46"/>
    </row>
    <row r="37">
      <c r="A37" s="14">
        <v>70.0</v>
      </c>
      <c r="B37" s="14">
        <v>169.0</v>
      </c>
      <c r="C37" s="2">
        <f t="shared" si="4"/>
        <v>0.8</v>
      </c>
      <c r="D37" s="46"/>
      <c r="H37" s="1">
        <v>200.0</v>
      </c>
      <c r="I37" s="6" t="b">
        <f>if(AND(H37&gt;=A23,H37&lt;=A24),((H37-A23)*C24+B23)/100,if(AND(H38&gt;=A24,H38&lt;=A25),((H38-A24)*C25+B24)/100,if(AND(H39&gt;=A25,H39&lt;=A26),((H39-A25)*C26+B25)/100,if(AND(H40&gt;=A26,H40&lt;=A27),((H40-A26)*C27+B26)/100,FALSE))))</f>
        <v>0</v>
      </c>
    </row>
    <row r="38">
      <c r="A38" s="14">
        <v>80.0</v>
      </c>
      <c r="B38" s="14">
        <v>177.0</v>
      </c>
      <c r="C38" s="2">
        <f t="shared" si="4"/>
        <v>0.8</v>
      </c>
      <c r="D38" s="46"/>
      <c r="H38" s="1">
        <v>346.7</v>
      </c>
      <c r="I38" s="6" t="b">
        <f>if(AND(H38&gt;=A24,H38&lt;=A25),((H38-A24)*C25+B24)/100,if(AND(H39&gt;=A25,H39&lt;=A26),((H39-A25)*C26+B25)/100,if(AND(H40&gt;=A26,H40&lt;=A27),((H40-A26)*C27+B26)/100,FALSE)))</f>
        <v>0</v>
      </c>
    </row>
    <row r="39">
      <c r="A39" s="14">
        <v>90.0</v>
      </c>
      <c r="B39" s="14">
        <v>184.0</v>
      </c>
      <c r="C39" s="2">
        <f t="shared" si="4"/>
        <v>0.7</v>
      </c>
      <c r="D39" s="46"/>
      <c r="H39" s="1">
        <v>346.7</v>
      </c>
      <c r="I39" s="6" t="b">
        <f>if(AND(H39&gt;=A25,H39&lt;=A26),((H39-A25)*C26+B25)/100,if(AND(H40&gt;=A26,H40&lt;=A27),((H40-A26)*C27+B26)/100,FALSE))</f>
        <v>0</v>
      </c>
    </row>
    <row r="40">
      <c r="A40" s="14">
        <v>100.0</v>
      </c>
      <c r="B40" s="14">
        <v>191.0</v>
      </c>
      <c r="C40" s="2">
        <f t="shared" si="4"/>
        <v>0.7</v>
      </c>
      <c r="D40" s="46"/>
      <c r="H40" s="1">
        <v>346.7</v>
      </c>
      <c r="I40" s="6" t="b">
        <f>if(AND(H40&gt;=A26,H40&lt;=A27),((H40-A26)*C27+B26)/100,FALSE)</f>
        <v>0</v>
      </c>
    </row>
    <row r="41">
      <c r="A41" s="14">
        <v>110.0</v>
      </c>
      <c r="B41" s="14">
        <v>197.0</v>
      </c>
      <c r="C41" s="2">
        <f t="shared" si="4"/>
        <v>0.6</v>
      </c>
      <c r="D41" s="46"/>
    </row>
    <row r="42">
      <c r="A42" s="14">
        <v>120.0</v>
      </c>
      <c r="B42" s="14">
        <v>202.0</v>
      </c>
      <c r="C42" s="2">
        <f t="shared" si="4"/>
        <v>0.5</v>
      </c>
      <c r="D42" s="46"/>
    </row>
    <row r="43">
      <c r="A43" s="14">
        <v>130.0</v>
      </c>
      <c r="B43" s="14">
        <v>207.0</v>
      </c>
      <c r="C43" s="2">
        <f t="shared" si="4"/>
        <v>0.5</v>
      </c>
      <c r="D43" s="46"/>
    </row>
    <row r="44">
      <c r="A44" s="14">
        <v>140.0</v>
      </c>
      <c r="B44" s="14">
        <v>211.0</v>
      </c>
      <c r="C44" s="2">
        <f t="shared" si="4"/>
        <v>0.4</v>
      </c>
      <c r="D44" s="46"/>
    </row>
    <row r="45">
      <c r="A45" s="14">
        <v>150.0</v>
      </c>
      <c r="B45" s="14">
        <v>215.0</v>
      </c>
      <c r="C45" s="2">
        <f t="shared" si="4"/>
        <v>0.4</v>
      </c>
      <c r="D45" s="46"/>
    </row>
    <row r="46">
      <c r="A46" s="14">
        <v>160.0</v>
      </c>
      <c r="B46" s="14">
        <v>218.0</v>
      </c>
      <c r="C46" s="2">
        <f t="shared" si="4"/>
        <v>0.3</v>
      </c>
      <c r="D46" s="46"/>
    </row>
    <row r="47">
      <c r="A47" s="14">
        <v>170.0</v>
      </c>
      <c r="B47" s="14">
        <v>221.0</v>
      </c>
      <c r="C47" s="2">
        <f t="shared" si="4"/>
        <v>0.3</v>
      </c>
      <c r="D47" s="46"/>
    </row>
    <row r="48">
      <c r="A48" s="14">
        <v>180.0</v>
      </c>
      <c r="B48" s="14">
        <v>223.0</v>
      </c>
      <c r="C48" s="2">
        <f t="shared" si="4"/>
        <v>0.2</v>
      </c>
      <c r="D48" s="46"/>
    </row>
    <row r="49">
      <c r="A49" s="14">
        <v>190.0</v>
      </c>
      <c r="B49" s="14">
        <v>224.0</v>
      </c>
      <c r="C49" s="2">
        <f t="shared" si="4"/>
        <v>0.1</v>
      </c>
    </row>
    <row r="50">
      <c r="A50" s="14">
        <v>200.0</v>
      </c>
      <c r="B50" s="14">
        <v>225.0</v>
      </c>
      <c r="C50" s="2">
        <f t="shared" si="4"/>
        <v>0.1</v>
      </c>
    </row>
    <row r="51">
      <c r="A51" s="14">
        <v>300.0</v>
      </c>
      <c r="B51" s="14">
        <v>235.0</v>
      </c>
      <c r="C51" s="2">
        <f t="shared" si="4"/>
        <v>0.1</v>
      </c>
      <c r="D51" s="46"/>
    </row>
    <row r="52">
      <c r="A52" s="14">
        <v>500.0</v>
      </c>
      <c r="B52" s="14">
        <v>245.0</v>
      </c>
      <c r="C52" s="2">
        <f t="shared" si="4"/>
        <v>0.05</v>
      </c>
      <c r="D52" s="46"/>
    </row>
    <row r="53">
      <c r="A53" s="14">
        <v>700.0</v>
      </c>
      <c r="B53" s="14">
        <v>255.0</v>
      </c>
      <c r="C53" s="2">
        <f t="shared" si="4"/>
        <v>0.05</v>
      </c>
      <c r="D53" s="46"/>
    </row>
    <row r="54">
      <c r="A54" s="14">
        <v>900.0</v>
      </c>
      <c r="B54" s="14">
        <v>265.0</v>
      </c>
      <c r="C54" s="2">
        <f t="shared" si="4"/>
        <v>0.05</v>
      </c>
      <c r="D54" s="46"/>
    </row>
    <row r="55">
      <c r="A55" s="14">
        <v>1200.0</v>
      </c>
      <c r="B55" s="14">
        <v>275.0</v>
      </c>
      <c r="C55" s="2">
        <f t="shared" si="4"/>
        <v>0.03333333333</v>
      </c>
      <c r="D55" s="46"/>
    </row>
    <row r="56">
      <c r="A56" s="46"/>
    </row>
    <row r="57">
      <c r="A57" s="46"/>
    </row>
    <row r="58">
      <c r="A58" s="46"/>
      <c r="B58" s="6">
        <f t="shared" ref="B58:B82" si="5">B31*100</f>
        <v>11200</v>
      </c>
    </row>
    <row r="59">
      <c r="A59" s="46"/>
      <c r="B59" s="6">
        <f t="shared" si="5"/>
        <v>12200</v>
      </c>
    </row>
    <row r="60">
      <c r="A60" s="46"/>
      <c r="B60" s="6">
        <f t="shared" si="5"/>
        <v>13300</v>
      </c>
    </row>
    <row r="61">
      <c r="A61" s="46"/>
      <c r="B61" s="6">
        <f t="shared" si="5"/>
        <v>14300</v>
      </c>
    </row>
    <row r="62">
      <c r="A62" s="46"/>
      <c r="B62" s="6">
        <f t="shared" si="5"/>
        <v>15200</v>
      </c>
    </row>
    <row r="63">
      <c r="A63" s="46"/>
      <c r="B63" s="6">
        <f t="shared" si="5"/>
        <v>16100</v>
      </c>
    </row>
    <row r="64">
      <c r="A64" s="46"/>
      <c r="B64" s="6">
        <f t="shared" si="5"/>
        <v>16900</v>
      </c>
    </row>
    <row r="65">
      <c r="A65" s="46"/>
      <c r="B65" s="6">
        <f t="shared" si="5"/>
        <v>17700</v>
      </c>
    </row>
    <row r="66">
      <c r="A66" s="46"/>
      <c r="B66" s="6">
        <f t="shared" si="5"/>
        <v>18400</v>
      </c>
    </row>
    <row r="67">
      <c r="A67" s="46"/>
      <c r="B67" s="6">
        <f t="shared" si="5"/>
        <v>19100</v>
      </c>
    </row>
    <row r="68">
      <c r="A68" s="46"/>
      <c r="B68" s="6">
        <f t="shared" si="5"/>
        <v>19700</v>
      </c>
    </row>
    <row r="69">
      <c r="A69" s="46"/>
      <c r="B69" s="6">
        <f t="shared" si="5"/>
        <v>20200</v>
      </c>
    </row>
    <row r="70">
      <c r="A70" s="46"/>
      <c r="B70" s="6">
        <f t="shared" si="5"/>
        <v>20700</v>
      </c>
    </row>
    <row r="71">
      <c r="A71" s="46"/>
      <c r="B71" s="6">
        <f t="shared" si="5"/>
        <v>21100</v>
      </c>
    </row>
    <row r="72">
      <c r="A72" s="46"/>
      <c r="B72" s="6">
        <f t="shared" si="5"/>
        <v>21500</v>
      </c>
    </row>
    <row r="73">
      <c r="A73" s="46"/>
      <c r="B73" s="6">
        <f t="shared" si="5"/>
        <v>21800</v>
      </c>
    </row>
    <row r="74">
      <c r="A74" s="46"/>
      <c r="B74" s="6">
        <f t="shared" si="5"/>
        <v>22100</v>
      </c>
    </row>
    <row r="75">
      <c r="A75" s="46"/>
      <c r="B75" s="6">
        <f t="shared" si="5"/>
        <v>22300</v>
      </c>
    </row>
    <row r="76">
      <c r="A76" s="46"/>
      <c r="B76" s="6">
        <f t="shared" si="5"/>
        <v>22400</v>
      </c>
    </row>
    <row r="77">
      <c r="A77" s="46"/>
      <c r="B77" s="6">
        <f t="shared" si="5"/>
        <v>22500</v>
      </c>
    </row>
    <row r="78">
      <c r="A78" s="46"/>
      <c r="B78" s="6">
        <f t="shared" si="5"/>
        <v>23500</v>
      </c>
      <c r="F78" s="1">
        <v>488430.0</v>
      </c>
    </row>
    <row r="79">
      <c r="A79" s="46"/>
      <c r="B79" s="6">
        <f t="shared" si="5"/>
        <v>24500</v>
      </c>
      <c r="F79" s="1">
        <v>489895.0</v>
      </c>
      <c r="G79" s="2">
        <f t="shared" ref="G79:G89" si="6">(F79-$F$78)/$F$78</f>
        <v>0.002999406261</v>
      </c>
    </row>
    <row r="80">
      <c r="A80" s="46"/>
      <c r="B80" s="6">
        <f t="shared" si="5"/>
        <v>25500</v>
      </c>
      <c r="F80" s="1">
        <v>490872.0</v>
      </c>
      <c r="G80" s="2">
        <f t="shared" si="6"/>
        <v>0.004999692894</v>
      </c>
    </row>
    <row r="81">
      <c r="A81" s="46"/>
      <c r="B81" s="6">
        <f t="shared" si="5"/>
        <v>26500</v>
      </c>
      <c r="F81" s="1">
        <v>492337.0</v>
      </c>
      <c r="G81" s="2">
        <f t="shared" si="6"/>
        <v>0.007999099154</v>
      </c>
      <c r="I81" s="19">
        <v>0.003</v>
      </c>
    </row>
    <row r="82">
      <c r="A82" s="46"/>
      <c r="B82" s="6">
        <f t="shared" si="5"/>
        <v>27500</v>
      </c>
      <c r="F82" s="1">
        <v>493314.0</v>
      </c>
      <c r="G82" s="2">
        <f t="shared" si="6"/>
        <v>0.009999385787</v>
      </c>
      <c r="I82" s="19">
        <v>0.005</v>
      </c>
    </row>
    <row r="83">
      <c r="A83" s="46"/>
      <c r="D83" s="1" t="s">
        <v>251</v>
      </c>
      <c r="E83" s="1" t="s">
        <v>250</v>
      </c>
      <c r="F83" s="1">
        <v>494780.0</v>
      </c>
      <c r="G83" s="2">
        <f t="shared" si="6"/>
        <v>0.01300083942</v>
      </c>
      <c r="I83" s="19">
        <v>0.005</v>
      </c>
    </row>
    <row r="84">
      <c r="A84" s="46"/>
      <c r="C84" s="1" t="s">
        <v>289</v>
      </c>
      <c r="D84" s="1">
        <v>80.0</v>
      </c>
      <c r="E84" s="1">
        <v>0.0</v>
      </c>
      <c r="F84" s="1">
        <v>496001.0</v>
      </c>
      <c r="G84" s="2">
        <f t="shared" si="6"/>
        <v>0.01550068587</v>
      </c>
    </row>
    <row r="85">
      <c r="A85" s="46"/>
      <c r="C85" s="1" t="s">
        <v>290</v>
      </c>
      <c r="D85" s="1">
        <v>19.5</v>
      </c>
      <c r="E85" s="1">
        <v>19.5</v>
      </c>
      <c r="F85" s="1">
        <v>496978.0</v>
      </c>
      <c r="G85" s="2">
        <f t="shared" si="6"/>
        <v>0.0175009725</v>
      </c>
    </row>
    <row r="86">
      <c r="A86" s="46"/>
      <c r="C86" s="1" t="s">
        <v>291</v>
      </c>
      <c r="D86" s="1">
        <v>35.5</v>
      </c>
      <c r="E86" s="1">
        <v>1.5</v>
      </c>
      <c r="F86" s="1">
        <v>498443.0</v>
      </c>
      <c r="G86" s="2">
        <f t="shared" si="6"/>
        <v>0.02050037876</v>
      </c>
    </row>
    <row r="87">
      <c r="A87" s="46"/>
      <c r="C87" s="1" t="s">
        <v>292</v>
      </c>
      <c r="D87" s="1">
        <v>17.0</v>
      </c>
      <c r="E87" s="1">
        <v>17.0</v>
      </c>
      <c r="F87" s="1">
        <v>499420.0</v>
      </c>
      <c r="G87" s="2">
        <f t="shared" si="6"/>
        <v>0.0225006654</v>
      </c>
    </row>
    <row r="88">
      <c r="A88" s="46"/>
      <c r="F88" s="1">
        <v>500885.0</v>
      </c>
      <c r="G88" s="2">
        <f t="shared" si="6"/>
        <v>0.02550007166</v>
      </c>
      <c r="I88" s="19">
        <v>0.0125</v>
      </c>
    </row>
    <row r="89">
      <c r="A89" s="46"/>
      <c r="C89" s="1" t="s">
        <v>293</v>
      </c>
      <c r="D89" s="48">
        <f>D87+D85+D84</f>
        <v>116.5</v>
      </c>
      <c r="E89" s="48">
        <f>E87+E85</f>
        <v>36.5</v>
      </c>
      <c r="F89" s="1">
        <v>502350.0</v>
      </c>
      <c r="G89" s="2">
        <f t="shared" si="6"/>
        <v>0.02849947792</v>
      </c>
    </row>
    <row r="90">
      <c r="A90" s="46"/>
      <c r="C90" s="1" t="s">
        <v>294</v>
      </c>
      <c r="D90" s="48">
        <f>D86+D84</f>
        <v>115.5</v>
      </c>
      <c r="E90" s="48">
        <f>E85</f>
        <v>19.5</v>
      </c>
      <c r="G90" s="2"/>
      <c r="I90" s="49">
        <f>sum(I81:I88)</f>
        <v>0.0255</v>
      </c>
    </row>
    <row r="91">
      <c r="A91" s="46"/>
    </row>
    <row r="92">
      <c r="A92" s="46"/>
      <c r="D92" s="1">
        <v>511.0</v>
      </c>
      <c r="E92" s="1">
        <v>496.5</v>
      </c>
    </row>
    <row r="93">
      <c r="A93" s="46"/>
      <c r="C93" s="1" t="s">
        <v>291</v>
      </c>
      <c r="D93" s="1">
        <v>34.0</v>
      </c>
    </row>
    <row r="94">
      <c r="A94" s="46"/>
      <c r="C94" s="1" t="s">
        <v>290</v>
      </c>
      <c r="D94" s="1">
        <v>18.0</v>
      </c>
      <c r="E94" s="1">
        <v>18.0</v>
      </c>
    </row>
    <row r="95">
      <c r="A95" s="46"/>
      <c r="C95" s="1" t="s">
        <v>295</v>
      </c>
      <c r="D95" s="1">
        <v>15.0</v>
      </c>
      <c r="E95" s="1">
        <v>15.0</v>
      </c>
    </row>
    <row r="96">
      <c r="A96" s="46"/>
      <c r="D96" s="6">
        <f t="shared" ref="D96:E96" si="7">sum(D92:D95)</f>
        <v>578</v>
      </c>
      <c r="E96" s="6">
        <f t="shared" si="7"/>
        <v>529.5</v>
      </c>
    </row>
    <row r="97">
      <c r="A97" s="46"/>
      <c r="D97" s="1">
        <v>560.0</v>
      </c>
      <c r="E97" s="1">
        <v>529.5</v>
      </c>
    </row>
    <row r="98">
      <c r="A98" s="46"/>
    </row>
    <row r="99">
      <c r="A99" s="46"/>
    </row>
    <row r="100">
      <c r="A100" s="46"/>
    </row>
    <row r="101">
      <c r="A101" s="4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0" width="15.13"/>
  </cols>
  <sheetData>
    <row r="1">
      <c r="A1" s="1" t="s">
        <v>0</v>
      </c>
      <c r="B1" s="2">
        <f>1.5+2.402</f>
        <v>3.902</v>
      </c>
      <c r="I1" s="2"/>
      <c r="K1" s="3"/>
      <c r="L1" s="4"/>
    </row>
    <row r="2">
      <c r="A2" s="1" t="s">
        <v>1</v>
      </c>
      <c r="B2" s="5">
        <v>0.57</v>
      </c>
      <c r="I2" s="2"/>
      <c r="K2" s="3"/>
      <c r="L2" s="4"/>
    </row>
    <row r="3">
      <c r="A3" s="1" t="s">
        <v>2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24</v>
      </c>
    </row>
    <row r="8">
      <c r="B8" s="1" t="s">
        <v>296</v>
      </c>
      <c r="C8" s="1">
        <v>0.32</v>
      </c>
      <c r="D8" s="6">
        <f>120+55</f>
        <v>175</v>
      </c>
      <c r="E8" s="1">
        <v>100000.0</v>
      </c>
      <c r="F8" s="1">
        <v>120000.0</v>
      </c>
      <c r="I8" s="2"/>
      <c r="K8" s="3"/>
      <c r="L8" s="9">
        <f t="shared" ref="L8:L45" si="1">if(E8*($B$1+$I8)&lt;(F8+1),F8+1,E8*($I8+$B$1))</f>
        <v>390200</v>
      </c>
      <c r="M8" s="10">
        <f t="shared" ref="M8:M45" si="2">F8*($B$1+$I8)</f>
        <v>468240</v>
      </c>
      <c r="N8" s="9">
        <f t="shared" ref="N8:N45" si="3">if(if(G8*($B$1+$I8)&lt;(H8+1),H8+1,G8*($I8+$B$1))=1,0,if(G8*($B$1+$I8)&lt;(H8+1),H8+1,G8*($I8+$B$1)))</f>
        <v>0</v>
      </c>
      <c r="O8" s="11">
        <f t="shared" ref="O8:O45" si="4">H8*($B$1+$I8)</f>
        <v>0</v>
      </c>
      <c r="P8" s="11">
        <f t="shared" ref="P8:P45" si="5">M8+O8*K8*J8</f>
        <v>468240</v>
      </c>
      <c r="Q8" s="11">
        <f t="shared" ref="Q8:Q31" si="6">if($A8=1,$B$4,1)*((L8*E8+F8*M8)/(E8+F8)+if(G8&gt;0,(N8*G8+H8*O8)/(G8+H8)*J8*K8,0))</f>
        <v>432767.2727</v>
      </c>
      <c r="R8" s="11">
        <f t="shared" ref="R8:R31" si="7">Q8/(C8+0.5*(1/(1+$B$5)))</f>
        <v>527764.9667</v>
      </c>
      <c r="S8" s="6" t="str">
        <f t="shared" ref="S8:S45" si="8">B8</f>
        <v>Thugs</v>
      </c>
      <c r="T8" s="11">
        <f t="shared" ref="T8:T31" si="9">$Q8/(($C8+$D8))</f>
        <v>2468.442121</v>
      </c>
    </row>
    <row r="9">
      <c r="B9" s="1" t="s">
        <v>297</v>
      </c>
      <c r="C9" s="1">
        <v>0.32</v>
      </c>
      <c r="D9" s="1">
        <v>43.6</v>
      </c>
      <c r="E9" s="1">
        <v>22620.0</v>
      </c>
      <c r="F9" s="1">
        <v>35616.0</v>
      </c>
      <c r="I9" s="2"/>
      <c r="K9" s="3"/>
      <c r="L9" s="9">
        <f t="shared" si="1"/>
        <v>88263.24</v>
      </c>
      <c r="M9" s="10">
        <f t="shared" si="2"/>
        <v>138973.632</v>
      </c>
      <c r="N9" s="9">
        <f t="shared" si="3"/>
        <v>0</v>
      </c>
      <c r="O9" s="11">
        <f t="shared" si="4"/>
        <v>0</v>
      </c>
      <c r="P9" s="11">
        <f t="shared" si="5"/>
        <v>138973.632</v>
      </c>
      <c r="Q9" s="11">
        <f t="shared" si="6"/>
        <v>119276.7252</v>
      </c>
      <c r="R9" s="11">
        <f t="shared" si="7"/>
        <v>145459.4209</v>
      </c>
      <c r="S9" s="6" t="str">
        <f t="shared" si="8"/>
        <v>Strongarm</v>
      </c>
      <c r="T9" s="11">
        <f t="shared" si="9"/>
        <v>2715.772431</v>
      </c>
    </row>
    <row r="10">
      <c r="B10" s="1" t="s">
        <v>298</v>
      </c>
      <c r="C10" s="1">
        <v>0.32</v>
      </c>
      <c r="D10" s="1">
        <v>43.6</v>
      </c>
      <c r="E10" s="6">
        <f>10672+8289</f>
        <v>18961</v>
      </c>
      <c r="F10" s="6">
        <f>15608+13224</f>
        <v>28832</v>
      </c>
      <c r="I10" s="2"/>
      <c r="K10" s="3"/>
      <c r="L10" s="9">
        <f t="shared" si="1"/>
        <v>73985.822</v>
      </c>
      <c r="M10" s="10">
        <f t="shared" si="2"/>
        <v>112502.464</v>
      </c>
      <c r="N10" s="9">
        <f t="shared" si="3"/>
        <v>0</v>
      </c>
      <c r="O10" s="11">
        <f t="shared" si="4"/>
        <v>0</v>
      </c>
      <c r="P10" s="11">
        <f t="shared" si="5"/>
        <v>112502.464</v>
      </c>
      <c r="Q10" s="11">
        <f t="shared" si="6"/>
        <v>97221.68964</v>
      </c>
      <c r="R10" s="11">
        <f t="shared" si="7"/>
        <v>118563.0361</v>
      </c>
      <c r="S10" s="6" t="str">
        <f t="shared" si="8"/>
        <v>Murderous Rake</v>
      </c>
      <c r="T10" s="11">
        <f t="shared" si="9"/>
        <v>2213.608598</v>
      </c>
    </row>
    <row r="11">
      <c r="B11" s="1" t="s">
        <v>299</v>
      </c>
      <c r="C11" s="1">
        <v>0.32</v>
      </c>
      <c r="D11" s="1">
        <v>10.9</v>
      </c>
      <c r="E11" s="6">
        <f>3199*5</f>
        <v>15995</v>
      </c>
      <c r="F11" s="6">
        <f>5619*5</f>
        <v>28095</v>
      </c>
      <c r="I11" s="2"/>
      <c r="K11" s="3"/>
      <c r="L11" s="9">
        <f t="shared" si="1"/>
        <v>62412.49</v>
      </c>
      <c r="M11" s="10">
        <f t="shared" si="2"/>
        <v>109626.69</v>
      </c>
      <c r="N11" s="9">
        <f t="shared" si="3"/>
        <v>0</v>
      </c>
      <c r="O11" s="11">
        <f t="shared" si="4"/>
        <v>0</v>
      </c>
      <c r="P11" s="11">
        <f t="shared" si="5"/>
        <v>109626.69</v>
      </c>
      <c r="Q11" s="11">
        <f t="shared" si="6"/>
        <v>92498.29061</v>
      </c>
      <c r="R11" s="11">
        <f t="shared" si="7"/>
        <v>112802.7934</v>
      </c>
      <c r="S11" s="6" t="str">
        <f t="shared" si="8"/>
        <v>Shred (5)</v>
      </c>
      <c r="T11" s="11">
        <f t="shared" si="9"/>
        <v>8244.054422</v>
      </c>
    </row>
    <row r="12">
      <c r="B12" s="1" t="s">
        <v>300</v>
      </c>
      <c r="C12" s="1">
        <v>0.32</v>
      </c>
      <c r="D12" s="1">
        <v>30.0</v>
      </c>
      <c r="E12" s="6">
        <f>9247+6864</f>
        <v>16111</v>
      </c>
      <c r="F12" s="6">
        <f>13334+10951</f>
        <v>24285</v>
      </c>
      <c r="I12" s="2"/>
      <c r="K12" s="3"/>
      <c r="L12" s="9">
        <f t="shared" si="1"/>
        <v>62865.122</v>
      </c>
      <c r="M12" s="10">
        <f t="shared" si="2"/>
        <v>94760.07</v>
      </c>
      <c r="N12" s="9">
        <f t="shared" si="3"/>
        <v>0</v>
      </c>
      <c r="O12" s="11">
        <f t="shared" si="4"/>
        <v>0</v>
      </c>
      <c r="P12" s="11">
        <f t="shared" si="5"/>
        <v>94760.07</v>
      </c>
      <c r="Q12" s="11">
        <f t="shared" si="6"/>
        <v>82039.51581</v>
      </c>
      <c r="R12" s="11">
        <f t="shared" si="7"/>
        <v>100048.19</v>
      </c>
      <c r="S12" s="6" t="str">
        <f t="shared" si="8"/>
        <v>Debilitate</v>
      </c>
      <c r="T12" s="11">
        <f t="shared" si="9"/>
        <v>2705.78878</v>
      </c>
    </row>
    <row r="13">
      <c r="B13" s="1" t="s">
        <v>301</v>
      </c>
      <c r="C13" s="1">
        <v>0.32</v>
      </c>
      <c r="D13" s="1">
        <v>43.6</v>
      </c>
      <c r="E13" s="6">
        <f>8948+6564</f>
        <v>15512</v>
      </c>
      <c r="F13" s="6">
        <f>12857+10473</f>
        <v>23330</v>
      </c>
      <c r="I13" s="2"/>
      <c r="K13" s="3"/>
      <c r="L13" s="9">
        <f t="shared" si="1"/>
        <v>60527.824</v>
      </c>
      <c r="M13" s="10">
        <f t="shared" si="2"/>
        <v>91033.66</v>
      </c>
      <c r="N13" s="9">
        <f t="shared" si="3"/>
        <v>0</v>
      </c>
      <c r="O13" s="11">
        <f t="shared" si="4"/>
        <v>0</v>
      </c>
      <c r="P13" s="11">
        <f t="shared" si="5"/>
        <v>91033.66</v>
      </c>
      <c r="Q13" s="11">
        <f t="shared" si="6"/>
        <v>78850.80309</v>
      </c>
      <c r="R13" s="11">
        <f t="shared" si="7"/>
        <v>96159.51597</v>
      </c>
      <c r="S13" s="6" t="str">
        <f t="shared" si="8"/>
        <v>Dispatch</v>
      </c>
      <c r="T13" s="11">
        <f t="shared" si="9"/>
        <v>1795.327939</v>
      </c>
    </row>
    <row r="14">
      <c r="B14" s="1" t="s">
        <v>302</v>
      </c>
      <c r="C14" s="1">
        <v>0.32</v>
      </c>
      <c r="D14" s="1">
        <v>21.8</v>
      </c>
      <c r="E14" s="1">
        <v>5785.0</v>
      </c>
      <c r="F14" s="1">
        <v>7811.0</v>
      </c>
      <c r="G14" s="1">
        <v>2352.0</v>
      </c>
      <c r="H14" s="1">
        <v>2352.0</v>
      </c>
      <c r="I14" s="2"/>
      <c r="J14" s="1">
        <v>16.0</v>
      </c>
      <c r="K14" s="7">
        <v>0.25</v>
      </c>
      <c r="L14" s="9">
        <f t="shared" si="1"/>
        <v>22573.07</v>
      </c>
      <c r="M14" s="10">
        <f t="shared" si="2"/>
        <v>30478.522</v>
      </c>
      <c r="N14" s="9">
        <f t="shared" si="3"/>
        <v>9177.504</v>
      </c>
      <c r="O14" s="11">
        <f t="shared" si="4"/>
        <v>9177.504</v>
      </c>
      <c r="P14" s="11">
        <f t="shared" si="5"/>
        <v>67188.538</v>
      </c>
      <c r="Q14" s="11">
        <f t="shared" si="6"/>
        <v>63824.82516</v>
      </c>
      <c r="R14" s="11">
        <f t="shared" si="7"/>
        <v>77835.15263</v>
      </c>
      <c r="S14" s="6" t="str">
        <f t="shared" si="8"/>
        <v>Shank</v>
      </c>
      <c r="T14" s="11">
        <f t="shared" si="9"/>
        <v>2885.389926</v>
      </c>
    </row>
    <row r="15">
      <c r="B15" s="1" t="s">
        <v>303</v>
      </c>
      <c r="C15" s="1">
        <v>0.32</v>
      </c>
      <c r="D15" s="1">
        <v>21.8</v>
      </c>
      <c r="E15" s="1">
        <v>6438.0</v>
      </c>
      <c r="F15" s="1">
        <v>8852.0</v>
      </c>
      <c r="G15" s="1">
        <v>1294.0</v>
      </c>
      <c r="H15" s="1">
        <v>1294.0</v>
      </c>
      <c r="I15" s="2"/>
      <c r="J15" s="1">
        <v>24.0</v>
      </c>
      <c r="K15" s="12">
        <f>1/4</f>
        <v>0.25</v>
      </c>
      <c r="L15" s="9">
        <f t="shared" si="1"/>
        <v>25121.076</v>
      </c>
      <c r="M15" s="10">
        <f t="shared" si="2"/>
        <v>34540.504</v>
      </c>
      <c r="N15" s="9">
        <f t="shared" si="3"/>
        <v>5049.188</v>
      </c>
      <c r="O15" s="11">
        <f t="shared" si="4"/>
        <v>5049.188</v>
      </c>
      <c r="P15" s="11">
        <f t="shared" si="5"/>
        <v>64835.632</v>
      </c>
      <c r="Q15" s="11">
        <f t="shared" si="6"/>
        <v>60869.49221</v>
      </c>
      <c r="R15" s="11">
        <f t="shared" si="7"/>
        <v>74231.08806</v>
      </c>
      <c r="S15" s="6" t="str">
        <f t="shared" si="8"/>
        <v>Backstab</v>
      </c>
      <c r="T15" s="11">
        <f t="shared" si="9"/>
        <v>2751.785362</v>
      </c>
    </row>
    <row r="16">
      <c r="A16" s="1">
        <v>1.0</v>
      </c>
      <c r="B16" s="1" t="s">
        <v>304</v>
      </c>
      <c r="C16" s="1">
        <v>0.63</v>
      </c>
      <c r="D16" s="1">
        <v>43.6</v>
      </c>
      <c r="E16" s="1">
        <v>12835.0</v>
      </c>
      <c r="F16" s="1">
        <v>20005.0</v>
      </c>
      <c r="I16" s="2"/>
      <c r="K16" s="3"/>
      <c r="L16" s="9">
        <f t="shared" si="1"/>
        <v>50082.17</v>
      </c>
      <c r="M16" s="10">
        <f t="shared" si="2"/>
        <v>78059.51</v>
      </c>
      <c r="N16" s="9">
        <f t="shared" si="3"/>
        <v>0</v>
      </c>
      <c r="O16" s="11">
        <f t="shared" si="4"/>
        <v>0</v>
      </c>
      <c r="P16" s="11">
        <f t="shared" si="5"/>
        <v>78059.51</v>
      </c>
      <c r="Q16" s="11">
        <f t="shared" si="6"/>
        <v>67125.00455</v>
      </c>
      <c r="R16" s="11">
        <f t="shared" si="7"/>
        <v>59402.6589</v>
      </c>
      <c r="S16" s="6" t="str">
        <f t="shared" si="8"/>
        <v>Cornered</v>
      </c>
      <c r="T16" s="11">
        <f t="shared" si="9"/>
        <v>1517.635192</v>
      </c>
    </row>
    <row r="17">
      <c r="B17" s="1" t="s">
        <v>305</v>
      </c>
      <c r="C17" s="1">
        <v>0.32</v>
      </c>
      <c r="D17" s="1">
        <v>43.6</v>
      </c>
      <c r="E17" s="1">
        <v>9928.0</v>
      </c>
      <c r="F17" s="1">
        <v>13333.0</v>
      </c>
      <c r="I17" s="2"/>
      <c r="K17" s="3"/>
      <c r="L17" s="9">
        <f t="shared" si="1"/>
        <v>38739.056</v>
      </c>
      <c r="M17" s="10">
        <f t="shared" si="2"/>
        <v>52025.366</v>
      </c>
      <c r="N17" s="9">
        <f t="shared" si="3"/>
        <v>0</v>
      </c>
      <c r="O17" s="11">
        <f t="shared" si="4"/>
        <v>0</v>
      </c>
      <c r="P17" s="11">
        <f t="shared" si="5"/>
        <v>52025.366</v>
      </c>
      <c r="Q17" s="11">
        <f t="shared" si="6"/>
        <v>46354.65169</v>
      </c>
      <c r="R17" s="11">
        <f t="shared" si="7"/>
        <v>56530.06303</v>
      </c>
      <c r="S17" s="6" t="str">
        <f t="shared" si="8"/>
        <v>Evasive Manueuvers</v>
      </c>
      <c r="T17" s="11">
        <f t="shared" si="9"/>
        <v>1055.433782</v>
      </c>
    </row>
    <row r="18">
      <c r="B18" s="1" t="s">
        <v>306</v>
      </c>
      <c r="C18" s="1">
        <v>0.32</v>
      </c>
      <c r="D18" s="1">
        <v>33.6</v>
      </c>
      <c r="E18" s="1">
        <v>9850.0</v>
      </c>
      <c r="F18" s="1">
        <v>13221.0</v>
      </c>
      <c r="I18" s="2"/>
      <c r="K18" s="3"/>
      <c r="L18" s="9">
        <f t="shared" si="1"/>
        <v>38434.7</v>
      </c>
      <c r="M18" s="10">
        <f t="shared" si="2"/>
        <v>51588.342</v>
      </c>
      <c r="N18" s="9">
        <f t="shared" si="3"/>
        <v>0</v>
      </c>
      <c r="O18" s="11">
        <f t="shared" si="4"/>
        <v>0</v>
      </c>
      <c r="P18" s="11">
        <f t="shared" si="5"/>
        <v>51588.342</v>
      </c>
      <c r="Q18" s="11">
        <f t="shared" si="6"/>
        <v>45972.48774</v>
      </c>
      <c r="R18" s="11">
        <f t="shared" si="7"/>
        <v>56064.00944</v>
      </c>
      <c r="S18" s="6" t="str">
        <f t="shared" si="8"/>
        <v>Will to Survive</v>
      </c>
      <c r="T18" s="11">
        <f t="shared" si="9"/>
        <v>1355.320983</v>
      </c>
    </row>
    <row r="19">
      <c r="B19" s="1" t="s">
        <v>307</v>
      </c>
      <c r="C19" s="1">
        <v>0.32</v>
      </c>
      <c r="D19" s="1">
        <v>21.8</v>
      </c>
      <c r="E19" s="6">
        <f>5858+3475</f>
        <v>9333</v>
      </c>
      <c r="F19" s="6">
        <f>7927+5544</f>
        <v>13471</v>
      </c>
      <c r="I19" s="2"/>
      <c r="K19" s="3"/>
      <c r="L19" s="9">
        <f t="shared" si="1"/>
        <v>36417.366</v>
      </c>
      <c r="M19" s="10">
        <f t="shared" si="2"/>
        <v>52563.842</v>
      </c>
      <c r="N19" s="9">
        <f t="shared" si="3"/>
        <v>0</v>
      </c>
      <c r="O19" s="11">
        <f t="shared" si="4"/>
        <v>0</v>
      </c>
      <c r="P19" s="11">
        <f t="shared" si="5"/>
        <v>52563.842</v>
      </c>
      <c r="Q19" s="11">
        <f t="shared" si="6"/>
        <v>45955.56887</v>
      </c>
      <c r="R19" s="11">
        <f t="shared" si="7"/>
        <v>56043.37667</v>
      </c>
      <c r="S19" s="6" t="str">
        <f t="shared" si="8"/>
        <v>B &amp; A</v>
      </c>
      <c r="T19" s="11">
        <f t="shared" si="9"/>
        <v>2077.557363</v>
      </c>
    </row>
    <row r="20">
      <c r="B20" s="1" t="s">
        <v>308</v>
      </c>
      <c r="C20" s="1">
        <v>0.32</v>
      </c>
      <c r="D20" s="1">
        <v>30.0</v>
      </c>
      <c r="E20" s="1">
        <v>8705.0</v>
      </c>
      <c r="F20" s="1">
        <v>12469.0</v>
      </c>
      <c r="I20" s="2"/>
      <c r="K20" s="3"/>
      <c r="L20" s="9">
        <f t="shared" si="1"/>
        <v>33966.91</v>
      </c>
      <c r="M20" s="10">
        <f t="shared" si="2"/>
        <v>48654.038</v>
      </c>
      <c r="N20" s="9">
        <f t="shared" si="3"/>
        <v>0</v>
      </c>
      <c r="O20" s="11">
        <f t="shared" si="4"/>
        <v>0</v>
      </c>
      <c r="P20" s="11">
        <f t="shared" si="5"/>
        <v>48654.038</v>
      </c>
      <c r="Q20" s="11">
        <f t="shared" si="6"/>
        <v>42615.904</v>
      </c>
      <c r="R20" s="11">
        <f t="shared" si="7"/>
        <v>51970.61464</v>
      </c>
      <c r="S20" s="6" t="str">
        <f t="shared" si="8"/>
        <v>Black Jack</v>
      </c>
      <c r="T20" s="11">
        <f t="shared" si="9"/>
        <v>1405.537731</v>
      </c>
    </row>
    <row r="21">
      <c r="B21" s="1" t="s">
        <v>309</v>
      </c>
      <c r="C21" s="1">
        <v>0.32</v>
      </c>
      <c r="D21" s="1">
        <v>21.8</v>
      </c>
      <c r="E21" s="6">
        <f>5368+2984</f>
        <v>8352</v>
      </c>
      <c r="F21" s="6">
        <f>7141+4758</f>
        <v>11899</v>
      </c>
      <c r="I21" s="2"/>
      <c r="K21" s="3"/>
      <c r="L21" s="9">
        <f t="shared" si="1"/>
        <v>32589.504</v>
      </c>
      <c r="M21" s="10">
        <f t="shared" si="2"/>
        <v>46429.898</v>
      </c>
      <c r="N21" s="9">
        <f t="shared" si="3"/>
        <v>0</v>
      </c>
      <c r="O21" s="11">
        <f t="shared" si="4"/>
        <v>0</v>
      </c>
      <c r="P21" s="11">
        <f t="shared" si="5"/>
        <v>46429.898</v>
      </c>
      <c r="Q21" s="11">
        <f t="shared" si="6"/>
        <v>40721.78627</v>
      </c>
      <c r="R21" s="11">
        <f t="shared" si="7"/>
        <v>49660.71496</v>
      </c>
      <c r="S21" s="6" t="str">
        <f t="shared" si="8"/>
        <v>Double Blast</v>
      </c>
      <c r="T21" s="11">
        <f t="shared" si="9"/>
        <v>1840.948746</v>
      </c>
    </row>
    <row r="22">
      <c r="B22" s="1" t="s">
        <v>310</v>
      </c>
      <c r="C22" s="1">
        <v>0.32</v>
      </c>
      <c r="D22" s="1">
        <v>21.8</v>
      </c>
      <c r="E22" s="1">
        <v>8230.0</v>
      </c>
      <c r="F22" s="1">
        <v>11712.0</v>
      </c>
      <c r="I22" s="2"/>
      <c r="K22" s="3"/>
      <c r="L22" s="9">
        <f t="shared" si="1"/>
        <v>32113.46</v>
      </c>
      <c r="M22" s="10">
        <f t="shared" si="2"/>
        <v>45700.224</v>
      </c>
      <c r="N22" s="9">
        <f t="shared" si="3"/>
        <v>0</v>
      </c>
      <c r="O22" s="11">
        <f t="shared" si="4"/>
        <v>0</v>
      </c>
      <c r="P22" s="11">
        <f t="shared" si="5"/>
        <v>45700.224</v>
      </c>
      <c r="Q22" s="11">
        <f t="shared" si="6"/>
        <v>40093.00969</v>
      </c>
      <c r="R22" s="11">
        <f t="shared" si="7"/>
        <v>48893.91426</v>
      </c>
      <c r="S22" s="6" t="str">
        <f t="shared" si="8"/>
        <v>Stunning Blow</v>
      </c>
      <c r="T22" s="11">
        <f t="shared" si="9"/>
        <v>1812.523042</v>
      </c>
    </row>
    <row r="23">
      <c r="B23" s="1" t="s">
        <v>311</v>
      </c>
      <c r="C23" s="1">
        <v>0.32</v>
      </c>
      <c r="D23" s="1">
        <v>21.8</v>
      </c>
      <c r="E23" s="1">
        <v>7716.0</v>
      </c>
      <c r="F23" s="1">
        <v>11748.0</v>
      </c>
      <c r="I23" s="2"/>
      <c r="K23" s="3"/>
      <c r="L23" s="9">
        <f t="shared" si="1"/>
        <v>30107.832</v>
      </c>
      <c r="M23" s="10">
        <f t="shared" si="2"/>
        <v>45840.696</v>
      </c>
      <c r="N23" s="9">
        <f t="shared" si="3"/>
        <v>0</v>
      </c>
      <c r="O23" s="11">
        <f t="shared" si="4"/>
        <v>0</v>
      </c>
      <c r="P23" s="11">
        <f t="shared" si="5"/>
        <v>45840.696</v>
      </c>
      <c r="Q23" s="11">
        <f t="shared" si="6"/>
        <v>39603.80848</v>
      </c>
      <c r="R23" s="11">
        <f t="shared" si="7"/>
        <v>48297.32742</v>
      </c>
      <c r="S23" s="6" t="str">
        <f t="shared" si="8"/>
        <v>Change of Eng</v>
      </c>
      <c r="T23" s="11">
        <f t="shared" si="9"/>
        <v>1790.407255</v>
      </c>
    </row>
    <row r="24">
      <c r="B24" s="1" t="s">
        <v>312</v>
      </c>
      <c r="C24" s="1">
        <v>0.32</v>
      </c>
      <c r="D24" s="1">
        <v>21.8</v>
      </c>
      <c r="E24" s="1">
        <v>8066.0</v>
      </c>
      <c r="F24" s="1">
        <v>11450.0</v>
      </c>
      <c r="I24" s="2"/>
      <c r="K24" s="3"/>
      <c r="L24" s="9">
        <f t="shared" si="1"/>
        <v>31473.532</v>
      </c>
      <c r="M24" s="10">
        <f t="shared" si="2"/>
        <v>44677.9</v>
      </c>
      <c r="N24" s="9">
        <f t="shared" si="3"/>
        <v>0</v>
      </c>
      <c r="O24" s="11">
        <f t="shared" si="4"/>
        <v>0</v>
      </c>
      <c r="P24" s="11">
        <f t="shared" si="5"/>
        <v>44677.9</v>
      </c>
      <c r="Q24" s="11">
        <f t="shared" si="6"/>
        <v>39220.50954</v>
      </c>
      <c r="R24" s="11">
        <f t="shared" si="7"/>
        <v>47829.88968</v>
      </c>
      <c r="S24" s="6" t="str">
        <f t="shared" si="8"/>
        <v>Desperate Thrust</v>
      </c>
      <c r="T24" s="11">
        <f t="shared" si="9"/>
        <v>1773.079093</v>
      </c>
    </row>
    <row r="25">
      <c r="B25" s="1" t="s">
        <v>313</v>
      </c>
      <c r="C25" s="1">
        <v>0.32</v>
      </c>
      <c r="D25" s="1">
        <v>7.3</v>
      </c>
      <c r="E25" s="1">
        <v>7999.0</v>
      </c>
      <c r="F25" s="1">
        <v>11343.0</v>
      </c>
      <c r="I25" s="2"/>
      <c r="K25" s="3"/>
      <c r="L25" s="9">
        <f t="shared" si="1"/>
        <v>31212.098</v>
      </c>
      <c r="M25" s="10">
        <f t="shared" si="2"/>
        <v>44260.386</v>
      </c>
      <c r="N25" s="9">
        <f t="shared" si="3"/>
        <v>0</v>
      </c>
      <c r="O25" s="11">
        <f t="shared" si="4"/>
        <v>0</v>
      </c>
      <c r="P25" s="11">
        <f t="shared" si="5"/>
        <v>44260.386</v>
      </c>
      <c r="Q25" s="11">
        <f t="shared" si="6"/>
        <v>38864.18831</v>
      </c>
      <c r="R25" s="11">
        <f t="shared" si="7"/>
        <v>47395.3516</v>
      </c>
      <c r="S25" s="6" t="str">
        <f t="shared" si="8"/>
        <v>Rob</v>
      </c>
      <c r="T25" s="11">
        <f t="shared" si="9"/>
        <v>5100.28718</v>
      </c>
    </row>
    <row r="26">
      <c r="B26" s="1" t="s">
        <v>314</v>
      </c>
      <c r="C26" s="1">
        <v>0.32</v>
      </c>
      <c r="D26" s="1">
        <v>33.6</v>
      </c>
      <c r="E26" s="1">
        <v>8963.0</v>
      </c>
      <c r="F26" s="1">
        <v>10308.0</v>
      </c>
      <c r="K26" s="3"/>
      <c r="L26" s="9">
        <f t="shared" si="1"/>
        <v>34973.626</v>
      </c>
      <c r="M26" s="10">
        <f t="shared" si="2"/>
        <v>40221.816</v>
      </c>
      <c r="N26" s="9">
        <f t="shared" si="3"/>
        <v>0</v>
      </c>
      <c r="O26" s="11">
        <f t="shared" si="4"/>
        <v>0</v>
      </c>
      <c r="P26" s="11">
        <f t="shared" si="5"/>
        <v>40221.816</v>
      </c>
      <c r="Q26" s="11">
        <f t="shared" si="6"/>
        <v>37780.86706</v>
      </c>
      <c r="R26" s="11">
        <f t="shared" si="7"/>
        <v>46074.22813</v>
      </c>
      <c r="S26" s="6" t="str">
        <f t="shared" si="8"/>
        <v>Thieving Essence</v>
      </c>
      <c r="T26" s="11">
        <f t="shared" si="9"/>
        <v>1113.822732</v>
      </c>
    </row>
    <row r="27">
      <c r="B27" s="1" t="s">
        <v>315</v>
      </c>
      <c r="C27" s="1">
        <v>0.32</v>
      </c>
      <c r="D27" s="1">
        <v>7.3</v>
      </c>
      <c r="E27" s="1">
        <v>6671.0</v>
      </c>
      <c r="F27" s="1">
        <v>9565.0</v>
      </c>
      <c r="I27" s="2"/>
      <c r="K27" s="3"/>
      <c r="L27" s="9">
        <f t="shared" si="1"/>
        <v>26030.242</v>
      </c>
      <c r="M27" s="10">
        <f t="shared" si="2"/>
        <v>37322.63</v>
      </c>
      <c r="N27" s="9">
        <f t="shared" si="3"/>
        <v>0</v>
      </c>
      <c r="O27" s="11">
        <f t="shared" si="4"/>
        <v>0</v>
      </c>
      <c r="P27" s="11">
        <f t="shared" si="5"/>
        <v>37322.63</v>
      </c>
      <c r="Q27" s="11">
        <f t="shared" si="6"/>
        <v>32682.84678</v>
      </c>
      <c r="R27" s="11">
        <f t="shared" si="7"/>
        <v>39857.13022</v>
      </c>
      <c r="S27" s="6" t="str">
        <f t="shared" si="8"/>
        <v>Bum Rush</v>
      </c>
      <c r="T27" s="11">
        <f t="shared" si="9"/>
        <v>4289.087504</v>
      </c>
    </row>
    <row r="28">
      <c r="B28" s="1" t="s">
        <v>316</v>
      </c>
      <c r="C28" s="1">
        <v>0.32</v>
      </c>
      <c r="D28" s="1">
        <v>7.3</v>
      </c>
      <c r="E28" s="1">
        <v>5190.0</v>
      </c>
      <c r="F28" s="1">
        <v>6862.0</v>
      </c>
      <c r="I28" s="2"/>
      <c r="K28" s="3"/>
      <c r="L28" s="9">
        <f t="shared" si="1"/>
        <v>20251.38</v>
      </c>
      <c r="M28" s="10">
        <f t="shared" si="2"/>
        <v>26775.524</v>
      </c>
      <c r="N28" s="9">
        <f t="shared" si="3"/>
        <v>0</v>
      </c>
      <c r="O28" s="11">
        <f t="shared" si="4"/>
        <v>0</v>
      </c>
      <c r="P28" s="11">
        <f t="shared" si="5"/>
        <v>26775.524</v>
      </c>
      <c r="Q28" s="11">
        <f t="shared" si="6"/>
        <v>23966.0063</v>
      </c>
      <c r="R28" s="11">
        <f t="shared" si="7"/>
        <v>29226.83695</v>
      </c>
      <c r="S28" s="6" t="str">
        <f t="shared" si="8"/>
        <v>Puncture</v>
      </c>
      <c r="T28" s="11">
        <f t="shared" si="9"/>
        <v>3145.145183</v>
      </c>
    </row>
    <row r="29">
      <c r="A29" s="1">
        <v>1.0</v>
      </c>
      <c r="B29" s="1" t="s">
        <v>317</v>
      </c>
      <c r="C29" s="1">
        <v>0.63</v>
      </c>
      <c r="D29" s="1">
        <v>15.0</v>
      </c>
      <c r="E29" s="1">
        <v>4925.0</v>
      </c>
      <c r="F29" s="1">
        <v>7560.0</v>
      </c>
      <c r="I29" s="2"/>
      <c r="K29" s="3"/>
      <c r="L29" s="9">
        <f t="shared" si="1"/>
        <v>19217.35</v>
      </c>
      <c r="M29" s="10">
        <f t="shared" si="2"/>
        <v>29499.12</v>
      </c>
      <c r="N29" s="9">
        <f t="shared" si="3"/>
        <v>0</v>
      </c>
      <c r="O29" s="11">
        <f t="shared" si="4"/>
        <v>0</v>
      </c>
      <c r="P29" s="11">
        <f t="shared" si="5"/>
        <v>29499.12</v>
      </c>
      <c r="Q29" s="11">
        <f t="shared" si="6"/>
        <v>25443.23556</v>
      </c>
      <c r="R29" s="11">
        <f t="shared" si="7"/>
        <v>22516.13766</v>
      </c>
      <c r="S29" s="6" t="str">
        <f t="shared" si="8"/>
        <v>Barroom Neg</v>
      </c>
      <c r="T29" s="11">
        <f t="shared" si="9"/>
        <v>1627.846165</v>
      </c>
    </row>
    <row r="30">
      <c r="B30" s="1" t="s">
        <v>318</v>
      </c>
      <c r="C30" s="1">
        <v>0.32</v>
      </c>
      <c r="D30" s="1">
        <v>21.8</v>
      </c>
      <c r="E30" s="1">
        <v>2793.0</v>
      </c>
      <c r="F30" s="1">
        <v>4457.0</v>
      </c>
      <c r="I30" s="2"/>
      <c r="K30" s="3"/>
      <c r="L30" s="9">
        <f t="shared" si="1"/>
        <v>10898.286</v>
      </c>
      <c r="M30" s="10">
        <f t="shared" si="2"/>
        <v>17391.214</v>
      </c>
      <c r="N30" s="9">
        <f t="shared" si="3"/>
        <v>0</v>
      </c>
      <c r="O30" s="11">
        <f t="shared" si="4"/>
        <v>0</v>
      </c>
      <c r="P30" s="11">
        <f t="shared" si="5"/>
        <v>17391.214</v>
      </c>
      <c r="Q30" s="11">
        <f t="shared" si="6"/>
        <v>14889.86946</v>
      </c>
      <c r="R30" s="11">
        <f t="shared" si="7"/>
        <v>18158.37739</v>
      </c>
      <c r="S30" s="6" t="str">
        <f t="shared" si="8"/>
        <v>Boot Dagger</v>
      </c>
      <c r="T30" s="11">
        <f t="shared" si="9"/>
        <v>673.1405724</v>
      </c>
    </row>
    <row r="31">
      <c r="B31" s="1" t="s">
        <v>319</v>
      </c>
      <c r="C31" s="1">
        <v>0.32</v>
      </c>
      <c r="D31" s="1">
        <v>21.8</v>
      </c>
      <c r="E31" s="1">
        <v>2031.0</v>
      </c>
      <c r="F31" s="1">
        <v>3241.0</v>
      </c>
      <c r="I31" s="2"/>
      <c r="K31" s="3"/>
      <c r="L31" s="9">
        <f t="shared" si="1"/>
        <v>7924.962</v>
      </c>
      <c r="M31" s="10">
        <f t="shared" si="2"/>
        <v>12646.382</v>
      </c>
      <c r="N31" s="9">
        <f t="shared" si="3"/>
        <v>0</v>
      </c>
      <c r="O31" s="11">
        <f t="shared" si="4"/>
        <v>0</v>
      </c>
      <c r="P31" s="11">
        <f t="shared" si="5"/>
        <v>12646.382</v>
      </c>
      <c r="Q31" s="11">
        <f t="shared" si="6"/>
        <v>10827.48898</v>
      </c>
      <c r="R31" s="11">
        <f t="shared" si="7"/>
        <v>13204.25485</v>
      </c>
      <c r="S31" s="6" t="str">
        <f t="shared" si="8"/>
        <v>Deft Disarm</v>
      </c>
      <c r="T31" s="11">
        <f t="shared" si="9"/>
        <v>489.4886517</v>
      </c>
    </row>
    <row r="32">
      <c r="I32" s="2"/>
      <c r="K32" s="3"/>
      <c r="L32" s="9">
        <f t="shared" si="1"/>
        <v>1</v>
      </c>
      <c r="M32" s="10">
        <f t="shared" si="2"/>
        <v>0</v>
      </c>
      <c r="N32" s="9">
        <f t="shared" si="3"/>
        <v>0</v>
      </c>
      <c r="O32" s="11">
        <f t="shared" si="4"/>
        <v>0</v>
      </c>
      <c r="P32" s="11">
        <f t="shared" si="5"/>
        <v>0</v>
      </c>
      <c r="Q32" s="11" t="str">
        <f t="shared" ref="Q32:Q45" si="10">(L32*E32+F32*M32)/(E32+F32)+if(G32&gt;0,(N32*G32+H32*O32)/(G32+H32)*J32*K32,0)</f>
        <v>#DIV/0!</v>
      </c>
      <c r="R32" s="11"/>
      <c r="S32" s="6" t="str">
        <f t="shared" si="8"/>
        <v/>
      </c>
      <c r="T32" s="11" t="str">
        <f t="shared" ref="T32:T45" si="11">$Q32/($C32+$D32)</f>
        <v>#DIV/0!</v>
      </c>
    </row>
    <row r="33">
      <c r="I33" s="2"/>
      <c r="K33" s="3"/>
      <c r="L33" s="9">
        <f t="shared" si="1"/>
        <v>1</v>
      </c>
      <c r="M33" s="10">
        <f t="shared" si="2"/>
        <v>0</v>
      </c>
      <c r="N33" s="9">
        <f t="shared" si="3"/>
        <v>0</v>
      </c>
      <c r="O33" s="11">
        <f t="shared" si="4"/>
        <v>0</v>
      </c>
      <c r="P33" s="11">
        <f t="shared" si="5"/>
        <v>0</v>
      </c>
      <c r="Q33" s="11" t="str">
        <f t="shared" si="10"/>
        <v>#DIV/0!</v>
      </c>
      <c r="R33" s="11"/>
      <c r="S33" s="6" t="str">
        <f t="shared" si="8"/>
        <v/>
      </c>
      <c r="T33" s="11" t="str">
        <f t="shared" si="11"/>
        <v>#DIV/0!</v>
      </c>
    </row>
    <row r="34">
      <c r="I34" s="2"/>
      <c r="K34" s="3"/>
      <c r="L34" s="9">
        <f t="shared" si="1"/>
        <v>1</v>
      </c>
      <c r="M34" s="10">
        <f t="shared" si="2"/>
        <v>0</v>
      </c>
      <c r="N34" s="9">
        <f t="shared" si="3"/>
        <v>0</v>
      </c>
      <c r="O34" s="11">
        <f t="shared" si="4"/>
        <v>0</v>
      </c>
      <c r="P34" s="11">
        <f t="shared" si="5"/>
        <v>0</v>
      </c>
      <c r="Q34" s="11" t="str">
        <f t="shared" si="10"/>
        <v>#DIV/0!</v>
      </c>
      <c r="R34" s="11"/>
      <c r="S34" s="6" t="str">
        <f t="shared" si="8"/>
        <v/>
      </c>
      <c r="T34" s="11" t="str">
        <f t="shared" si="11"/>
        <v>#DIV/0!</v>
      </c>
    </row>
    <row r="35">
      <c r="I35" s="2"/>
      <c r="K35" s="3"/>
      <c r="L35" s="9">
        <f t="shared" si="1"/>
        <v>1</v>
      </c>
      <c r="M35" s="10">
        <f t="shared" si="2"/>
        <v>0</v>
      </c>
      <c r="N35" s="9">
        <f t="shared" si="3"/>
        <v>0</v>
      </c>
      <c r="O35" s="11">
        <f t="shared" si="4"/>
        <v>0</v>
      </c>
      <c r="P35" s="11">
        <f t="shared" si="5"/>
        <v>0</v>
      </c>
      <c r="Q35" s="11" t="str">
        <f t="shared" si="10"/>
        <v>#DIV/0!</v>
      </c>
      <c r="R35" s="11"/>
      <c r="S35" s="6" t="str">
        <f t="shared" si="8"/>
        <v/>
      </c>
      <c r="T35" s="11" t="str">
        <f t="shared" si="11"/>
        <v>#DIV/0!</v>
      </c>
    </row>
    <row r="36">
      <c r="I36" s="2"/>
      <c r="K36" s="3"/>
      <c r="L36" s="9">
        <f t="shared" si="1"/>
        <v>1</v>
      </c>
      <c r="M36" s="10">
        <f t="shared" si="2"/>
        <v>0</v>
      </c>
      <c r="N36" s="9">
        <f t="shared" si="3"/>
        <v>0</v>
      </c>
      <c r="O36" s="11">
        <f t="shared" si="4"/>
        <v>0</v>
      </c>
      <c r="P36" s="11">
        <f t="shared" si="5"/>
        <v>0</v>
      </c>
      <c r="Q36" s="11" t="str">
        <f t="shared" si="10"/>
        <v>#DIV/0!</v>
      </c>
      <c r="R36" s="11"/>
      <c r="S36" s="6" t="str">
        <f t="shared" si="8"/>
        <v/>
      </c>
      <c r="T36" s="11" t="str">
        <f t="shared" si="11"/>
        <v>#DIV/0!</v>
      </c>
    </row>
    <row r="37">
      <c r="I37" s="2"/>
      <c r="K37" s="3"/>
      <c r="L37" s="9">
        <f t="shared" si="1"/>
        <v>1</v>
      </c>
      <c r="M37" s="10">
        <f t="shared" si="2"/>
        <v>0</v>
      </c>
      <c r="N37" s="9">
        <f t="shared" si="3"/>
        <v>0</v>
      </c>
      <c r="O37" s="11">
        <f t="shared" si="4"/>
        <v>0</v>
      </c>
      <c r="P37" s="11">
        <f t="shared" si="5"/>
        <v>0</v>
      </c>
      <c r="Q37" s="11" t="str">
        <f t="shared" si="10"/>
        <v>#DIV/0!</v>
      </c>
      <c r="R37" s="11"/>
      <c r="S37" s="6" t="str">
        <f t="shared" si="8"/>
        <v/>
      </c>
      <c r="T37" s="11" t="str">
        <f t="shared" si="11"/>
        <v>#DIV/0!</v>
      </c>
    </row>
    <row r="38">
      <c r="I38" s="2"/>
      <c r="K38" s="3"/>
      <c r="L38" s="9">
        <f t="shared" si="1"/>
        <v>1</v>
      </c>
      <c r="M38" s="10">
        <f t="shared" si="2"/>
        <v>0</v>
      </c>
      <c r="N38" s="9">
        <f t="shared" si="3"/>
        <v>0</v>
      </c>
      <c r="O38" s="11">
        <f t="shared" si="4"/>
        <v>0</v>
      </c>
      <c r="P38" s="11">
        <f t="shared" si="5"/>
        <v>0</v>
      </c>
      <c r="Q38" s="11" t="str">
        <f t="shared" si="10"/>
        <v>#DIV/0!</v>
      </c>
      <c r="R38" s="11"/>
      <c r="S38" s="6" t="str">
        <f t="shared" si="8"/>
        <v/>
      </c>
      <c r="T38" s="11" t="str">
        <f t="shared" si="11"/>
        <v>#DIV/0!</v>
      </c>
    </row>
    <row r="39">
      <c r="I39" s="2"/>
      <c r="K39" s="3"/>
      <c r="L39" s="9">
        <f t="shared" si="1"/>
        <v>1</v>
      </c>
      <c r="M39" s="10">
        <f t="shared" si="2"/>
        <v>0</v>
      </c>
      <c r="N39" s="9">
        <f t="shared" si="3"/>
        <v>0</v>
      </c>
      <c r="O39" s="11">
        <f t="shared" si="4"/>
        <v>0</v>
      </c>
      <c r="P39" s="11">
        <f t="shared" si="5"/>
        <v>0</v>
      </c>
      <c r="Q39" s="11" t="str">
        <f t="shared" si="10"/>
        <v>#DIV/0!</v>
      </c>
      <c r="R39" s="11"/>
      <c r="S39" s="6" t="str">
        <f t="shared" si="8"/>
        <v/>
      </c>
      <c r="T39" s="11" t="str">
        <f t="shared" si="11"/>
        <v>#DIV/0!</v>
      </c>
    </row>
    <row r="40">
      <c r="I40" s="2"/>
      <c r="K40" s="3"/>
      <c r="L40" s="9">
        <f t="shared" si="1"/>
        <v>1</v>
      </c>
      <c r="M40" s="10">
        <f t="shared" si="2"/>
        <v>0</v>
      </c>
      <c r="N40" s="9">
        <f t="shared" si="3"/>
        <v>0</v>
      </c>
      <c r="O40" s="11">
        <f t="shared" si="4"/>
        <v>0</v>
      </c>
      <c r="P40" s="11">
        <f t="shared" si="5"/>
        <v>0</v>
      </c>
      <c r="Q40" s="11" t="str">
        <f t="shared" si="10"/>
        <v>#DIV/0!</v>
      </c>
      <c r="R40" s="11"/>
      <c r="S40" s="6" t="str">
        <f t="shared" si="8"/>
        <v/>
      </c>
      <c r="T40" s="11" t="str">
        <f t="shared" si="11"/>
        <v>#DIV/0!</v>
      </c>
    </row>
    <row r="41">
      <c r="I41" s="2"/>
      <c r="K41" s="3"/>
      <c r="L41" s="9">
        <f t="shared" si="1"/>
        <v>1</v>
      </c>
      <c r="M41" s="10">
        <f t="shared" si="2"/>
        <v>0</v>
      </c>
      <c r="N41" s="9">
        <f t="shared" si="3"/>
        <v>0</v>
      </c>
      <c r="O41" s="11">
        <f t="shared" si="4"/>
        <v>0</v>
      </c>
      <c r="P41" s="11">
        <f t="shared" si="5"/>
        <v>0</v>
      </c>
      <c r="Q41" s="11" t="str">
        <f t="shared" si="10"/>
        <v>#DIV/0!</v>
      </c>
      <c r="R41" s="11"/>
      <c r="S41" s="6" t="str">
        <f t="shared" si="8"/>
        <v/>
      </c>
      <c r="T41" s="11" t="str">
        <f t="shared" si="11"/>
        <v>#DIV/0!</v>
      </c>
    </row>
    <row r="42">
      <c r="I42" s="2"/>
      <c r="K42" s="3"/>
      <c r="L42" s="9">
        <f t="shared" si="1"/>
        <v>1</v>
      </c>
      <c r="M42" s="10">
        <f t="shared" si="2"/>
        <v>0</v>
      </c>
      <c r="N42" s="9">
        <f t="shared" si="3"/>
        <v>0</v>
      </c>
      <c r="O42" s="11">
        <f t="shared" si="4"/>
        <v>0</v>
      </c>
      <c r="P42" s="11">
        <f t="shared" si="5"/>
        <v>0</v>
      </c>
      <c r="Q42" s="11" t="str">
        <f t="shared" si="10"/>
        <v>#DIV/0!</v>
      </c>
      <c r="R42" s="11"/>
      <c r="S42" s="6" t="str">
        <f t="shared" si="8"/>
        <v/>
      </c>
      <c r="T42" s="11" t="str">
        <f t="shared" si="11"/>
        <v>#DIV/0!</v>
      </c>
    </row>
    <row r="43">
      <c r="I43" s="2"/>
      <c r="K43" s="3"/>
      <c r="L43" s="9">
        <f t="shared" si="1"/>
        <v>1</v>
      </c>
      <c r="M43" s="10">
        <f t="shared" si="2"/>
        <v>0</v>
      </c>
      <c r="N43" s="9">
        <f t="shared" si="3"/>
        <v>0</v>
      </c>
      <c r="O43" s="11">
        <f t="shared" si="4"/>
        <v>0</v>
      </c>
      <c r="P43" s="11">
        <f t="shared" si="5"/>
        <v>0</v>
      </c>
      <c r="Q43" s="11" t="str">
        <f t="shared" si="10"/>
        <v>#DIV/0!</v>
      </c>
      <c r="R43" s="11"/>
      <c r="S43" s="6" t="str">
        <f t="shared" si="8"/>
        <v/>
      </c>
      <c r="T43" s="11" t="str">
        <f t="shared" si="11"/>
        <v>#DIV/0!</v>
      </c>
    </row>
    <row r="44">
      <c r="I44" s="2"/>
      <c r="K44" s="3"/>
      <c r="L44" s="9">
        <f t="shared" si="1"/>
        <v>1</v>
      </c>
      <c r="M44" s="10">
        <f t="shared" si="2"/>
        <v>0</v>
      </c>
      <c r="N44" s="9">
        <f t="shared" si="3"/>
        <v>0</v>
      </c>
      <c r="O44" s="11">
        <f t="shared" si="4"/>
        <v>0</v>
      </c>
      <c r="P44" s="11">
        <f t="shared" si="5"/>
        <v>0</v>
      </c>
      <c r="Q44" s="11" t="str">
        <f t="shared" si="10"/>
        <v>#DIV/0!</v>
      </c>
      <c r="R44" s="11"/>
      <c r="S44" s="6" t="str">
        <f t="shared" si="8"/>
        <v/>
      </c>
      <c r="T44" s="11" t="str">
        <f t="shared" si="11"/>
        <v>#DIV/0!</v>
      </c>
    </row>
    <row r="45">
      <c r="I45" s="2"/>
      <c r="K45" s="3"/>
      <c r="L45" s="9">
        <f t="shared" si="1"/>
        <v>1</v>
      </c>
      <c r="M45" s="10">
        <f t="shared" si="2"/>
        <v>0</v>
      </c>
      <c r="N45" s="9">
        <f t="shared" si="3"/>
        <v>0</v>
      </c>
      <c r="O45" s="11">
        <f t="shared" si="4"/>
        <v>0</v>
      </c>
      <c r="P45" s="11">
        <f t="shared" si="5"/>
        <v>0</v>
      </c>
      <c r="Q45" s="11" t="str">
        <f t="shared" si="10"/>
        <v>#DIV/0!</v>
      </c>
      <c r="R45" s="11"/>
      <c r="S45" s="6" t="str">
        <f t="shared" si="8"/>
        <v/>
      </c>
      <c r="T45" s="11" t="str">
        <f t="shared" si="11"/>
        <v>#DIV/0!</v>
      </c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I76" s="2"/>
      <c r="K76" s="3"/>
      <c r="L76" s="4"/>
    </row>
    <row r="77">
      <c r="I77" s="2"/>
      <c r="K77" s="3"/>
      <c r="L77" s="4"/>
    </row>
    <row r="78">
      <c r="I78" s="2"/>
      <c r="K78" s="3"/>
      <c r="L78" s="4"/>
    </row>
    <row r="79">
      <c r="I79" s="2"/>
      <c r="K79" s="3"/>
      <c r="L79" s="4"/>
    </row>
    <row r="80">
      <c r="I80" s="2"/>
      <c r="K80" s="3"/>
      <c r="L80" s="4"/>
    </row>
    <row r="81">
      <c r="I81" s="2"/>
      <c r="K81" s="3"/>
      <c r="L81" s="4"/>
    </row>
    <row r="82"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1.5+6.152</f>
        <v>7.652</v>
      </c>
      <c r="K1" s="3"/>
      <c r="L1" s="4"/>
    </row>
    <row r="2">
      <c r="A2" s="1" t="s">
        <v>1</v>
      </c>
      <c r="B2" s="5">
        <v>0.469</v>
      </c>
      <c r="K2" s="3"/>
      <c r="L2" s="4"/>
    </row>
    <row r="3">
      <c r="A3" s="1" t="s">
        <v>2</v>
      </c>
      <c r="B3" s="1">
        <v>0.0</v>
      </c>
      <c r="K3" s="3"/>
      <c r="L3" s="4"/>
    </row>
    <row r="4">
      <c r="A4" s="1" t="s">
        <v>3</v>
      </c>
      <c r="B4" s="1">
        <v>1.0</v>
      </c>
      <c r="K4" s="3"/>
      <c r="L4" s="4"/>
    </row>
    <row r="5">
      <c r="B5" s="2"/>
      <c r="K5" s="3"/>
      <c r="L5" s="4"/>
    </row>
    <row r="6">
      <c r="B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26</v>
      </c>
      <c r="C8" s="1">
        <v>0.25</v>
      </c>
      <c r="D8" s="1">
        <v>6.0</v>
      </c>
      <c r="E8" s="1">
        <v>23855.0</v>
      </c>
      <c r="F8" s="1">
        <v>26782.0</v>
      </c>
      <c r="G8" s="1">
        <v>142834.0</v>
      </c>
      <c r="H8" s="1">
        <v>230665.0</v>
      </c>
      <c r="I8" s="2"/>
      <c r="J8" s="1">
        <v>1.0</v>
      </c>
      <c r="K8" s="7">
        <v>1.0</v>
      </c>
      <c r="L8" s="9">
        <f t="shared" ref="L8:L39" si="1">if(E8*($B$1+$I8)&lt;(F8+1),F8+1,E8*($I8+$B$1))</f>
        <v>182538.46</v>
      </c>
      <c r="M8" s="10">
        <f t="shared" ref="M8:M39" si="2">F8*($B$1+$I8)</f>
        <v>204935.864</v>
      </c>
      <c r="N8" s="9">
        <f t="shared" ref="N8:N39" si="3">if(if(G8*($B$1+$I8)&lt;(H8+1),H8+1,G8*($I8+$B$1))=1,0,if(G8*($B$1+$I8)&lt;(H8+1),H8+1,G8*($I8+$B$1)))</f>
        <v>1092965.768</v>
      </c>
      <c r="O8" s="11">
        <f t="shared" ref="O8:O39" si="4">H8*($B$1+$I8)</f>
        <v>1765048.58</v>
      </c>
      <c r="P8" s="11">
        <f t="shared" ref="P8:P39" si="5">M8+O8*K8*J8</f>
        <v>1969984.444</v>
      </c>
      <c r="Q8" s="11">
        <f t="shared" ref="Q8:Q39" si="6">(if($A8=1,$B$4,1)*((L8*E8+F8*M8)/(E8+F8)+if(G8&gt;0,(N8*G8+H8*O8)/(G8+H8)*J8*K8,0)))</f>
        <v>1702414.236</v>
      </c>
      <c r="R8" s="11">
        <f t="shared" ref="R8:R39" si="7">Q8/(C8+0.5*(1/(1+$B$5)))</f>
        <v>2269885.648</v>
      </c>
      <c r="S8" s="6" t="str">
        <f t="shared" ref="S8:S39" si="8">B8</f>
        <v>exploit weakness</v>
      </c>
      <c r="T8" s="11">
        <f t="shared" ref="T8:T39" si="9">$Q8/(($C8+$D8))</f>
        <v>272386.2778</v>
      </c>
      <c r="U8" s="11"/>
    </row>
    <row r="9">
      <c r="B9" s="1" t="s">
        <v>25</v>
      </c>
      <c r="C9" s="1">
        <v>1.5</v>
      </c>
      <c r="D9" s="1">
        <v>150.0</v>
      </c>
      <c r="E9" s="1">
        <v>174631.0</v>
      </c>
      <c r="F9" s="1">
        <v>251239.0</v>
      </c>
      <c r="G9" s="1">
        <v>155537.0</v>
      </c>
      <c r="H9" s="1">
        <v>232145.0</v>
      </c>
      <c r="I9" s="2"/>
      <c r="J9" s="1">
        <v>1.0</v>
      </c>
      <c r="K9" s="7">
        <v>1.0</v>
      </c>
      <c r="L9" s="9">
        <f t="shared" si="1"/>
        <v>1336276.412</v>
      </c>
      <c r="M9" s="10">
        <f t="shared" si="2"/>
        <v>1922480.828</v>
      </c>
      <c r="N9" s="9">
        <f t="shared" si="3"/>
        <v>1190169.124</v>
      </c>
      <c r="O9" s="11">
        <f t="shared" si="4"/>
        <v>1776373.54</v>
      </c>
      <c r="P9" s="11">
        <f t="shared" si="5"/>
        <v>3698854.368</v>
      </c>
      <c r="Q9" s="11">
        <f t="shared" si="6"/>
        <v>3223293.437</v>
      </c>
      <c r="R9" s="11">
        <f t="shared" si="7"/>
        <v>1611646.719</v>
      </c>
      <c r="S9" s="6" t="str">
        <f t="shared" si="8"/>
        <v>sniper shot</v>
      </c>
      <c r="T9" s="11">
        <f t="shared" si="9"/>
        <v>21275.86427</v>
      </c>
      <c r="U9" s="11"/>
    </row>
    <row r="10">
      <c r="B10" s="1" t="s">
        <v>32</v>
      </c>
      <c r="C10" s="1">
        <v>0.25</v>
      </c>
      <c r="D10" s="1">
        <v>30.0</v>
      </c>
      <c r="E10" s="1">
        <v>56221.0</v>
      </c>
      <c r="F10" s="1">
        <v>74507.0</v>
      </c>
      <c r="G10" s="1">
        <v>37127.0</v>
      </c>
      <c r="H10" s="1">
        <v>55413.0</v>
      </c>
      <c r="I10" s="5">
        <v>0.125</v>
      </c>
      <c r="J10" s="1">
        <v>1.0</v>
      </c>
      <c r="K10" s="7">
        <v>1.0</v>
      </c>
      <c r="L10" s="9">
        <f t="shared" si="1"/>
        <v>437230.717</v>
      </c>
      <c r="M10" s="10">
        <f t="shared" si="2"/>
        <v>579440.939</v>
      </c>
      <c r="N10" s="9">
        <f t="shared" si="3"/>
        <v>288736.679</v>
      </c>
      <c r="O10" s="11">
        <f t="shared" si="4"/>
        <v>430946.901</v>
      </c>
      <c r="P10" s="11">
        <f t="shared" si="5"/>
        <v>1010387.84</v>
      </c>
      <c r="Q10" s="11">
        <f t="shared" si="6"/>
        <v>892174.1181</v>
      </c>
      <c r="R10" s="11">
        <f t="shared" si="7"/>
        <v>1189565.491</v>
      </c>
      <c r="S10" s="6" t="str">
        <f t="shared" si="8"/>
        <v>ranger's blade</v>
      </c>
      <c r="T10" s="11">
        <f t="shared" si="9"/>
        <v>29493.35928</v>
      </c>
      <c r="U10" s="11"/>
    </row>
    <row r="11">
      <c r="A11" s="1">
        <v>1.0</v>
      </c>
      <c r="B11" s="1" t="s">
        <v>65</v>
      </c>
      <c r="C11" s="1">
        <v>0.5</v>
      </c>
      <c r="D11" s="1">
        <v>30.0</v>
      </c>
      <c r="E11" s="1">
        <v>45625.0</v>
      </c>
      <c r="F11" s="1">
        <v>52552.0</v>
      </c>
      <c r="G11" s="1">
        <v>62317.0</v>
      </c>
      <c r="H11" s="1">
        <v>73314.0</v>
      </c>
      <c r="I11" s="19">
        <v>0.2</v>
      </c>
      <c r="J11" s="1">
        <v>1.0</v>
      </c>
      <c r="K11" s="7">
        <v>1.0</v>
      </c>
      <c r="L11" s="9">
        <f t="shared" si="1"/>
        <v>358247.5</v>
      </c>
      <c r="M11" s="10">
        <f t="shared" si="2"/>
        <v>412638.304</v>
      </c>
      <c r="N11" s="9">
        <f t="shared" si="3"/>
        <v>489313.084</v>
      </c>
      <c r="O11" s="11">
        <f t="shared" si="4"/>
        <v>575661.528</v>
      </c>
      <c r="P11" s="11">
        <f t="shared" si="5"/>
        <v>988299.832</v>
      </c>
      <c r="Q11" s="11">
        <f t="shared" si="6"/>
        <v>923349.5915</v>
      </c>
      <c r="R11" s="11">
        <f t="shared" si="7"/>
        <v>923349.5915</v>
      </c>
      <c r="S11" s="6" t="str">
        <f t="shared" si="8"/>
        <v>stream of arrows</v>
      </c>
      <c r="T11" s="11">
        <f t="shared" si="9"/>
        <v>30273.7571</v>
      </c>
      <c r="U11" s="11"/>
    </row>
    <row r="12">
      <c r="A12" s="1">
        <v>1.0</v>
      </c>
      <c r="B12" s="1" t="s">
        <v>64</v>
      </c>
      <c r="C12" s="1">
        <v>0.5</v>
      </c>
      <c r="D12" s="1">
        <v>45.0</v>
      </c>
      <c r="E12" s="1">
        <v>40483.0</v>
      </c>
      <c r="F12" s="1">
        <v>57288.0</v>
      </c>
      <c r="G12" s="1">
        <v>54156.0</v>
      </c>
      <c r="H12" s="1">
        <v>80831.0</v>
      </c>
      <c r="I12" s="2"/>
      <c r="J12" s="1">
        <v>1.0</v>
      </c>
      <c r="K12" s="7">
        <v>1.0</v>
      </c>
      <c r="L12" s="9">
        <f t="shared" si="1"/>
        <v>309775.916</v>
      </c>
      <c r="M12" s="10">
        <f t="shared" si="2"/>
        <v>438367.776</v>
      </c>
      <c r="N12" s="9">
        <f t="shared" si="3"/>
        <v>414401.712</v>
      </c>
      <c r="O12" s="11">
        <f t="shared" si="4"/>
        <v>618518.812</v>
      </c>
      <c r="P12" s="11">
        <f t="shared" si="5"/>
        <v>1056886.588</v>
      </c>
      <c r="Q12" s="11">
        <f t="shared" si="6"/>
        <v>921751.3273</v>
      </c>
      <c r="R12" s="11">
        <f t="shared" si="7"/>
        <v>921751.3273</v>
      </c>
      <c r="S12" s="6" t="str">
        <f t="shared" si="8"/>
        <v>storm of arrows</v>
      </c>
      <c r="T12" s="11">
        <f t="shared" si="9"/>
        <v>20258.27093</v>
      </c>
      <c r="U12" s="11"/>
    </row>
    <row r="13">
      <c r="A13" s="1">
        <v>1.0</v>
      </c>
      <c r="B13" s="1" t="s">
        <v>30</v>
      </c>
      <c r="C13" s="1">
        <v>0.5</v>
      </c>
      <c r="D13" s="1">
        <v>13.5</v>
      </c>
      <c r="E13" s="1">
        <v>55024.0</v>
      </c>
      <c r="F13" s="1">
        <v>84946.0</v>
      </c>
      <c r="G13" s="1">
        <v>7245.0</v>
      </c>
      <c r="H13" s="1">
        <v>13455.0</v>
      </c>
      <c r="J13" s="1">
        <v>1.0</v>
      </c>
      <c r="K13" s="7">
        <v>4.0</v>
      </c>
      <c r="L13" s="9">
        <f t="shared" si="1"/>
        <v>421043.648</v>
      </c>
      <c r="M13" s="10">
        <f t="shared" si="2"/>
        <v>650006.792</v>
      </c>
      <c r="N13" s="9">
        <f t="shared" si="3"/>
        <v>55438.74</v>
      </c>
      <c r="O13" s="11">
        <f t="shared" si="4"/>
        <v>102957.66</v>
      </c>
      <c r="P13" s="11">
        <f t="shared" si="5"/>
        <v>1061837.432</v>
      </c>
      <c r="Q13" s="11">
        <f t="shared" si="6"/>
        <v>905302.5991</v>
      </c>
      <c r="R13" s="11">
        <f t="shared" si="7"/>
        <v>905302.5991</v>
      </c>
      <c r="S13" s="6" t="str">
        <f t="shared" si="8"/>
        <v>rapid salvo</v>
      </c>
      <c r="T13" s="11">
        <f t="shared" si="9"/>
        <v>64664.47136</v>
      </c>
      <c r="U13" s="11"/>
    </row>
    <row r="14">
      <c r="A14" s="1">
        <v>1.0</v>
      </c>
      <c r="B14" s="1" t="s">
        <v>28</v>
      </c>
      <c r="C14" s="1">
        <v>0.75</v>
      </c>
      <c r="D14" s="1">
        <v>45.0</v>
      </c>
      <c r="E14" s="1">
        <v>41566.0</v>
      </c>
      <c r="F14" s="1">
        <v>58904.0</v>
      </c>
      <c r="G14" s="1">
        <v>55881.0</v>
      </c>
      <c r="H14" s="1">
        <v>83405.0</v>
      </c>
      <c r="J14" s="1">
        <v>1.0</v>
      </c>
      <c r="K14" s="7">
        <v>1.0</v>
      </c>
      <c r="L14" s="9">
        <f t="shared" si="1"/>
        <v>318063.032</v>
      </c>
      <c r="M14" s="10">
        <f t="shared" si="2"/>
        <v>450733.408</v>
      </c>
      <c r="N14" s="9">
        <f t="shared" si="3"/>
        <v>427601.412</v>
      </c>
      <c r="O14" s="11">
        <f t="shared" si="4"/>
        <v>638215.06</v>
      </c>
      <c r="P14" s="11">
        <f t="shared" si="5"/>
        <v>1088948.468</v>
      </c>
      <c r="Q14" s="11">
        <f t="shared" si="6"/>
        <v>949563.2979</v>
      </c>
      <c r="R14" s="11">
        <f t="shared" si="7"/>
        <v>759650.6384</v>
      </c>
      <c r="S14" s="6" t="str">
        <f t="shared" si="8"/>
        <v>hidden assault</v>
      </c>
      <c r="T14" s="11">
        <f t="shared" si="9"/>
        <v>20755.48192</v>
      </c>
      <c r="U14" s="11"/>
    </row>
    <row r="15">
      <c r="B15" s="1" t="s">
        <v>37</v>
      </c>
      <c r="C15" s="1">
        <v>0.25</v>
      </c>
      <c r="D15" s="1">
        <v>5.0</v>
      </c>
      <c r="E15" s="1">
        <v>38385.0</v>
      </c>
      <c r="F15" s="1">
        <v>47887.0</v>
      </c>
      <c r="G15" s="1">
        <v>19291.0</v>
      </c>
      <c r="H15" s="1">
        <v>28793.0</v>
      </c>
      <c r="I15" s="5">
        <v>0.125</v>
      </c>
      <c r="J15" s="1">
        <v>1.0</v>
      </c>
      <c r="K15" s="7">
        <v>1.0</v>
      </c>
      <c r="L15" s="9">
        <f t="shared" si="1"/>
        <v>298520.145</v>
      </c>
      <c r="M15" s="10">
        <f t="shared" si="2"/>
        <v>372417.199</v>
      </c>
      <c r="N15" s="9">
        <f t="shared" si="3"/>
        <v>150026.107</v>
      </c>
      <c r="O15" s="11">
        <f t="shared" si="4"/>
        <v>223923.161</v>
      </c>
      <c r="P15" s="11">
        <f t="shared" si="5"/>
        <v>596340.36</v>
      </c>
      <c r="Q15" s="11">
        <f t="shared" si="6"/>
        <v>533814.3088</v>
      </c>
      <c r="R15" s="11">
        <f t="shared" si="7"/>
        <v>711752.4117</v>
      </c>
      <c r="S15" s="6" t="str">
        <f t="shared" si="8"/>
        <v>emberstrike</v>
      </c>
      <c r="T15" s="11">
        <f t="shared" si="9"/>
        <v>101678.916</v>
      </c>
      <c r="U15" s="11"/>
    </row>
    <row r="16">
      <c r="B16" s="1" t="s">
        <v>39</v>
      </c>
      <c r="C16" s="1">
        <v>0.25</v>
      </c>
      <c r="D16" s="1">
        <v>15.0</v>
      </c>
      <c r="E16" s="1">
        <v>16433.0</v>
      </c>
      <c r="F16" s="1">
        <v>17983.0</v>
      </c>
      <c r="G16" s="1">
        <v>5174.0</v>
      </c>
      <c r="H16" s="1">
        <v>5174.0</v>
      </c>
      <c r="J16" s="1">
        <v>24.0</v>
      </c>
      <c r="K16" s="12">
        <f>1/2.6</f>
        <v>0.3846153846</v>
      </c>
      <c r="L16" s="9">
        <f t="shared" si="1"/>
        <v>125745.316</v>
      </c>
      <c r="M16" s="10">
        <f t="shared" si="2"/>
        <v>137605.916</v>
      </c>
      <c r="N16" s="9">
        <f t="shared" si="3"/>
        <v>39591.448</v>
      </c>
      <c r="O16" s="11">
        <f t="shared" si="4"/>
        <v>39591.448</v>
      </c>
      <c r="P16" s="11">
        <f t="shared" si="5"/>
        <v>503065.436</v>
      </c>
      <c r="Q16" s="11">
        <f t="shared" si="6"/>
        <v>497402.2201</v>
      </c>
      <c r="R16" s="11">
        <f t="shared" si="7"/>
        <v>663202.9601</v>
      </c>
      <c r="S16" s="6" t="str">
        <f t="shared" si="8"/>
        <v>bloody reminder</v>
      </c>
      <c r="T16" s="11">
        <f t="shared" si="9"/>
        <v>32616.53902</v>
      </c>
      <c r="U16" s="11"/>
    </row>
    <row r="17">
      <c r="B17" s="1" t="s">
        <v>320</v>
      </c>
      <c r="C17" s="1">
        <v>0.25</v>
      </c>
      <c r="D17" s="1">
        <v>60.0</v>
      </c>
      <c r="E17" s="1">
        <v>50795.0</v>
      </c>
      <c r="F17" s="1">
        <v>66409.0</v>
      </c>
      <c r="K17" s="3"/>
      <c r="L17" s="9">
        <f t="shared" si="1"/>
        <v>388683.34</v>
      </c>
      <c r="M17" s="10">
        <f t="shared" si="2"/>
        <v>508161.668</v>
      </c>
      <c r="N17" s="9">
        <f t="shared" si="3"/>
        <v>0</v>
      </c>
      <c r="O17" s="11">
        <f t="shared" si="4"/>
        <v>0</v>
      </c>
      <c r="P17" s="11">
        <f t="shared" si="5"/>
        <v>508161.668</v>
      </c>
      <c r="Q17" s="11">
        <f t="shared" si="6"/>
        <v>456380.9978</v>
      </c>
      <c r="R17" s="11">
        <f t="shared" si="7"/>
        <v>608507.9971</v>
      </c>
      <c r="S17" s="6" t="str">
        <f t="shared" si="8"/>
        <v>sinister strike</v>
      </c>
      <c r="T17" s="11">
        <f t="shared" si="9"/>
        <v>7574.788345</v>
      </c>
    </row>
    <row r="18">
      <c r="A18" s="1">
        <v>1.0</v>
      </c>
      <c r="B18" s="1" t="s">
        <v>27</v>
      </c>
      <c r="C18" s="1">
        <v>1.0</v>
      </c>
      <c r="D18" s="1">
        <v>90.0</v>
      </c>
      <c r="E18" s="1">
        <v>26537.0</v>
      </c>
      <c r="F18" s="1">
        <v>34189.0</v>
      </c>
      <c r="G18" s="1">
        <v>16759.0</v>
      </c>
      <c r="H18" s="1">
        <v>25138.0</v>
      </c>
      <c r="I18" s="2"/>
      <c r="J18" s="1">
        <v>12.0</v>
      </c>
      <c r="K18" s="12">
        <f>1/3</f>
        <v>0.3333333333</v>
      </c>
      <c r="L18" s="9">
        <f t="shared" si="1"/>
        <v>203061.124</v>
      </c>
      <c r="M18" s="10">
        <f t="shared" si="2"/>
        <v>261614.228</v>
      </c>
      <c r="N18" s="9">
        <f t="shared" si="3"/>
        <v>128239.868</v>
      </c>
      <c r="O18" s="11">
        <f t="shared" si="4"/>
        <v>192355.976</v>
      </c>
      <c r="P18" s="11">
        <f t="shared" si="5"/>
        <v>1031038.132</v>
      </c>
      <c r="Q18" s="11">
        <f t="shared" si="6"/>
        <v>902863.6811</v>
      </c>
      <c r="R18" s="11">
        <f t="shared" si="7"/>
        <v>601909.1207</v>
      </c>
      <c r="S18" s="6" t="str">
        <f t="shared" si="8"/>
        <v>arrow barrage</v>
      </c>
      <c r="T18" s="11">
        <f t="shared" si="9"/>
        <v>9921.578913</v>
      </c>
      <c r="U18" s="11"/>
    </row>
    <row r="19">
      <c r="B19" s="1" t="s">
        <v>33</v>
      </c>
      <c r="C19" s="1">
        <v>0.75</v>
      </c>
      <c r="D19" s="1">
        <v>30.0</v>
      </c>
      <c r="E19" s="1">
        <v>48376.0</v>
      </c>
      <c r="F19" s="1">
        <v>62799.0</v>
      </c>
      <c r="G19" s="1">
        <v>29282.0</v>
      </c>
      <c r="H19" s="1">
        <v>43705.0</v>
      </c>
      <c r="J19" s="1">
        <v>1.0</v>
      </c>
      <c r="K19" s="7">
        <v>1.0</v>
      </c>
      <c r="L19" s="9">
        <f t="shared" si="1"/>
        <v>370173.152</v>
      </c>
      <c r="M19" s="10">
        <f t="shared" si="2"/>
        <v>480537.948</v>
      </c>
      <c r="N19" s="9">
        <f t="shared" si="3"/>
        <v>224065.864</v>
      </c>
      <c r="O19" s="11">
        <f t="shared" si="4"/>
        <v>334430.66</v>
      </c>
      <c r="P19" s="11">
        <f t="shared" si="5"/>
        <v>814968.608</v>
      </c>
      <c r="Q19" s="11">
        <f t="shared" si="6"/>
        <v>722667.3802</v>
      </c>
      <c r="R19" s="11">
        <f t="shared" si="7"/>
        <v>578133.9042</v>
      </c>
      <c r="S19" s="6" t="str">
        <f t="shared" si="8"/>
        <v>rear shot</v>
      </c>
      <c r="T19" s="11">
        <f t="shared" si="9"/>
        <v>23501.37822</v>
      </c>
      <c r="U19" s="11"/>
    </row>
    <row r="20">
      <c r="B20" s="1" t="s">
        <v>42</v>
      </c>
      <c r="C20" s="1">
        <v>0.25</v>
      </c>
      <c r="D20" s="1">
        <v>5.0</v>
      </c>
      <c r="E20" s="1">
        <v>28997.0</v>
      </c>
      <c r="F20" s="1">
        <v>40076.0</v>
      </c>
      <c r="G20" s="1">
        <v>14058.0</v>
      </c>
      <c r="H20" s="1">
        <v>20982.0</v>
      </c>
      <c r="I20" s="5">
        <v>0.1</v>
      </c>
      <c r="J20" s="1">
        <v>1.0</v>
      </c>
      <c r="K20" s="7">
        <v>1.0</v>
      </c>
      <c r="L20" s="9">
        <f t="shared" si="1"/>
        <v>224784.744</v>
      </c>
      <c r="M20" s="10">
        <f t="shared" si="2"/>
        <v>310669.152</v>
      </c>
      <c r="N20" s="9">
        <f t="shared" si="3"/>
        <v>108977.616</v>
      </c>
      <c r="O20" s="11">
        <f t="shared" si="4"/>
        <v>162652.464</v>
      </c>
      <c r="P20" s="11">
        <f t="shared" si="5"/>
        <v>473321.616</v>
      </c>
      <c r="Q20" s="11">
        <f t="shared" si="6"/>
        <v>415732.8738</v>
      </c>
      <c r="R20" s="11">
        <f t="shared" si="7"/>
        <v>554310.4984</v>
      </c>
      <c r="S20" s="6" t="str">
        <f t="shared" si="8"/>
        <v>sneak attack</v>
      </c>
      <c r="T20" s="11">
        <f t="shared" si="9"/>
        <v>79187.21406</v>
      </c>
      <c r="U20" s="11"/>
    </row>
    <row r="21">
      <c r="B21" s="1" t="s">
        <v>38</v>
      </c>
      <c r="C21" s="1">
        <v>0.5</v>
      </c>
      <c r="D21" s="1">
        <v>22.5</v>
      </c>
      <c r="E21" s="1">
        <v>51308.0</v>
      </c>
      <c r="F21" s="1">
        <v>59487.0</v>
      </c>
      <c r="G21" s="1">
        <v>9584.0</v>
      </c>
      <c r="H21" s="1">
        <v>13219.0</v>
      </c>
      <c r="I21" s="2"/>
      <c r="J21" s="1">
        <v>1.0</v>
      </c>
      <c r="K21" s="12">
        <f>1*$B$4</f>
        <v>1</v>
      </c>
      <c r="L21" s="9">
        <f t="shared" si="1"/>
        <v>392608.816</v>
      </c>
      <c r="M21" s="10">
        <f t="shared" si="2"/>
        <v>455194.524</v>
      </c>
      <c r="N21" s="9">
        <f t="shared" si="3"/>
        <v>73336.768</v>
      </c>
      <c r="O21" s="11">
        <f t="shared" si="4"/>
        <v>101151.788</v>
      </c>
      <c r="P21" s="11">
        <f t="shared" si="5"/>
        <v>556346.312</v>
      </c>
      <c r="Q21" s="11">
        <f t="shared" si="6"/>
        <v>515672.9986</v>
      </c>
      <c r="R21" s="11">
        <f t="shared" si="7"/>
        <v>515672.9986</v>
      </c>
      <c r="S21" s="6" t="str">
        <f t="shared" si="8"/>
        <v>explosive</v>
      </c>
      <c r="T21" s="11">
        <f t="shared" si="9"/>
        <v>22420.56516</v>
      </c>
      <c r="U21" s="11"/>
    </row>
    <row r="22">
      <c r="B22" s="1" t="s">
        <v>36</v>
      </c>
      <c r="C22" s="1">
        <v>0.75</v>
      </c>
      <c r="D22" s="1">
        <v>45.0</v>
      </c>
      <c r="E22" s="1">
        <v>67298.0</v>
      </c>
      <c r="F22" s="1">
        <v>91041.0</v>
      </c>
      <c r="K22" s="3"/>
      <c r="L22" s="9">
        <f t="shared" si="1"/>
        <v>514964.296</v>
      </c>
      <c r="M22" s="10">
        <f t="shared" si="2"/>
        <v>696645.732</v>
      </c>
      <c r="N22" s="9">
        <f t="shared" si="3"/>
        <v>0</v>
      </c>
      <c r="O22" s="11">
        <f t="shared" si="4"/>
        <v>0</v>
      </c>
      <c r="P22" s="11">
        <f t="shared" si="5"/>
        <v>696645.732</v>
      </c>
      <c r="Q22" s="11">
        <f t="shared" si="6"/>
        <v>619426.6181</v>
      </c>
      <c r="R22" s="11">
        <f t="shared" si="7"/>
        <v>495541.2945</v>
      </c>
      <c r="S22" s="6" t="str">
        <f t="shared" si="8"/>
        <v>hidden shot</v>
      </c>
      <c r="T22" s="11">
        <f t="shared" si="9"/>
        <v>13539.37963</v>
      </c>
      <c r="U22" s="11"/>
    </row>
    <row r="23">
      <c r="B23" s="1" t="s">
        <v>321</v>
      </c>
      <c r="C23" s="1">
        <v>0.125</v>
      </c>
      <c r="D23" s="1">
        <v>10.0</v>
      </c>
      <c r="E23" s="1">
        <v>35870.0</v>
      </c>
      <c r="F23" s="1">
        <v>43841.0</v>
      </c>
      <c r="K23" s="3"/>
      <c r="L23" s="9">
        <f t="shared" si="1"/>
        <v>274477.24</v>
      </c>
      <c r="M23" s="10">
        <f t="shared" si="2"/>
        <v>335471.332</v>
      </c>
      <c r="N23" s="9">
        <f t="shared" si="3"/>
        <v>0</v>
      </c>
      <c r="O23" s="11">
        <f t="shared" si="4"/>
        <v>0</v>
      </c>
      <c r="P23" s="11">
        <f t="shared" si="5"/>
        <v>335471.332</v>
      </c>
      <c r="Q23" s="11">
        <f t="shared" si="6"/>
        <v>308023.9523</v>
      </c>
      <c r="R23" s="11">
        <f t="shared" si="7"/>
        <v>492838.3237</v>
      </c>
      <c r="S23" s="6" t="str">
        <f t="shared" si="8"/>
        <v>evade</v>
      </c>
      <c r="T23" s="11">
        <f t="shared" si="9"/>
        <v>30422.11875</v>
      </c>
    </row>
    <row r="24">
      <c r="B24" s="1" t="s">
        <v>48</v>
      </c>
      <c r="C24" s="1">
        <v>0.25</v>
      </c>
      <c r="D24" s="1">
        <v>10.0</v>
      </c>
      <c r="E24" s="1">
        <v>32792.0</v>
      </c>
      <c r="F24" s="1">
        <v>39540.0</v>
      </c>
      <c r="I24" s="2"/>
      <c r="K24" s="3"/>
      <c r="L24" s="9">
        <f t="shared" si="1"/>
        <v>250924.384</v>
      </c>
      <c r="M24" s="10">
        <f t="shared" si="2"/>
        <v>302560.08</v>
      </c>
      <c r="N24" s="9">
        <f t="shared" si="3"/>
        <v>0</v>
      </c>
      <c r="O24" s="11">
        <f t="shared" si="4"/>
        <v>0</v>
      </c>
      <c r="P24" s="11">
        <f t="shared" si="5"/>
        <v>302560.08</v>
      </c>
      <c r="Q24" s="11">
        <f t="shared" si="6"/>
        <v>279150.8318</v>
      </c>
      <c r="R24" s="11">
        <f t="shared" si="7"/>
        <v>372201.109</v>
      </c>
      <c r="S24" s="6" t="str">
        <f t="shared" si="8"/>
        <v>rip</v>
      </c>
      <c r="T24" s="11">
        <f t="shared" si="9"/>
        <v>27234.22749</v>
      </c>
      <c r="U24" s="11"/>
    </row>
    <row r="25">
      <c r="B25" s="1" t="s">
        <v>45</v>
      </c>
      <c r="C25" s="1">
        <v>0.25</v>
      </c>
      <c r="D25" s="1">
        <v>30.0</v>
      </c>
      <c r="E25" s="1">
        <v>29329.0</v>
      </c>
      <c r="F25" s="1">
        <v>40455.0</v>
      </c>
      <c r="I25" s="2"/>
      <c r="K25" s="3"/>
      <c r="L25" s="9">
        <f t="shared" si="1"/>
        <v>224425.508</v>
      </c>
      <c r="M25" s="10">
        <f t="shared" si="2"/>
        <v>309561.66</v>
      </c>
      <c r="N25" s="9">
        <f t="shared" si="3"/>
        <v>0</v>
      </c>
      <c r="O25" s="11">
        <f t="shared" si="4"/>
        <v>0</v>
      </c>
      <c r="P25" s="11">
        <f t="shared" si="5"/>
        <v>309561.66</v>
      </c>
      <c r="Q25" s="11">
        <f t="shared" si="6"/>
        <v>273780.4179</v>
      </c>
      <c r="R25" s="11">
        <f t="shared" si="7"/>
        <v>365040.5571</v>
      </c>
      <c r="S25" s="6" t="str">
        <f t="shared" si="8"/>
        <v>evasive manuevers</v>
      </c>
      <c r="T25" s="11">
        <f t="shared" si="9"/>
        <v>9050.592326</v>
      </c>
      <c r="U25" s="11"/>
    </row>
    <row r="26">
      <c r="B26" s="1" t="s">
        <v>41</v>
      </c>
      <c r="C26" s="1">
        <v>0.75</v>
      </c>
      <c r="D26" s="1">
        <v>30.0</v>
      </c>
      <c r="E26" s="6">
        <f>20798+10047+15070</f>
        <v>45915</v>
      </c>
      <c r="F26" s="6">
        <f>26591+14995+22493</f>
        <v>64079</v>
      </c>
      <c r="I26" s="2"/>
      <c r="K26" s="3"/>
      <c r="L26" s="9">
        <f t="shared" si="1"/>
        <v>351341.58</v>
      </c>
      <c r="M26" s="10">
        <f t="shared" si="2"/>
        <v>490332.508</v>
      </c>
      <c r="N26" s="9">
        <f t="shared" si="3"/>
        <v>0</v>
      </c>
      <c r="O26" s="11">
        <f t="shared" si="4"/>
        <v>0</v>
      </c>
      <c r="P26" s="11">
        <f t="shared" si="5"/>
        <v>490332.508</v>
      </c>
      <c r="Q26" s="11">
        <f t="shared" si="6"/>
        <v>432313.2664</v>
      </c>
      <c r="R26" s="11">
        <f t="shared" si="7"/>
        <v>345850.6131</v>
      </c>
      <c r="S26" s="6" t="str">
        <f t="shared" si="8"/>
        <v>triple shot</v>
      </c>
      <c r="T26" s="11">
        <f t="shared" si="9"/>
        <v>14058.96801</v>
      </c>
      <c r="U26" s="11"/>
    </row>
    <row r="27">
      <c r="B27" s="1" t="s">
        <v>46</v>
      </c>
      <c r="C27" s="1">
        <v>0.25</v>
      </c>
      <c r="D27" s="1">
        <v>15.0</v>
      </c>
      <c r="E27" s="1">
        <v>25752.0</v>
      </c>
      <c r="F27" s="1">
        <v>38435.0</v>
      </c>
      <c r="I27" s="2"/>
      <c r="K27" s="3"/>
      <c r="L27" s="9">
        <f t="shared" si="1"/>
        <v>197054.304</v>
      </c>
      <c r="M27" s="10">
        <f t="shared" si="2"/>
        <v>294104.62</v>
      </c>
      <c r="N27" s="9">
        <f t="shared" si="3"/>
        <v>0</v>
      </c>
      <c r="O27" s="11">
        <f t="shared" si="4"/>
        <v>0</v>
      </c>
      <c r="P27" s="11">
        <f t="shared" si="5"/>
        <v>294104.62</v>
      </c>
      <c r="Q27" s="11">
        <f t="shared" si="6"/>
        <v>255167.7677</v>
      </c>
      <c r="R27" s="11">
        <f t="shared" si="7"/>
        <v>340223.6903</v>
      </c>
      <c r="S27" s="6" t="str">
        <f t="shared" si="8"/>
        <v>trick</v>
      </c>
      <c r="T27" s="11">
        <f t="shared" si="9"/>
        <v>16732.31264</v>
      </c>
      <c r="U27" s="11"/>
    </row>
    <row r="28">
      <c r="B28" s="1" t="s">
        <v>47</v>
      </c>
      <c r="C28" s="1">
        <v>0.25</v>
      </c>
      <c r="D28" s="1">
        <v>10.0</v>
      </c>
      <c r="E28" s="1">
        <v>17368.0</v>
      </c>
      <c r="F28" s="1">
        <v>24852.0</v>
      </c>
      <c r="G28" s="1">
        <v>8325.0</v>
      </c>
      <c r="H28" s="1">
        <v>12426.0</v>
      </c>
      <c r="I28" s="2"/>
      <c r="J28" s="1">
        <v>1.0</v>
      </c>
      <c r="K28" s="7">
        <v>1.0</v>
      </c>
      <c r="L28" s="9">
        <f t="shared" si="1"/>
        <v>132899.936</v>
      </c>
      <c r="M28" s="10">
        <f t="shared" si="2"/>
        <v>190167.504</v>
      </c>
      <c r="N28" s="9">
        <f t="shared" si="3"/>
        <v>63702.9</v>
      </c>
      <c r="O28" s="11">
        <f t="shared" si="4"/>
        <v>95083.752</v>
      </c>
      <c r="P28" s="11">
        <f t="shared" si="5"/>
        <v>285251.256</v>
      </c>
      <c r="Q28" s="11">
        <f t="shared" si="6"/>
        <v>249103.6104</v>
      </c>
      <c r="R28" s="11">
        <f t="shared" si="7"/>
        <v>332138.1472</v>
      </c>
      <c r="S28" s="6" t="str">
        <f t="shared" si="8"/>
        <v>searing</v>
      </c>
      <c r="T28" s="11">
        <f t="shared" si="9"/>
        <v>24302.79126</v>
      </c>
      <c r="U28" s="11"/>
    </row>
    <row r="29">
      <c r="B29" s="1" t="s">
        <v>51</v>
      </c>
      <c r="C29" s="1">
        <v>0.25</v>
      </c>
      <c r="D29" s="1">
        <v>15.0</v>
      </c>
      <c r="E29" s="1">
        <v>25601.0</v>
      </c>
      <c r="F29" s="1">
        <v>33288.0</v>
      </c>
      <c r="I29" s="2"/>
      <c r="K29" s="3"/>
      <c r="L29" s="9">
        <f t="shared" si="1"/>
        <v>195898.852</v>
      </c>
      <c r="M29" s="10">
        <f t="shared" si="2"/>
        <v>254719.776</v>
      </c>
      <c r="N29" s="9">
        <f t="shared" si="3"/>
        <v>0</v>
      </c>
      <c r="O29" s="11">
        <f t="shared" si="4"/>
        <v>0</v>
      </c>
      <c r="P29" s="11">
        <f t="shared" si="5"/>
        <v>254719.776</v>
      </c>
      <c r="Q29" s="11">
        <f t="shared" si="6"/>
        <v>229148.3709</v>
      </c>
      <c r="R29" s="11">
        <f t="shared" si="7"/>
        <v>305531.1612</v>
      </c>
      <c r="S29" s="6" t="str">
        <f t="shared" si="8"/>
        <v>nox enf</v>
      </c>
      <c r="T29" s="11">
        <f t="shared" si="9"/>
        <v>15026.12268</v>
      </c>
      <c r="U29" s="11"/>
    </row>
    <row r="30">
      <c r="B30" s="1" t="s">
        <v>43</v>
      </c>
      <c r="C30" s="1">
        <v>0.75</v>
      </c>
      <c r="D30" s="1">
        <v>30.0</v>
      </c>
      <c r="E30" s="1">
        <v>34537.0</v>
      </c>
      <c r="F30" s="1">
        <v>51549.0</v>
      </c>
      <c r="I30" s="5">
        <v>0.125</v>
      </c>
      <c r="K30" s="3"/>
      <c r="L30" s="9">
        <f t="shared" si="1"/>
        <v>268594.249</v>
      </c>
      <c r="M30" s="10">
        <f t="shared" si="2"/>
        <v>400896.573</v>
      </c>
      <c r="N30" s="9">
        <f t="shared" si="3"/>
        <v>0</v>
      </c>
      <c r="O30" s="11">
        <f t="shared" si="4"/>
        <v>0</v>
      </c>
      <c r="P30" s="11">
        <f t="shared" si="5"/>
        <v>400896.573</v>
      </c>
      <c r="Q30" s="11">
        <f t="shared" si="6"/>
        <v>347817.9613</v>
      </c>
      <c r="R30" s="11">
        <f t="shared" si="7"/>
        <v>278254.3691</v>
      </c>
      <c r="S30" s="6" t="str">
        <f t="shared" si="8"/>
        <v>miracle shot</v>
      </c>
      <c r="T30" s="11">
        <f t="shared" si="9"/>
        <v>11311.15321</v>
      </c>
      <c r="U30" s="11"/>
    </row>
    <row r="31">
      <c r="B31" s="1" t="s">
        <v>44</v>
      </c>
      <c r="C31" s="1">
        <v>0.75</v>
      </c>
      <c r="D31" s="1">
        <v>30.0</v>
      </c>
      <c r="E31" s="1">
        <v>34842.0</v>
      </c>
      <c r="F31" s="1">
        <v>52003.0</v>
      </c>
      <c r="I31" s="2"/>
      <c r="K31" s="3"/>
      <c r="L31" s="9">
        <f t="shared" si="1"/>
        <v>266610.984</v>
      </c>
      <c r="M31" s="10">
        <f t="shared" si="2"/>
        <v>397926.956</v>
      </c>
      <c r="N31" s="9">
        <f t="shared" si="3"/>
        <v>0</v>
      </c>
      <c r="O31" s="11">
        <f t="shared" si="4"/>
        <v>0</v>
      </c>
      <c r="P31" s="11">
        <f t="shared" si="5"/>
        <v>397926.956</v>
      </c>
      <c r="Q31" s="11">
        <f t="shared" si="6"/>
        <v>345243.3116</v>
      </c>
      <c r="R31" s="11">
        <f t="shared" si="7"/>
        <v>276194.6493</v>
      </c>
      <c r="S31" s="6" t="str">
        <f t="shared" si="8"/>
        <v>crippling arrow</v>
      </c>
      <c r="T31" s="11">
        <f t="shared" si="9"/>
        <v>11227.42477</v>
      </c>
      <c r="U31" s="11"/>
    </row>
    <row r="32">
      <c r="B32" s="1" t="s">
        <v>49</v>
      </c>
      <c r="C32" s="1">
        <v>0.25</v>
      </c>
      <c r="D32" s="1">
        <v>10.0</v>
      </c>
      <c r="E32" s="1">
        <v>16598.0</v>
      </c>
      <c r="F32" s="1">
        <v>24774.0</v>
      </c>
      <c r="I32" s="2"/>
      <c r="K32" s="3"/>
      <c r="L32" s="9">
        <f t="shared" si="1"/>
        <v>127007.896</v>
      </c>
      <c r="M32" s="10">
        <f t="shared" si="2"/>
        <v>189570.648</v>
      </c>
      <c r="N32" s="9">
        <f t="shared" si="3"/>
        <v>0</v>
      </c>
      <c r="O32" s="11">
        <f t="shared" si="4"/>
        <v>0</v>
      </c>
      <c r="P32" s="11">
        <f t="shared" si="5"/>
        <v>189570.648</v>
      </c>
      <c r="Q32" s="11">
        <f t="shared" si="6"/>
        <v>164471.1469</v>
      </c>
      <c r="R32" s="11">
        <f t="shared" si="7"/>
        <v>219294.8626</v>
      </c>
      <c r="S32" s="6" t="str">
        <f t="shared" si="8"/>
        <v>Lunge</v>
      </c>
      <c r="T32" s="11">
        <f t="shared" si="9"/>
        <v>16045.96556</v>
      </c>
      <c r="U32" s="11"/>
    </row>
    <row r="33">
      <c r="A33" s="1">
        <v>1.0</v>
      </c>
      <c r="B33" s="1" t="s">
        <v>35</v>
      </c>
      <c r="C33" s="1">
        <v>2.0</v>
      </c>
      <c r="D33" s="1">
        <v>30.0</v>
      </c>
      <c r="E33" s="1">
        <v>24677.0</v>
      </c>
      <c r="F33" s="1">
        <v>33697.0</v>
      </c>
      <c r="G33" s="1">
        <v>29068.0</v>
      </c>
      <c r="H33" s="1">
        <v>43385.0</v>
      </c>
      <c r="J33" s="1">
        <v>1.0</v>
      </c>
      <c r="K33" s="7">
        <v>1.0</v>
      </c>
      <c r="L33" s="9">
        <f t="shared" si="1"/>
        <v>188828.404</v>
      </c>
      <c r="M33" s="10">
        <f t="shared" si="2"/>
        <v>257849.444</v>
      </c>
      <c r="N33" s="9">
        <f t="shared" si="3"/>
        <v>222428.336</v>
      </c>
      <c r="O33" s="11">
        <f t="shared" si="4"/>
        <v>331982.02</v>
      </c>
      <c r="P33" s="11">
        <f t="shared" si="5"/>
        <v>589831.464</v>
      </c>
      <c r="Q33" s="11">
        <f t="shared" si="6"/>
        <v>516700.8179</v>
      </c>
      <c r="R33" s="11">
        <f t="shared" si="7"/>
        <v>206680.3272</v>
      </c>
      <c r="S33" s="6" t="str">
        <f t="shared" si="8"/>
        <v>natural selection</v>
      </c>
      <c r="T33" s="11">
        <f t="shared" si="9"/>
        <v>16146.90056</v>
      </c>
      <c r="U33" s="11"/>
    </row>
    <row r="34">
      <c r="B34" s="1" t="s">
        <v>50</v>
      </c>
      <c r="C34" s="1">
        <v>0.25</v>
      </c>
      <c r="D34" s="1">
        <v>5.0</v>
      </c>
      <c r="E34" s="1">
        <v>15477.0</v>
      </c>
      <c r="F34" s="1">
        <v>23100.0</v>
      </c>
      <c r="I34" s="5">
        <v>0.075</v>
      </c>
      <c r="K34" s="3"/>
      <c r="L34" s="9">
        <f t="shared" si="1"/>
        <v>119590.779</v>
      </c>
      <c r="M34" s="10">
        <f t="shared" si="2"/>
        <v>178493.7</v>
      </c>
      <c r="N34" s="9">
        <f t="shared" si="3"/>
        <v>0</v>
      </c>
      <c r="O34" s="11">
        <f t="shared" si="4"/>
        <v>0</v>
      </c>
      <c r="P34" s="11">
        <f t="shared" si="5"/>
        <v>178493.7</v>
      </c>
      <c r="Q34" s="11">
        <f t="shared" si="6"/>
        <v>154861.9892</v>
      </c>
      <c r="R34" s="11">
        <f t="shared" si="7"/>
        <v>206482.6522</v>
      </c>
      <c r="S34" s="6" t="str">
        <f t="shared" si="8"/>
        <v>Lighning strike</v>
      </c>
      <c r="T34" s="11">
        <f t="shared" si="9"/>
        <v>29497.52175</v>
      </c>
      <c r="U34" s="11"/>
    </row>
    <row r="35">
      <c r="B35" s="1" t="s">
        <v>52</v>
      </c>
      <c r="C35" s="1">
        <v>0.25</v>
      </c>
      <c r="D35" s="1">
        <v>5.0</v>
      </c>
      <c r="E35" s="1">
        <v>13731.0</v>
      </c>
      <c r="F35" s="1">
        <v>20495.0</v>
      </c>
      <c r="I35" s="5">
        <v>0.075</v>
      </c>
      <c r="K35" s="3"/>
      <c r="L35" s="9">
        <f t="shared" si="1"/>
        <v>106099.437</v>
      </c>
      <c r="M35" s="10">
        <f t="shared" si="2"/>
        <v>158364.865</v>
      </c>
      <c r="N35" s="9">
        <f t="shared" si="3"/>
        <v>0</v>
      </c>
      <c r="O35" s="11">
        <f t="shared" si="4"/>
        <v>0</v>
      </c>
      <c r="P35" s="11">
        <f t="shared" si="5"/>
        <v>158364.865</v>
      </c>
      <c r="Q35" s="11">
        <f t="shared" si="6"/>
        <v>137396.6948</v>
      </c>
      <c r="R35" s="11">
        <f t="shared" si="7"/>
        <v>183195.5931</v>
      </c>
      <c r="S35" s="6" t="str">
        <f t="shared" si="8"/>
        <v>snaring</v>
      </c>
      <c r="T35" s="11">
        <f t="shared" si="9"/>
        <v>26170.79902</v>
      </c>
      <c r="U35" s="11"/>
    </row>
    <row r="36">
      <c r="B36" s="1" t="s">
        <v>53</v>
      </c>
      <c r="C36" s="1">
        <v>0.25</v>
      </c>
      <c r="D36" s="1">
        <v>15.0</v>
      </c>
      <c r="E36" s="1">
        <v>13485.0</v>
      </c>
      <c r="F36" s="1">
        <v>20126.0</v>
      </c>
      <c r="I36" s="2"/>
      <c r="K36" s="3"/>
      <c r="L36" s="9">
        <f t="shared" si="1"/>
        <v>103187.22</v>
      </c>
      <c r="M36" s="10">
        <f t="shared" si="2"/>
        <v>154004.152</v>
      </c>
      <c r="N36" s="9">
        <f t="shared" si="3"/>
        <v>0</v>
      </c>
      <c r="O36" s="11">
        <f t="shared" si="4"/>
        <v>0</v>
      </c>
      <c r="P36" s="11">
        <f t="shared" si="5"/>
        <v>154004.152</v>
      </c>
      <c r="Q36" s="11">
        <f t="shared" si="6"/>
        <v>133615.9955</v>
      </c>
      <c r="R36" s="11">
        <f t="shared" si="7"/>
        <v>178154.6607</v>
      </c>
      <c r="S36" s="6" t="str">
        <f t="shared" si="8"/>
        <v>placating strike</v>
      </c>
      <c r="T36" s="11">
        <f t="shared" si="9"/>
        <v>8761.704623</v>
      </c>
      <c r="U36" s="11"/>
    </row>
    <row r="37">
      <c r="B37" s="1" t="s">
        <v>55</v>
      </c>
      <c r="C37" s="1">
        <v>0.25</v>
      </c>
      <c r="D37" s="1">
        <v>10.0</v>
      </c>
      <c r="E37" s="1">
        <v>9954.0</v>
      </c>
      <c r="F37" s="1">
        <v>11710.0</v>
      </c>
      <c r="I37" s="2"/>
      <c r="K37" s="3"/>
      <c r="L37" s="9">
        <f t="shared" si="1"/>
        <v>76168.008</v>
      </c>
      <c r="M37" s="10">
        <f t="shared" si="2"/>
        <v>89604.92</v>
      </c>
      <c r="N37" s="9">
        <f t="shared" si="3"/>
        <v>0</v>
      </c>
      <c r="O37" s="11">
        <f t="shared" si="4"/>
        <v>0</v>
      </c>
      <c r="P37" s="11">
        <f t="shared" si="5"/>
        <v>89604.92</v>
      </c>
      <c r="Q37" s="11">
        <f t="shared" si="6"/>
        <v>83431.03604</v>
      </c>
      <c r="R37" s="11">
        <f t="shared" si="7"/>
        <v>111241.3814</v>
      </c>
      <c r="S37" s="6" t="str">
        <f t="shared" si="8"/>
        <v>hilt</v>
      </c>
      <c r="T37" s="11">
        <f t="shared" si="9"/>
        <v>8139.613272</v>
      </c>
      <c r="U37" s="11"/>
    </row>
    <row r="38">
      <c r="B38" s="1" t="s">
        <v>54</v>
      </c>
      <c r="C38" s="1">
        <v>0.5</v>
      </c>
      <c r="D38" s="1">
        <v>22.5</v>
      </c>
      <c r="E38" s="1">
        <v>8588.0</v>
      </c>
      <c r="F38" s="1">
        <v>12818.0</v>
      </c>
      <c r="I38" s="2"/>
      <c r="K38" s="3"/>
      <c r="L38" s="9">
        <f t="shared" si="1"/>
        <v>65715.376</v>
      </c>
      <c r="M38" s="10">
        <f t="shared" si="2"/>
        <v>98083.336</v>
      </c>
      <c r="N38" s="9">
        <f t="shared" si="3"/>
        <v>0</v>
      </c>
      <c r="O38" s="11">
        <f t="shared" si="4"/>
        <v>0</v>
      </c>
      <c r="P38" s="11">
        <f t="shared" si="5"/>
        <v>98083.336</v>
      </c>
      <c r="Q38" s="11">
        <f t="shared" si="6"/>
        <v>85097.4423</v>
      </c>
      <c r="R38" s="11">
        <f t="shared" si="7"/>
        <v>85097.4423</v>
      </c>
      <c r="S38" s="6" t="str">
        <f t="shared" si="8"/>
        <v>pbs</v>
      </c>
      <c r="T38" s="11">
        <f t="shared" si="9"/>
        <v>3699.888796</v>
      </c>
      <c r="U38" s="11"/>
    </row>
    <row r="39">
      <c r="A39" s="1">
        <v>1.0</v>
      </c>
      <c r="B39" s="1" t="s">
        <v>59</v>
      </c>
      <c r="C39" s="1">
        <v>0.5</v>
      </c>
      <c r="D39" s="1">
        <v>22.5</v>
      </c>
      <c r="E39" s="1">
        <v>5721.0</v>
      </c>
      <c r="F39" s="1">
        <v>8539.0</v>
      </c>
      <c r="K39" s="3"/>
      <c r="L39" s="9">
        <f t="shared" si="1"/>
        <v>43777.092</v>
      </c>
      <c r="M39" s="10">
        <f t="shared" si="2"/>
        <v>65340.428</v>
      </c>
      <c r="N39" s="9">
        <f t="shared" si="3"/>
        <v>0</v>
      </c>
      <c r="O39" s="11">
        <f t="shared" si="4"/>
        <v>0</v>
      </c>
      <c r="P39" s="11">
        <f t="shared" si="5"/>
        <v>65340.428</v>
      </c>
      <c r="Q39" s="11">
        <f t="shared" si="6"/>
        <v>56689.38696</v>
      </c>
      <c r="R39" s="11">
        <f t="shared" si="7"/>
        <v>56689.38696</v>
      </c>
      <c r="S39" s="6" t="str">
        <f t="shared" si="8"/>
        <v>spinning spear</v>
      </c>
      <c r="T39" s="11">
        <f t="shared" si="9"/>
        <v>2464.755955</v>
      </c>
    </row>
    <row r="40">
      <c r="K40" s="3"/>
      <c r="L40" s="4"/>
    </row>
    <row r="41">
      <c r="K41" s="3"/>
      <c r="L41" s="4"/>
      <c r="P41" s="50"/>
      <c r="S41" s="50"/>
    </row>
    <row r="42">
      <c r="K42" s="3"/>
      <c r="L42" s="4"/>
      <c r="P42" s="50"/>
      <c r="S42" s="50"/>
    </row>
    <row r="43">
      <c r="K43" s="3"/>
      <c r="L43" s="4"/>
      <c r="P43" s="50"/>
      <c r="S43" s="50"/>
    </row>
    <row r="44">
      <c r="K44" s="3"/>
      <c r="L44" s="4"/>
      <c r="P44" s="50"/>
      <c r="S44" s="50"/>
    </row>
    <row r="45">
      <c r="K45" s="3"/>
      <c r="L45" s="4"/>
    </row>
    <row r="46">
      <c r="K46" s="3"/>
      <c r="L46" s="4"/>
    </row>
    <row r="47">
      <c r="K47" s="3"/>
      <c r="L47" s="4"/>
    </row>
    <row r="48">
      <c r="K48" s="3"/>
      <c r="L48" s="4"/>
    </row>
    <row r="49">
      <c r="K49" s="3"/>
      <c r="L49" s="4"/>
    </row>
    <row r="50">
      <c r="K50" s="3"/>
      <c r="L50" s="4"/>
      <c r="Q50" s="2"/>
    </row>
    <row r="51">
      <c r="K51" s="3"/>
      <c r="L51" s="4"/>
      <c r="Q51" s="2"/>
    </row>
    <row r="52">
      <c r="K52" s="3"/>
      <c r="L52" s="4"/>
      <c r="Q52" s="2"/>
    </row>
    <row r="53">
      <c r="K53" s="3"/>
      <c r="L53" s="4"/>
      <c r="Q53" s="2"/>
    </row>
    <row r="54">
      <c r="K54" s="3"/>
      <c r="L54" s="4"/>
      <c r="Q54" s="2"/>
    </row>
    <row r="55">
      <c r="K55" s="3"/>
      <c r="L55" s="4"/>
      <c r="Q55" s="2"/>
    </row>
    <row r="56">
      <c r="K56" s="3"/>
      <c r="L56" s="4"/>
      <c r="Q56" s="2"/>
    </row>
    <row r="57">
      <c r="K57" s="3"/>
      <c r="L57" s="4"/>
      <c r="Q57" s="2"/>
    </row>
    <row r="58">
      <c r="K58" s="3"/>
      <c r="L58" s="4"/>
      <c r="Q58" s="2"/>
    </row>
    <row r="59">
      <c r="K59" s="3"/>
      <c r="L59" s="4"/>
      <c r="Q59" s="2"/>
    </row>
    <row r="60">
      <c r="K60" s="3"/>
      <c r="L60" s="4"/>
      <c r="Q60" s="2"/>
    </row>
    <row r="61">
      <c r="K61" s="3"/>
      <c r="L61" s="4"/>
      <c r="Q61" s="2"/>
    </row>
    <row r="62">
      <c r="K62" s="3"/>
      <c r="L62" s="4"/>
      <c r="Q62" s="2"/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autoFilter ref="$A$7:$U$4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29.92+1.3</f>
        <v>31.22</v>
      </c>
      <c r="K1" s="3"/>
      <c r="L1" s="4"/>
    </row>
    <row r="2">
      <c r="A2" s="1" t="s">
        <v>1</v>
      </c>
      <c r="B2" s="5">
        <v>1.0</v>
      </c>
      <c r="K2" s="3"/>
      <c r="L2" s="4"/>
    </row>
    <row r="3">
      <c r="A3" s="1" t="s">
        <v>2</v>
      </c>
      <c r="B3" s="38">
        <v>0.44</v>
      </c>
      <c r="K3" s="3"/>
      <c r="L3" s="4"/>
    </row>
    <row r="4">
      <c r="A4" s="1" t="s">
        <v>3</v>
      </c>
      <c r="B4" s="1">
        <v>1.0</v>
      </c>
      <c r="K4" s="3"/>
      <c r="L4" s="4"/>
    </row>
    <row r="5">
      <c r="A5" s="1" t="s">
        <v>1</v>
      </c>
      <c r="B5" s="5">
        <v>1.0</v>
      </c>
      <c r="K5" s="3"/>
      <c r="L5" s="4"/>
    </row>
    <row r="6">
      <c r="B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51" t="s">
        <v>173</v>
      </c>
      <c r="C8" s="1">
        <v>0.25</v>
      </c>
      <c r="D8" s="1">
        <v>6.0</v>
      </c>
      <c r="E8" s="1">
        <f>400703+3741410</f>
        <v>4142113</v>
      </c>
      <c r="F8" s="1">
        <f>472365+5891271</f>
        <v>6363636</v>
      </c>
      <c r="K8" s="3"/>
      <c r="L8" s="9">
        <f t="shared" ref="L8:L48" si="2">if(E8*($B$1+$I8)&lt;(F8+1),F8+1,E8*($I8+$B$1))</f>
        <v>129316767.9</v>
      </c>
      <c r="M8" s="10">
        <f t="shared" ref="M8:M48" si="3">F8*($B$1+$I8)</f>
        <v>198672715.9</v>
      </c>
      <c r="N8" s="9">
        <f t="shared" ref="N8:N48" si="4">if(if(G8*($B$1+$I8)&lt;(H8+1),H8+1,G8*($I8+$B$1))=1,0,if(G8*($B$1+$I8)&lt;(H8+1),H8+1,G8*($I8+$B$1)))</f>
        <v>0</v>
      </c>
      <c r="O8" s="11">
        <f t="shared" ref="O8:O48" si="5">H8*($B$1+$I8)</f>
        <v>0</v>
      </c>
      <c r="P8" s="11">
        <f t="shared" ref="P8:P48" si="6">M8+O8*K8*J8</f>
        <v>198672715.9</v>
      </c>
      <c r="Q8" s="11">
        <f t="shared" ref="Q8:Q27" si="7">(if($A8=1,$B$4,1)*((L8*E8+F8*M8)/(E8+F8)+if(G8&gt;0,(N8*G8+H8*O8)/(G8+H8)*J8*K8,0)))</f>
        <v>171327671.4</v>
      </c>
      <c r="R8" s="11">
        <f t="shared" ref="R8:R25" si="8">Q8/(C8+0.5*(1/(1+$B$5)))*if(U8=1,1,1+$B$3)</f>
        <v>342655342.8</v>
      </c>
      <c r="S8" s="6" t="str">
        <f t="shared" ref="S8:S48" si="9">B8</f>
        <v>Exploit Weakness</v>
      </c>
      <c r="T8" s="11">
        <f t="shared" ref="T8:T48" si="10">$Q8/(($C8+$D8))*if(U8=1,1,1+$B$3)</f>
        <v>27412427.42</v>
      </c>
      <c r="U8" s="20">
        <v>1.0</v>
      </c>
    </row>
    <row r="9">
      <c r="B9" s="51" t="s">
        <v>107</v>
      </c>
      <c r="C9" s="1">
        <v>0.25</v>
      </c>
      <c r="D9" s="1">
        <v>15.0</v>
      </c>
      <c r="E9" s="20">
        <v>702820.0</v>
      </c>
      <c r="F9" s="20">
        <v>774482.0</v>
      </c>
      <c r="G9" s="6">
        <f t="shared" ref="G9:H9" si="1">E9</f>
        <v>702820</v>
      </c>
      <c r="H9" s="6">
        <f t="shared" si="1"/>
        <v>774482</v>
      </c>
      <c r="J9" s="1">
        <v>11.0</v>
      </c>
      <c r="K9" s="7">
        <v>1.0</v>
      </c>
      <c r="L9" s="9">
        <f t="shared" si="2"/>
        <v>21942040.4</v>
      </c>
      <c r="M9" s="10">
        <f t="shared" si="3"/>
        <v>24179328.04</v>
      </c>
      <c r="N9" s="9">
        <f t="shared" si="4"/>
        <v>21942040.4</v>
      </c>
      <c r="O9" s="11">
        <f t="shared" si="5"/>
        <v>24179328.04</v>
      </c>
      <c r="P9" s="11">
        <f t="shared" si="6"/>
        <v>290151936.5</v>
      </c>
      <c r="Q9" s="11">
        <f t="shared" si="7"/>
        <v>277379378.1</v>
      </c>
      <c r="R9" s="11">
        <f t="shared" si="8"/>
        <v>554758756.3</v>
      </c>
      <c r="S9" s="6" t="str">
        <f t="shared" si="9"/>
        <v>Dagger Storm</v>
      </c>
      <c r="T9" s="11">
        <f t="shared" si="10"/>
        <v>18188811.68</v>
      </c>
      <c r="U9" s="20">
        <v>1.0</v>
      </c>
    </row>
    <row r="10">
      <c r="B10" s="51" t="s">
        <v>144</v>
      </c>
      <c r="C10" s="1">
        <v>0.0</v>
      </c>
      <c r="D10" s="1">
        <v>5.0</v>
      </c>
      <c r="E10" s="20">
        <v>872528.0</v>
      </c>
      <c r="F10" s="20">
        <v>1215306.0</v>
      </c>
      <c r="G10" s="20">
        <v>194533.0</v>
      </c>
      <c r="H10" s="20">
        <v>361275.0</v>
      </c>
      <c r="J10" s="20">
        <v>2.0</v>
      </c>
      <c r="K10" s="7">
        <v>1.0</v>
      </c>
      <c r="L10" s="9">
        <f t="shared" si="2"/>
        <v>27240324.16</v>
      </c>
      <c r="M10" s="10">
        <f t="shared" si="3"/>
        <v>37941853.32</v>
      </c>
      <c r="N10" s="9">
        <f t="shared" si="4"/>
        <v>6073320.26</v>
      </c>
      <c r="O10" s="11">
        <f t="shared" si="5"/>
        <v>11279005.5</v>
      </c>
      <c r="P10" s="11">
        <f t="shared" si="6"/>
        <v>60499864.32</v>
      </c>
      <c r="Q10" s="11">
        <f t="shared" si="7"/>
        <v>52383598.23</v>
      </c>
      <c r="R10" s="11">
        <f t="shared" si="8"/>
        <v>209534392.9</v>
      </c>
      <c r="S10" s="6" t="str">
        <f t="shared" si="9"/>
        <v>Nightblade</v>
      </c>
      <c r="T10" s="11">
        <f t="shared" si="10"/>
        <v>10476719.65</v>
      </c>
      <c r="U10" s="20">
        <v>1.0</v>
      </c>
    </row>
    <row r="11">
      <c r="B11" s="51" t="s">
        <v>145</v>
      </c>
      <c r="C11" s="1">
        <v>0.25</v>
      </c>
      <c r="D11" s="1">
        <v>5.0</v>
      </c>
      <c r="E11" s="20">
        <v>771232.0</v>
      </c>
      <c r="F11" s="20">
        <v>1000310.0</v>
      </c>
      <c r="G11" s="20">
        <v>495241.0</v>
      </c>
      <c r="H11" s="20">
        <v>724320.0</v>
      </c>
      <c r="I11" s="5">
        <v>0.15</v>
      </c>
      <c r="J11" s="1">
        <v>1.0</v>
      </c>
      <c r="K11" s="7">
        <v>1.0</v>
      </c>
      <c r="L11" s="9">
        <f t="shared" si="2"/>
        <v>24193547.84</v>
      </c>
      <c r="M11" s="10">
        <f t="shared" si="3"/>
        <v>31379724.7</v>
      </c>
      <c r="N11" s="9">
        <f t="shared" si="4"/>
        <v>15535710.17</v>
      </c>
      <c r="O11" s="11">
        <f t="shared" si="5"/>
        <v>22721918.4</v>
      </c>
      <c r="P11" s="11">
        <f t="shared" si="6"/>
        <v>54101643.1</v>
      </c>
      <c r="Q11" s="11">
        <f t="shared" si="7"/>
        <v>48054991.47</v>
      </c>
      <c r="R11" s="11">
        <f t="shared" si="8"/>
        <v>96109982.93</v>
      </c>
      <c r="S11" s="6" t="str">
        <f t="shared" si="9"/>
        <v>Ambush</v>
      </c>
      <c r="T11" s="11">
        <f t="shared" si="10"/>
        <v>9153331.708</v>
      </c>
      <c r="U11" s="20">
        <v>1.0</v>
      </c>
    </row>
    <row r="12">
      <c r="B12" s="20" t="s">
        <v>322</v>
      </c>
      <c r="C12" s="20">
        <v>0.75</v>
      </c>
      <c r="D12" s="20">
        <v>5.0</v>
      </c>
      <c r="E12" s="1">
        <v>1382585.0</v>
      </c>
      <c r="F12" s="1">
        <v>1766787.0</v>
      </c>
      <c r="G12" s="1">
        <v>830603.0</v>
      </c>
      <c r="H12" s="1">
        <v>1214807.0</v>
      </c>
      <c r="K12" s="3"/>
      <c r="L12" s="9">
        <f t="shared" si="2"/>
        <v>43164303.7</v>
      </c>
      <c r="M12" s="10">
        <f t="shared" si="3"/>
        <v>55159090.14</v>
      </c>
      <c r="N12" s="9">
        <f t="shared" si="4"/>
        <v>25931425.66</v>
      </c>
      <c r="O12" s="11">
        <f t="shared" si="5"/>
        <v>37926274.54</v>
      </c>
      <c r="P12" s="11">
        <f t="shared" si="6"/>
        <v>55159090.14</v>
      </c>
      <c r="Q12" s="11">
        <f t="shared" si="7"/>
        <v>49893338.17</v>
      </c>
      <c r="R12" s="11">
        <f t="shared" si="8"/>
        <v>49893338.17</v>
      </c>
      <c r="S12" s="6" t="str">
        <f t="shared" si="9"/>
        <v>Ambush+Masked</v>
      </c>
      <c r="T12" s="11">
        <f t="shared" si="10"/>
        <v>8677102.291</v>
      </c>
      <c r="U12" s="20">
        <v>1.0</v>
      </c>
    </row>
    <row r="13">
      <c r="A13" s="1">
        <v>1.0</v>
      </c>
      <c r="B13" s="51" t="s">
        <v>323</v>
      </c>
      <c r="C13" s="1">
        <v>0.0</v>
      </c>
      <c r="D13" s="1">
        <v>5.0</v>
      </c>
      <c r="E13" s="1">
        <f>194533*2</f>
        <v>389066</v>
      </c>
      <c r="F13" s="1">
        <f>361275*2</f>
        <v>722550</v>
      </c>
      <c r="G13" s="1">
        <f>194533*2</f>
        <v>389066</v>
      </c>
      <c r="H13" s="1">
        <f>361275*2</f>
        <v>722550</v>
      </c>
      <c r="I13" s="2"/>
      <c r="J13" s="20">
        <v>1.0</v>
      </c>
      <c r="K13" s="25">
        <v>1.0</v>
      </c>
      <c r="L13" s="9">
        <f t="shared" si="2"/>
        <v>12146640.52</v>
      </c>
      <c r="M13" s="10">
        <f t="shared" si="3"/>
        <v>22558011</v>
      </c>
      <c r="N13" s="9">
        <f t="shared" si="4"/>
        <v>12146640.52</v>
      </c>
      <c r="O13" s="11">
        <f t="shared" si="5"/>
        <v>22558011</v>
      </c>
      <c r="P13" s="11">
        <f t="shared" si="6"/>
        <v>45116022</v>
      </c>
      <c r="Q13" s="11">
        <f t="shared" si="7"/>
        <v>37828055.17</v>
      </c>
      <c r="R13" s="11">
        <f t="shared" si="8"/>
        <v>151312220.7</v>
      </c>
      <c r="S13" s="6" t="str">
        <f t="shared" si="9"/>
        <v>AcidMist</v>
      </c>
      <c r="T13" s="11">
        <f t="shared" si="10"/>
        <v>7565611.034</v>
      </c>
      <c r="U13" s="20">
        <v>1.0</v>
      </c>
    </row>
    <row r="14">
      <c r="B14" s="51" t="s">
        <v>324</v>
      </c>
      <c r="C14" s="1">
        <v>0.25</v>
      </c>
      <c r="D14" s="1">
        <v>15.0</v>
      </c>
      <c r="E14" s="6">
        <f>621990+139438+43574</f>
        <v>805002</v>
      </c>
      <c r="F14" s="6">
        <f>782035+232397+72624</f>
        <v>1087056</v>
      </c>
      <c r="G14" s="26">
        <v>43644.0</v>
      </c>
      <c r="H14" s="20">
        <v>72740.0</v>
      </c>
      <c r="I14" s="2"/>
      <c r="J14" s="1">
        <v>24.0</v>
      </c>
      <c r="K14" s="7">
        <v>1.0</v>
      </c>
      <c r="L14" s="9">
        <f t="shared" si="2"/>
        <v>25132162.44</v>
      </c>
      <c r="M14" s="10">
        <f t="shared" si="3"/>
        <v>33937888.32</v>
      </c>
      <c r="N14" s="9">
        <f t="shared" si="4"/>
        <v>1362565.68</v>
      </c>
      <c r="O14" s="11">
        <f t="shared" si="5"/>
        <v>2270942.8</v>
      </c>
      <c r="P14" s="11">
        <f t="shared" si="6"/>
        <v>88440515.52</v>
      </c>
      <c r="Q14" s="11">
        <f t="shared" si="7"/>
        <v>76518604.71</v>
      </c>
      <c r="R14" s="11">
        <f t="shared" si="8"/>
        <v>220373581.6</v>
      </c>
      <c r="S14" s="6" t="str">
        <f t="shared" si="9"/>
        <v>Bleedout</v>
      </c>
      <c r="T14" s="11">
        <f t="shared" si="10"/>
        <v>7225363.33</v>
      </c>
      <c r="U14" s="20"/>
    </row>
    <row r="15">
      <c r="B15" s="51" t="s">
        <v>325</v>
      </c>
      <c r="C15" s="1">
        <v>0.25</v>
      </c>
      <c r="D15" s="1">
        <v>10.0</v>
      </c>
      <c r="E15" s="20">
        <v>567498.0</v>
      </c>
      <c r="F15" s="20">
        <v>735002.0</v>
      </c>
      <c r="G15" s="20">
        <v>291508.0</v>
      </c>
      <c r="H15" s="20">
        <v>459012.0</v>
      </c>
      <c r="I15" s="2"/>
      <c r="J15" s="20">
        <v>4.0</v>
      </c>
      <c r="K15" s="7">
        <v>1.0</v>
      </c>
      <c r="L15" s="9">
        <f t="shared" si="2"/>
        <v>17717287.56</v>
      </c>
      <c r="M15" s="10">
        <f t="shared" si="3"/>
        <v>22946762.44</v>
      </c>
      <c r="N15" s="9">
        <f t="shared" si="4"/>
        <v>9100879.76</v>
      </c>
      <c r="O15" s="11">
        <f t="shared" si="5"/>
        <v>14330354.64</v>
      </c>
      <c r="P15" s="11">
        <f t="shared" si="6"/>
        <v>80268181</v>
      </c>
      <c r="Q15" s="11">
        <f t="shared" si="7"/>
        <v>69865023.52</v>
      </c>
      <c r="R15" s="11">
        <f t="shared" si="8"/>
        <v>139730047</v>
      </c>
      <c r="S15" s="6" t="str">
        <f t="shared" si="9"/>
        <v>BloodflurryMax</v>
      </c>
      <c r="T15" s="11">
        <f t="shared" si="10"/>
        <v>6816099.856</v>
      </c>
      <c r="U15" s="20">
        <v>1.0</v>
      </c>
    </row>
    <row r="16">
      <c r="B16" s="51" t="s">
        <v>326</v>
      </c>
      <c r="C16" s="1">
        <v>0.125</v>
      </c>
      <c r="D16" s="1">
        <v>15.0</v>
      </c>
      <c r="E16" s="20">
        <v>322722.0</v>
      </c>
      <c r="F16" s="20">
        <v>472000.0</v>
      </c>
      <c r="G16" s="6">
        <f t="shared" ref="G16:H16" si="11">E16</f>
        <v>322722</v>
      </c>
      <c r="H16" s="6">
        <f t="shared" si="11"/>
        <v>472000</v>
      </c>
      <c r="I16" s="2"/>
      <c r="J16" s="1">
        <v>7.0</v>
      </c>
      <c r="K16" s="7">
        <v>1.0</v>
      </c>
      <c r="L16" s="9">
        <f t="shared" si="2"/>
        <v>10075380.84</v>
      </c>
      <c r="M16" s="10">
        <f t="shared" si="3"/>
        <v>14735840</v>
      </c>
      <c r="N16" s="9">
        <f t="shared" si="4"/>
        <v>10075380.84</v>
      </c>
      <c r="O16" s="11">
        <f t="shared" si="5"/>
        <v>14735840</v>
      </c>
      <c r="P16" s="11">
        <f t="shared" si="6"/>
        <v>117886720</v>
      </c>
      <c r="Q16" s="11">
        <f t="shared" si="7"/>
        <v>102746505.4</v>
      </c>
      <c r="R16" s="11">
        <f t="shared" si="8"/>
        <v>273990681.1</v>
      </c>
      <c r="S16" s="6" t="str">
        <f t="shared" si="9"/>
        <v>DeathMark</v>
      </c>
      <c r="T16" s="11">
        <f t="shared" si="10"/>
        <v>6793157.383</v>
      </c>
      <c r="U16" s="20">
        <v>1.0</v>
      </c>
    </row>
    <row r="17">
      <c r="B17" s="51" t="s">
        <v>146</v>
      </c>
      <c r="C17" s="1">
        <v>0.25</v>
      </c>
      <c r="D17" s="1">
        <v>5.0</v>
      </c>
      <c r="E17" s="20">
        <v>611353.0</v>
      </c>
      <c r="F17" s="20">
        <v>766477.0</v>
      </c>
      <c r="G17" s="20">
        <v>335362.0</v>
      </c>
      <c r="H17" s="20">
        <v>490487.0</v>
      </c>
      <c r="I17" s="2"/>
      <c r="J17" s="1">
        <v>1.0</v>
      </c>
      <c r="K17" s="7">
        <v>1.0</v>
      </c>
      <c r="L17" s="9">
        <f t="shared" si="2"/>
        <v>19086440.66</v>
      </c>
      <c r="M17" s="10">
        <f t="shared" si="3"/>
        <v>23929411.94</v>
      </c>
      <c r="N17" s="9">
        <f t="shared" si="4"/>
        <v>10470001.64</v>
      </c>
      <c r="O17" s="11">
        <f t="shared" si="5"/>
        <v>15313004.14</v>
      </c>
      <c r="P17" s="11">
        <f t="shared" si="6"/>
        <v>39242416.08</v>
      </c>
      <c r="Q17" s="11">
        <f t="shared" si="7"/>
        <v>35126901.46</v>
      </c>
      <c r="R17" s="11">
        <f t="shared" si="8"/>
        <v>70253802.92</v>
      </c>
      <c r="S17" s="6" t="str">
        <f t="shared" si="9"/>
        <v>Masked Strike</v>
      </c>
      <c r="T17" s="11">
        <f t="shared" si="10"/>
        <v>6690838.373</v>
      </c>
      <c r="U17" s="20">
        <v>1.0</v>
      </c>
    </row>
    <row r="18">
      <c r="B18" s="51" t="s">
        <v>327</v>
      </c>
      <c r="C18" s="1">
        <v>0.25</v>
      </c>
      <c r="D18" s="1">
        <v>15.0</v>
      </c>
      <c r="E18" s="20">
        <v>542980.0</v>
      </c>
      <c r="F18" s="20">
        <v>638529.0</v>
      </c>
      <c r="G18" s="26">
        <v>185918.0</v>
      </c>
      <c r="H18" s="26">
        <v>278877.0</v>
      </c>
      <c r="J18" s="1">
        <v>30.0</v>
      </c>
      <c r="K18" s="12">
        <f>1/6</f>
        <v>0.1666666667</v>
      </c>
      <c r="L18" s="9">
        <f t="shared" si="2"/>
        <v>16951835.6</v>
      </c>
      <c r="M18" s="10">
        <f t="shared" si="3"/>
        <v>19934875.38</v>
      </c>
      <c r="N18" s="9">
        <f t="shared" si="4"/>
        <v>5804359.96</v>
      </c>
      <c r="O18" s="11">
        <f t="shared" si="5"/>
        <v>8706539.94</v>
      </c>
      <c r="P18" s="11">
        <f t="shared" si="6"/>
        <v>63467575.08</v>
      </c>
      <c r="Q18" s="11">
        <f t="shared" si="7"/>
        <v>56292314.91</v>
      </c>
      <c r="R18" s="11">
        <f t="shared" si="8"/>
        <v>162121866.9</v>
      </c>
      <c r="S18" s="6" t="str">
        <f t="shared" si="9"/>
        <v>Noxious Enfeeble</v>
      </c>
      <c r="T18" s="11">
        <f t="shared" si="10"/>
        <v>5315471.047</v>
      </c>
      <c r="U18" s="20"/>
    </row>
    <row r="19">
      <c r="B19" s="51" t="s">
        <v>161</v>
      </c>
      <c r="C19" s="1">
        <v>0.25</v>
      </c>
      <c r="D19" s="1">
        <v>5.0</v>
      </c>
      <c r="E19" s="20">
        <v>356743.0</v>
      </c>
      <c r="F19" s="20">
        <v>498536.0</v>
      </c>
      <c r="G19" s="20">
        <v>29687.0</v>
      </c>
      <c r="H19" s="20">
        <v>29687.0</v>
      </c>
      <c r="I19" s="19">
        <v>0.075</v>
      </c>
      <c r="J19" s="1">
        <v>12.0</v>
      </c>
      <c r="K19" s="12">
        <f>1/(12/(12*0.25+2))</f>
        <v>0.4166666667</v>
      </c>
      <c r="L19" s="9">
        <f t="shared" si="2"/>
        <v>11164272.19</v>
      </c>
      <c r="M19" s="10">
        <f t="shared" si="3"/>
        <v>15601684.12</v>
      </c>
      <c r="N19" s="9">
        <f t="shared" si="4"/>
        <v>929054.665</v>
      </c>
      <c r="O19" s="11">
        <f t="shared" si="5"/>
        <v>929054.665</v>
      </c>
      <c r="P19" s="11">
        <f t="shared" si="6"/>
        <v>20246957.45</v>
      </c>
      <c r="Q19" s="11">
        <f t="shared" si="7"/>
        <v>18396081.13</v>
      </c>
      <c r="R19" s="11">
        <f t="shared" si="8"/>
        <v>52980713.65</v>
      </c>
      <c r="S19" s="6" t="str">
        <f t="shared" si="9"/>
        <v>Quick Strike</v>
      </c>
      <c r="T19" s="11">
        <f t="shared" si="10"/>
        <v>5045782.252</v>
      </c>
      <c r="U19" s="20"/>
    </row>
    <row r="20">
      <c r="B20" s="20" t="s">
        <v>328</v>
      </c>
      <c r="C20" s="20">
        <v>0.25</v>
      </c>
      <c r="D20" s="20">
        <v>30.0</v>
      </c>
      <c r="E20" s="20">
        <v>3255505.0</v>
      </c>
      <c r="F20" s="20">
        <v>5006795.0</v>
      </c>
      <c r="K20" s="3"/>
      <c r="L20" s="9">
        <f t="shared" si="2"/>
        <v>101636866.1</v>
      </c>
      <c r="M20" s="10">
        <f t="shared" si="3"/>
        <v>156312139.9</v>
      </c>
      <c r="N20" s="9">
        <f t="shared" si="4"/>
        <v>0</v>
      </c>
      <c r="O20" s="11">
        <f t="shared" si="5"/>
        <v>0</v>
      </c>
      <c r="P20" s="11">
        <f t="shared" si="6"/>
        <v>156312139.9</v>
      </c>
      <c r="Q20" s="11">
        <f t="shared" si="7"/>
        <v>134769031.2</v>
      </c>
      <c r="R20" s="11">
        <f t="shared" si="8"/>
        <v>269538062.3</v>
      </c>
      <c r="S20" s="6" t="str">
        <f t="shared" si="9"/>
        <v>Shadow Step New</v>
      </c>
      <c r="T20" s="11">
        <f t="shared" si="10"/>
        <v>4455174.584</v>
      </c>
      <c r="U20" s="20">
        <v>1.0</v>
      </c>
    </row>
    <row r="21">
      <c r="B21" s="51" t="s">
        <v>329</v>
      </c>
      <c r="C21" s="1">
        <v>0.0</v>
      </c>
      <c r="D21" s="1">
        <v>20.0</v>
      </c>
      <c r="E21" s="20">
        <v>1128127.0</v>
      </c>
      <c r="F21" s="20">
        <v>3202388.0</v>
      </c>
      <c r="K21" s="3"/>
      <c r="L21" s="9">
        <f t="shared" si="2"/>
        <v>35220124.94</v>
      </c>
      <c r="M21" s="10">
        <f t="shared" si="3"/>
        <v>99978553.36</v>
      </c>
      <c r="N21" s="9">
        <f t="shared" si="4"/>
        <v>0</v>
      </c>
      <c r="O21" s="11">
        <f t="shared" si="5"/>
        <v>0</v>
      </c>
      <c r="P21" s="11">
        <f t="shared" si="6"/>
        <v>99978553.36</v>
      </c>
      <c r="Q21" s="11">
        <f t="shared" si="7"/>
        <v>83108566.4</v>
      </c>
      <c r="R21" s="11">
        <f t="shared" si="8"/>
        <v>332434265.6</v>
      </c>
      <c r="S21" s="6" t="str">
        <f t="shared" si="9"/>
        <v>Fatal Combination</v>
      </c>
      <c r="T21" s="11">
        <f t="shared" si="10"/>
        <v>4155428.32</v>
      </c>
      <c r="U21" s="20">
        <v>1.0</v>
      </c>
    </row>
    <row r="22">
      <c r="B22" s="52" t="s">
        <v>148</v>
      </c>
      <c r="C22" s="20">
        <v>0.25</v>
      </c>
      <c r="D22" s="20">
        <v>30.0</v>
      </c>
      <c r="E22" s="20">
        <v>2786183.0</v>
      </c>
      <c r="F22" s="20">
        <v>4228571.0</v>
      </c>
      <c r="G22" s="1"/>
      <c r="H22" s="1"/>
      <c r="I22" s="5"/>
      <c r="J22" s="1"/>
      <c r="K22" s="7"/>
      <c r="L22" s="9">
        <f t="shared" si="2"/>
        <v>86984633.26</v>
      </c>
      <c r="M22" s="10">
        <f t="shared" si="3"/>
        <v>132015986.6</v>
      </c>
      <c r="N22" s="9">
        <f t="shared" si="4"/>
        <v>0</v>
      </c>
      <c r="O22" s="11">
        <f t="shared" si="5"/>
        <v>0</v>
      </c>
      <c r="P22" s="11">
        <f t="shared" si="6"/>
        <v>132015986.6</v>
      </c>
      <c r="Q22" s="11">
        <f t="shared" si="7"/>
        <v>114130029.2</v>
      </c>
      <c r="R22" s="11">
        <f t="shared" si="8"/>
        <v>228260058.4</v>
      </c>
      <c r="S22" s="6" t="str">
        <f t="shared" si="9"/>
        <v>Shadow Step</v>
      </c>
      <c r="T22" s="11">
        <f t="shared" si="10"/>
        <v>3772893.528</v>
      </c>
      <c r="U22" s="20">
        <v>1.0</v>
      </c>
    </row>
    <row r="23">
      <c r="B23" s="51" t="s">
        <v>155</v>
      </c>
      <c r="C23" s="1">
        <v>0.25</v>
      </c>
      <c r="D23" s="1">
        <v>10.0</v>
      </c>
      <c r="E23" s="6">
        <f>346258+34935</f>
        <v>381193</v>
      </c>
      <c r="F23" s="6">
        <f>492965+58225</f>
        <v>551190</v>
      </c>
      <c r="G23" s="20">
        <v>35018.0</v>
      </c>
      <c r="H23" s="20">
        <v>58364.0</v>
      </c>
      <c r="I23" s="2"/>
      <c r="J23" s="20">
        <v>14.0</v>
      </c>
      <c r="K23" s="7">
        <f>1/2.3</f>
        <v>0.4347826087</v>
      </c>
      <c r="L23" s="9">
        <f t="shared" si="2"/>
        <v>11900845.46</v>
      </c>
      <c r="M23" s="10">
        <f t="shared" si="3"/>
        <v>17208151.8</v>
      </c>
      <c r="N23" s="9">
        <f t="shared" si="4"/>
        <v>1093261.96</v>
      </c>
      <c r="O23" s="11">
        <f t="shared" si="5"/>
        <v>1822124.08</v>
      </c>
      <c r="P23" s="11">
        <f t="shared" si="6"/>
        <v>28299341.85</v>
      </c>
      <c r="Q23" s="11">
        <f t="shared" si="7"/>
        <v>24465821.63</v>
      </c>
      <c r="R23" s="11">
        <f t="shared" si="8"/>
        <v>70461566.29</v>
      </c>
      <c r="S23" s="6" t="str">
        <f t="shared" si="9"/>
        <v>Impale</v>
      </c>
      <c r="T23" s="11">
        <f t="shared" si="10"/>
        <v>3437149.575</v>
      </c>
      <c r="U23" s="20"/>
    </row>
    <row r="24">
      <c r="B24" s="51" t="s">
        <v>330</v>
      </c>
      <c r="C24" s="1">
        <v>0.25</v>
      </c>
      <c r="D24" s="1">
        <v>22.5</v>
      </c>
      <c r="E24" s="20">
        <v>1906793.0</v>
      </c>
      <c r="F24" s="20">
        <v>2788797.0</v>
      </c>
      <c r="I24" s="2"/>
      <c r="K24" s="3"/>
      <c r="L24" s="9">
        <f t="shared" si="2"/>
        <v>59530077.46</v>
      </c>
      <c r="M24" s="10">
        <f t="shared" si="3"/>
        <v>87066242.34</v>
      </c>
      <c r="N24" s="9">
        <f t="shared" si="4"/>
        <v>0</v>
      </c>
      <c r="O24" s="11">
        <f t="shared" si="5"/>
        <v>0</v>
      </c>
      <c r="P24" s="11">
        <f t="shared" si="6"/>
        <v>87066242.34</v>
      </c>
      <c r="Q24" s="11">
        <f t="shared" si="7"/>
        <v>75884310.69</v>
      </c>
      <c r="R24" s="11">
        <f t="shared" si="8"/>
        <v>151768621.4</v>
      </c>
      <c r="S24" s="6" t="str">
        <f t="shared" si="9"/>
        <v>Deathblow&lt;33</v>
      </c>
      <c r="T24" s="11">
        <f t="shared" si="10"/>
        <v>3335574.096</v>
      </c>
      <c r="U24" s="20">
        <v>1.0</v>
      </c>
    </row>
    <row r="25">
      <c r="A25" s="1">
        <v>1.0</v>
      </c>
      <c r="B25" s="51" t="s">
        <v>150</v>
      </c>
      <c r="C25" s="1">
        <v>0.5</v>
      </c>
      <c r="D25" s="1">
        <v>15.0</v>
      </c>
      <c r="E25" s="6">
        <f>477387+77906</f>
        <v>555293</v>
      </c>
      <c r="F25" s="6">
        <f>650023+77906</f>
        <v>727929</v>
      </c>
      <c r="G25" s="20">
        <v>77906.0</v>
      </c>
      <c r="H25" s="20">
        <v>77906.0</v>
      </c>
      <c r="I25" s="5">
        <v>0.15</v>
      </c>
      <c r="J25" s="1">
        <v>12.0</v>
      </c>
      <c r="K25" s="7">
        <v>0.5</v>
      </c>
      <c r="L25" s="9">
        <f t="shared" si="2"/>
        <v>17419541.41</v>
      </c>
      <c r="M25" s="10">
        <f t="shared" si="3"/>
        <v>22835132.73</v>
      </c>
      <c r="N25" s="9">
        <f t="shared" si="4"/>
        <v>2443911.22</v>
      </c>
      <c r="O25" s="11">
        <f t="shared" si="5"/>
        <v>2443911.22</v>
      </c>
      <c r="P25" s="11">
        <f t="shared" si="6"/>
        <v>37498600.05</v>
      </c>
      <c r="Q25" s="11">
        <f t="shared" si="7"/>
        <v>35155092.89</v>
      </c>
      <c r="R25" s="11">
        <f t="shared" si="8"/>
        <v>67497778.34</v>
      </c>
      <c r="S25" s="6" t="str">
        <f t="shared" si="9"/>
        <v>Stealth Assault</v>
      </c>
      <c r="T25" s="11">
        <f t="shared" si="10"/>
        <v>3266021.533</v>
      </c>
      <c r="U25" s="20"/>
    </row>
    <row r="26">
      <c r="B26" s="45" t="s">
        <v>331</v>
      </c>
      <c r="C26" s="20">
        <v>2.5</v>
      </c>
      <c r="D26" s="20">
        <v>150.0</v>
      </c>
      <c r="E26" s="20">
        <v>6259819.0</v>
      </c>
      <c r="F26" s="20">
        <v>1.2693008E7</v>
      </c>
      <c r="K26" s="3"/>
      <c r="L26" s="9">
        <f t="shared" si="2"/>
        <v>195431549.2</v>
      </c>
      <c r="M26" s="10">
        <f t="shared" si="3"/>
        <v>396275709.8</v>
      </c>
      <c r="N26" s="9">
        <f t="shared" si="4"/>
        <v>0</v>
      </c>
      <c r="O26" s="11">
        <f t="shared" si="5"/>
        <v>0</v>
      </c>
      <c r="P26" s="11">
        <f t="shared" si="6"/>
        <v>396275709.8</v>
      </c>
      <c r="Q26" s="11">
        <f t="shared" si="7"/>
        <v>329940060.1</v>
      </c>
      <c r="R26" s="11">
        <f>Q26/(C26+0.5*(1/(1+$B$5)))*2</f>
        <v>239956407.3</v>
      </c>
      <c r="S26" s="6" t="str">
        <f t="shared" si="9"/>
        <v>Levinbolt</v>
      </c>
      <c r="T26" s="11">
        <f t="shared" si="10"/>
        <v>3115499.584</v>
      </c>
      <c r="U26" s="20"/>
    </row>
    <row r="27">
      <c r="B27" s="52" t="s">
        <v>174</v>
      </c>
      <c r="C27" s="20">
        <v>0.25</v>
      </c>
      <c r="D27" s="20">
        <v>30.0</v>
      </c>
      <c r="E27" s="20">
        <v>1280866.0</v>
      </c>
      <c r="F27" s="20">
        <v>1745680.0</v>
      </c>
      <c r="G27" s="20">
        <v>1004876.0</v>
      </c>
      <c r="H27" s="20">
        <v>1469690.0</v>
      </c>
      <c r="I27" s="2"/>
      <c r="J27" s="20">
        <v>1.0</v>
      </c>
      <c r="K27" s="25">
        <v>1.0</v>
      </c>
      <c r="L27" s="9">
        <f t="shared" si="2"/>
        <v>39988636.52</v>
      </c>
      <c r="M27" s="10">
        <f t="shared" si="3"/>
        <v>54500129.6</v>
      </c>
      <c r="N27" s="9">
        <f t="shared" si="4"/>
        <v>31372228.72</v>
      </c>
      <c r="O27" s="11">
        <f t="shared" si="5"/>
        <v>45883721.8</v>
      </c>
      <c r="P27" s="11">
        <f t="shared" si="6"/>
        <v>100383851.4</v>
      </c>
      <c r="Q27" s="11">
        <f t="shared" si="7"/>
        <v>88349583.41</v>
      </c>
      <c r="R27" s="11">
        <f t="shared" ref="R27:R36" si="12">Q27/(C27+0.5*(1/(1+$B$5)))*if(U27=1,1,1+$B$3)</f>
        <v>176699166.8</v>
      </c>
      <c r="S27" s="6" t="str">
        <f t="shared" si="9"/>
        <v>Eviscerate</v>
      </c>
      <c r="T27" s="11">
        <f t="shared" si="10"/>
        <v>2920647.385</v>
      </c>
      <c r="U27" s="20">
        <v>1.0</v>
      </c>
    </row>
    <row r="28">
      <c r="A28" s="1"/>
      <c r="B28" s="52" t="s">
        <v>171</v>
      </c>
      <c r="C28" s="20">
        <v>0.25</v>
      </c>
      <c r="D28" s="20">
        <v>150.0</v>
      </c>
      <c r="E28" s="20">
        <v>5508453.0</v>
      </c>
      <c r="F28" s="20">
        <v>7928774.0</v>
      </c>
      <c r="G28" s="20">
        <v>5232463.0</v>
      </c>
      <c r="H28" s="20">
        <v>7652784.0</v>
      </c>
      <c r="I28" s="2"/>
      <c r="J28" s="20">
        <v>1.0</v>
      </c>
      <c r="K28" s="25">
        <v>1.0</v>
      </c>
      <c r="L28" s="9">
        <f t="shared" si="2"/>
        <v>171973902.7</v>
      </c>
      <c r="M28" s="10">
        <f t="shared" si="3"/>
        <v>247536324.3</v>
      </c>
      <c r="N28" s="9">
        <f t="shared" si="4"/>
        <v>163357494.9</v>
      </c>
      <c r="O28" s="11">
        <f t="shared" si="5"/>
        <v>238919916.5</v>
      </c>
      <c r="P28" s="11">
        <f t="shared" si="6"/>
        <v>486456240.8</v>
      </c>
      <c r="Q28" s="11">
        <f>(if($A28=1,$B$4,1)*((L28*E28+F28*M28)/(E28+F28)+if(G28&gt;0,(N28*G28+H28*O28)/(G28+H28)*J28*K28,0)))</f>
        <v>424795686.6</v>
      </c>
      <c r="R28" s="11">
        <f t="shared" si="12"/>
        <v>849591373.3</v>
      </c>
      <c r="S28" s="6" t="str">
        <f t="shared" si="9"/>
        <v>Assassinate</v>
      </c>
      <c r="T28" s="11">
        <f t="shared" si="10"/>
        <v>2827259.146</v>
      </c>
      <c r="U28" s="20">
        <v>1.0</v>
      </c>
    </row>
    <row r="29">
      <c r="B29" s="51" t="s">
        <v>119</v>
      </c>
      <c r="C29" s="1">
        <v>0.125</v>
      </c>
      <c r="D29" s="1">
        <v>10.0</v>
      </c>
      <c r="E29" s="20">
        <v>799478.0</v>
      </c>
      <c r="F29" s="20">
        <v>977140.0</v>
      </c>
      <c r="I29" s="2"/>
      <c r="K29" s="3"/>
      <c r="L29" s="9">
        <f t="shared" si="2"/>
        <v>24959703.16</v>
      </c>
      <c r="M29" s="10">
        <f t="shared" si="3"/>
        <v>30506310.8</v>
      </c>
      <c r="N29" s="9">
        <f t="shared" si="4"/>
        <v>0</v>
      </c>
      <c r="O29" s="11">
        <f t="shared" si="5"/>
        <v>0</v>
      </c>
      <c r="P29" s="11">
        <f t="shared" si="6"/>
        <v>30506310.8</v>
      </c>
      <c r="Q29" s="11">
        <f t="shared" ref="Q29:Q48" si="13">(if($A29=1,$B$4,1)*((L29*E29+F29*M29)/(E29+F29)+if(G29&gt;0,(N29*G29+H29*O29)/(G29+H29)*J29*K29,0)))</f>
        <v>28010337.67</v>
      </c>
      <c r="R29" s="11">
        <f t="shared" si="12"/>
        <v>74694233.8</v>
      </c>
      <c r="S29" s="6" t="str">
        <f t="shared" si="9"/>
        <v>Evade</v>
      </c>
      <c r="T29" s="11">
        <f t="shared" si="10"/>
        <v>2766453.104</v>
      </c>
      <c r="U29" s="20">
        <v>1.0</v>
      </c>
    </row>
    <row r="30">
      <c r="B30" s="51" t="s">
        <v>332</v>
      </c>
      <c r="C30" s="1">
        <v>0.25</v>
      </c>
      <c r="D30" s="1">
        <v>15.0</v>
      </c>
      <c r="E30" s="6">
        <f>145301+43414+202598</f>
        <v>391313</v>
      </c>
      <c r="F30" s="6">
        <f>337663+209476+72356</f>
        <v>619495</v>
      </c>
      <c r="G30" s="20">
        <v>43483.0</v>
      </c>
      <c r="H30" s="20">
        <v>72472.0</v>
      </c>
      <c r="J30" s="1">
        <v>24.0</v>
      </c>
      <c r="K30" s="7">
        <v>0.25</v>
      </c>
      <c r="L30" s="9">
        <f t="shared" si="2"/>
        <v>12216791.86</v>
      </c>
      <c r="M30" s="10">
        <f t="shared" si="3"/>
        <v>19340633.9</v>
      </c>
      <c r="N30" s="9">
        <f t="shared" si="4"/>
        <v>1357539.26</v>
      </c>
      <c r="O30" s="11">
        <f t="shared" si="5"/>
        <v>2262575.84</v>
      </c>
      <c r="P30" s="11">
        <f t="shared" si="6"/>
        <v>32916088.94</v>
      </c>
      <c r="Q30" s="11">
        <f t="shared" si="13"/>
        <v>28121917.28</v>
      </c>
      <c r="R30" s="11">
        <f t="shared" si="12"/>
        <v>80991121.77</v>
      </c>
      <c r="S30" s="6" t="str">
        <f t="shared" si="9"/>
        <v>Gushing wound</v>
      </c>
      <c r="T30" s="11">
        <f t="shared" si="10"/>
        <v>2655446.615</v>
      </c>
      <c r="U30" s="20"/>
    </row>
    <row r="31">
      <c r="B31" s="52" t="s">
        <v>175</v>
      </c>
      <c r="C31" s="20">
        <v>0.25</v>
      </c>
      <c r="D31" s="20">
        <v>30.0</v>
      </c>
      <c r="E31" s="20">
        <v>1032059.0</v>
      </c>
      <c r="F31" s="20">
        <v>1381786.0</v>
      </c>
      <c r="G31" s="20">
        <v>756069.0</v>
      </c>
      <c r="H31" s="20">
        <v>1105796.0</v>
      </c>
      <c r="J31" s="20">
        <v>1.0</v>
      </c>
      <c r="K31" s="25">
        <v>1.0</v>
      </c>
      <c r="L31" s="9">
        <f t="shared" si="2"/>
        <v>32220881.98</v>
      </c>
      <c r="M31" s="10">
        <f t="shared" si="3"/>
        <v>43139358.92</v>
      </c>
      <c r="N31" s="9">
        <f t="shared" si="4"/>
        <v>23604474.18</v>
      </c>
      <c r="O31" s="11">
        <f t="shared" si="5"/>
        <v>34522951.12</v>
      </c>
      <c r="P31" s="11">
        <f t="shared" si="6"/>
        <v>77662310.04</v>
      </c>
      <c r="Q31" s="11">
        <f t="shared" si="13"/>
        <v>68560234.81</v>
      </c>
      <c r="R31" s="11">
        <f t="shared" si="12"/>
        <v>137120469.6</v>
      </c>
      <c r="S31" s="6" t="str">
        <f t="shared" si="9"/>
        <v>Jugular Slice</v>
      </c>
      <c r="T31" s="11">
        <f t="shared" si="10"/>
        <v>2266454.043</v>
      </c>
      <c r="U31" s="20">
        <v>1.0</v>
      </c>
    </row>
    <row r="32">
      <c r="B32" s="51" t="s">
        <v>333</v>
      </c>
      <c r="C32" s="1">
        <v>0.25</v>
      </c>
      <c r="D32" s="1">
        <v>10.0</v>
      </c>
      <c r="E32" s="20">
        <v>567498.0</v>
      </c>
      <c r="F32" s="20">
        <v>735002.0</v>
      </c>
      <c r="I32" s="5">
        <v>0.01</v>
      </c>
      <c r="K32" s="3"/>
      <c r="L32" s="9">
        <f t="shared" si="2"/>
        <v>17722962.54</v>
      </c>
      <c r="M32" s="10">
        <f t="shared" si="3"/>
        <v>22954112.46</v>
      </c>
      <c r="N32" s="9">
        <f t="shared" si="4"/>
        <v>0</v>
      </c>
      <c r="O32" s="11">
        <f t="shared" si="5"/>
        <v>0</v>
      </c>
      <c r="P32" s="11">
        <f t="shared" si="6"/>
        <v>22954112.46</v>
      </c>
      <c r="Q32" s="11">
        <f t="shared" si="13"/>
        <v>20674905.46</v>
      </c>
      <c r="R32" s="11">
        <f t="shared" si="12"/>
        <v>41349810.92</v>
      </c>
      <c r="S32" s="6" t="str">
        <f t="shared" si="9"/>
        <v>Bloodflurry0</v>
      </c>
      <c r="T32" s="11">
        <f t="shared" si="10"/>
        <v>2017063.947</v>
      </c>
      <c r="U32" s="20">
        <v>1.0</v>
      </c>
    </row>
    <row r="33">
      <c r="B33" s="51" t="s">
        <v>334</v>
      </c>
      <c r="C33" s="1">
        <v>0.5</v>
      </c>
      <c r="D33" s="1">
        <v>10.0</v>
      </c>
      <c r="E33" s="20">
        <v>531865.0</v>
      </c>
      <c r="F33" s="20">
        <v>777884.0</v>
      </c>
      <c r="K33" s="3"/>
      <c r="L33" s="9">
        <f t="shared" si="2"/>
        <v>16604825.3</v>
      </c>
      <c r="M33" s="10">
        <f t="shared" si="3"/>
        <v>24285538.48</v>
      </c>
      <c r="N33" s="9">
        <f t="shared" si="4"/>
        <v>0</v>
      </c>
      <c r="O33" s="11">
        <f t="shared" si="5"/>
        <v>0</v>
      </c>
      <c r="P33" s="11">
        <f t="shared" si="6"/>
        <v>24285538.48</v>
      </c>
      <c r="Q33" s="11">
        <f t="shared" si="13"/>
        <v>21166542</v>
      </c>
      <c r="R33" s="11">
        <f t="shared" si="12"/>
        <v>28222056.01</v>
      </c>
      <c r="S33" s="6" t="str">
        <f t="shared" si="9"/>
        <v>Improvised Weap</v>
      </c>
      <c r="T33" s="11">
        <f t="shared" si="10"/>
        <v>2015861.143</v>
      </c>
      <c r="U33" s="20">
        <v>1.0</v>
      </c>
    </row>
    <row r="34">
      <c r="B34" s="51" t="s">
        <v>152</v>
      </c>
      <c r="C34" s="1">
        <v>0.5</v>
      </c>
      <c r="D34" s="1">
        <v>10.0</v>
      </c>
      <c r="E34" s="20">
        <v>361186.0</v>
      </c>
      <c r="F34" s="20">
        <v>503982.0</v>
      </c>
      <c r="G34" s="20">
        <v>172261.0</v>
      </c>
      <c r="H34" s="20">
        <v>251991.0</v>
      </c>
      <c r="J34" s="1">
        <v>1.0</v>
      </c>
      <c r="K34" s="7">
        <v>1.0</v>
      </c>
      <c r="L34" s="9">
        <f t="shared" si="2"/>
        <v>11276226.92</v>
      </c>
      <c r="M34" s="10">
        <f t="shared" si="3"/>
        <v>15734318.04</v>
      </c>
      <c r="N34" s="9">
        <f t="shared" si="4"/>
        <v>5377988.42</v>
      </c>
      <c r="O34" s="11">
        <f t="shared" si="5"/>
        <v>7867159.02</v>
      </c>
      <c r="P34" s="11">
        <f t="shared" si="6"/>
        <v>23601477.06</v>
      </c>
      <c r="Q34" s="11">
        <f t="shared" si="13"/>
        <v>20729646.08</v>
      </c>
      <c r="R34" s="11">
        <f t="shared" si="12"/>
        <v>27639528.11</v>
      </c>
      <c r="S34" s="6" t="str">
        <f t="shared" si="9"/>
        <v>Deadly Shot</v>
      </c>
      <c r="T34" s="11">
        <f t="shared" si="10"/>
        <v>1974252.008</v>
      </c>
      <c r="U34" s="20">
        <v>1.0</v>
      </c>
    </row>
    <row r="35">
      <c r="B35" s="51" t="s">
        <v>335</v>
      </c>
      <c r="C35" s="1">
        <v>0.25</v>
      </c>
      <c r="D35" s="1">
        <v>22.5</v>
      </c>
      <c r="E35" s="20">
        <v>1046848.0</v>
      </c>
      <c r="F35" s="20">
        <v>1372105.0</v>
      </c>
      <c r="I35" s="2"/>
      <c r="J35" s="20"/>
      <c r="K35" s="3"/>
      <c r="L35" s="9">
        <f t="shared" si="2"/>
        <v>32682594.56</v>
      </c>
      <c r="M35" s="10">
        <f t="shared" si="3"/>
        <v>42837118.1</v>
      </c>
      <c r="N35" s="9">
        <f t="shared" si="4"/>
        <v>0</v>
      </c>
      <c r="O35" s="11">
        <f t="shared" si="5"/>
        <v>0</v>
      </c>
      <c r="P35" s="11">
        <f t="shared" si="6"/>
        <v>42837118.1</v>
      </c>
      <c r="Q35" s="11">
        <f t="shared" si="13"/>
        <v>38442554.56</v>
      </c>
      <c r="R35" s="11">
        <f t="shared" si="12"/>
        <v>76885109.12</v>
      </c>
      <c r="S35" s="6" t="str">
        <f t="shared" si="9"/>
        <v>Touch Nightshade</v>
      </c>
      <c r="T35" s="11">
        <f t="shared" si="10"/>
        <v>1689782.618</v>
      </c>
      <c r="U35" s="20">
        <v>1.0</v>
      </c>
    </row>
    <row r="36">
      <c r="B36" s="51" t="s">
        <v>336</v>
      </c>
      <c r="C36" s="1">
        <v>0.25</v>
      </c>
      <c r="D36" s="1">
        <v>22.5</v>
      </c>
      <c r="E36" s="20">
        <v>911588.0</v>
      </c>
      <c r="F36" s="20">
        <v>1205589.0</v>
      </c>
      <c r="K36" s="3"/>
      <c r="L36" s="9">
        <f t="shared" si="2"/>
        <v>28459777.36</v>
      </c>
      <c r="M36" s="10">
        <f t="shared" si="3"/>
        <v>37638488.58</v>
      </c>
      <c r="N36" s="9">
        <f t="shared" si="4"/>
        <v>0</v>
      </c>
      <c r="O36" s="11">
        <f t="shared" si="5"/>
        <v>0</v>
      </c>
      <c r="P36" s="11">
        <f t="shared" si="6"/>
        <v>37638488.58</v>
      </c>
      <c r="Q36" s="11">
        <f t="shared" si="13"/>
        <v>33686432.14</v>
      </c>
      <c r="R36" s="11">
        <f t="shared" si="12"/>
        <v>67372864.27</v>
      </c>
      <c r="S36" s="6" t="str">
        <f t="shared" si="9"/>
        <v>Deathblow&gt;33</v>
      </c>
      <c r="T36" s="11">
        <f t="shared" si="10"/>
        <v>1480722.292</v>
      </c>
      <c r="U36" s="20">
        <v>1.0</v>
      </c>
    </row>
    <row r="37">
      <c r="A37" s="20">
        <v>1.0</v>
      </c>
      <c r="B37" s="45" t="s">
        <v>337</v>
      </c>
      <c r="C37" s="20">
        <v>3.1</v>
      </c>
      <c r="D37" s="20">
        <v>210.0</v>
      </c>
      <c r="E37" s="20">
        <v>3978270.0</v>
      </c>
      <c r="F37" s="20">
        <v>8159844.0</v>
      </c>
      <c r="K37" s="3"/>
      <c r="L37" s="9">
        <f t="shared" si="2"/>
        <v>124201589.4</v>
      </c>
      <c r="M37" s="10">
        <f t="shared" si="3"/>
        <v>254750329.7</v>
      </c>
      <c r="N37" s="9">
        <f t="shared" si="4"/>
        <v>0</v>
      </c>
      <c r="O37" s="11">
        <f t="shared" si="5"/>
        <v>0</v>
      </c>
      <c r="P37" s="11">
        <f t="shared" si="6"/>
        <v>254750329.7</v>
      </c>
      <c r="Q37" s="11">
        <f t="shared" si="13"/>
        <v>211962946.3</v>
      </c>
      <c r="R37" s="11">
        <f>Q37/(C37+0.5*(1/(1+$B$5)))*2</f>
        <v>126545042.6</v>
      </c>
      <c r="S37" s="6" t="str">
        <f t="shared" si="9"/>
        <v>Etherflash</v>
      </c>
      <c r="T37" s="11">
        <f t="shared" si="10"/>
        <v>1432316.484</v>
      </c>
      <c r="U37" s="20"/>
    </row>
    <row r="38">
      <c r="B38" s="52" t="s">
        <v>158</v>
      </c>
      <c r="C38" s="20">
        <v>1.0</v>
      </c>
      <c r="D38" s="20">
        <v>30.0</v>
      </c>
      <c r="E38" s="20">
        <v>1155637.0</v>
      </c>
      <c r="F38" s="20">
        <v>1562776.0</v>
      </c>
      <c r="G38" s="1"/>
      <c r="H38" s="1"/>
      <c r="J38" s="1"/>
      <c r="K38" s="7"/>
      <c r="L38" s="9">
        <f t="shared" si="2"/>
        <v>36078987.14</v>
      </c>
      <c r="M38" s="10">
        <f t="shared" si="3"/>
        <v>48789866.72</v>
      </c>
      <c r="N38" s="9">
        <f t="shared" si="4"/>
        <v>0</v>
      </c>
      <c r="O38" s="11">
        <f t="shared" si="5"/>
        <v>0</v>
      </c>
      <c r="P38" s="11">
        <f t="shared" si="6"/>
        <v>48789866.72</v>
      </c>
      <c r="Q38" s="11">
        <f t="shared" si="13"/>
        <v>43386286.49</v>
      </c>
      <c r="R38" s="11">
        <f t="shared" ref="R38:R48" si="14">Q38/(C38+0.5*(1/(1+$B$5)))*if(U38=1,1,1+$B$3)</f>
        <v>34709029.19</v>
      </c>
      <c r="S38" s="6" t="str">
        <f t="shared" si="9"/>
        <v>Head Shot</v>
      </c>
      <c r="T38" s="11">
        <f t="shared" si="10"/>
        <v>1399557.629</v>
      </c>
      <c r="U38" s="20">
        <v>1.0</v>
      </c>
    </row>
    <row r="39">
      <c r="B39" s="51" t="s">
        <v>160</v>
      </c>
      <c r="C39" s="1">
        <v>0.75</v>
      </c>
      <c r="D39" s="1">
        <v>30.0</v>
      </c>
      <c r="E39" s="20">
        <v>1080137.0</v>
      </c>
      <c r="F39" s="20">
        <v>1452331.0</v>
      </c>
      <c r="I39" s="2"/>
      <c r="K39" s="3"/>
      <c r="L39" s="9">
        <f t="shared" si="2"/>
        <v>33721877.14</v>
      </c>
      <c r="M39" s="10">
        <f t="shared" si="3"/>
        <v>45341773.82</v>
      </c>
      <c r="N39" s="9">
        <f t="shared" si="4"/>
        <v>0</v>
      </c>
      <c r="O39" s="11">
        <f t="shared" si="5"/>
        <v>0</v>
      </c>
      <c r="P39" s="11">
        <f t="shared" si="6"/>
        <v>45341773.82</v>
      </c>
      <c r="Q39" s="11">
        <f t="shared" si="13"/>
        <v>40385707.11</v>
      </c>
      <c r="R39" s="11">
        <f t="shared" si="14"/>
        <v>40385707.11</v>
      </c>
      <c r="S39" s="6" t="str">
        <f t="shared" si="9"/>
        <v>Spine Shot</v>
      </c>
      <c r="T39" s="11">
        <f t="shared" si="10"/>
        <v>1313356.329</v>
      </c>
      <c r="U39" s="20">
        <v>1.0</v>
      </c>
    </row>
    <row r="40">
      <c r="B40" s="51" t="s">
        <v>163</v>
      </c>
      <c r="C40" s="1">
        <v>0.25</v>
      </c>
      <c r="D40" s="1">
        <v>30.0</v>
      </c>
      <c r="E40" s="20">
        <v>910181.0</v>
      </c>
      <c r="F40" s="20">
        <v>1203531.0</v>
      </c>
      <c r="I40" s="2"/>
      <c r="K40" s="3"/>
      <c r="L40" s="9">
        <f t="shared" si="2"/>
        <v>28415850.82</v>
      </c>
      <c r="M40" s="10">
        <f t="shared" si="3"/>
        <v>37574237.82</v>
      </c>
      <c r="N40" s="9">
        <f t="shared" si="4"/>
        <v>0</v>
      </c>
      <c r="O40" s="11">
        <f t="shared" si="5"/>
        <v>0</v>
      </c>
      <c r="P40" s="11">
        <f t="shared" si="6"/>
        <v>37574237.82</v>
      </c>
      <c r="Q40" s="11">
        <f t="shared" si="13"/>
        <v>33630564.4</v>
      </c>
      <c r="R40" s="11">
        <f t="shared" si="14"/>
        <v>67261128.79</v>
      </c>
      <c r="S40" s="6" t="str">
        <f t="shared" si="9"/>
        <v>Paralyzing Strike</v>
      </c>
      <c r="T40" s="11">
        <f t="shared" si="10"/>
        <v>1111754.195</v>
      </c>
      <c r="U40" s="20">
        <v>1.0</v>
      </c>
    </row>
    <row r="41">
      <c r="B41" s="51" t="s">
        <v>164</v>
      </c>
      <c r="C41" s="1">
        <v>0.25</v>
      </c>
      <c r="D41" s="1">
        <v>30.0</v>
      </c>
      <c r="E41" s="20">
        <v>906349.0</v>
      </c>
      <c r="F41" s="20">
        <v>1197927.0</v>
      </c>
      <c r="I41" s="2"/>
      <c r="K41" s="3"/>
      <c r="L41" s="9">
        <f t="shared" si="2"/>
        <v>28296215.78</v>
      </c>
      <c r="M41" s="10">
        <f t="shared" si="3"/>
        <v>37399280.94</v>
      </c>
      <c r="N41" s="9">
        <f t="shared" si="4"/>
        <v>0</v>
      </c>
      <c r="O41" s="11">
        <f t="shared" si="5"/>
        <v>0</v>
      </c>
      <c r="P41" s="11">
        <f t="shared" si="6"/>
        <v>37399280.94</v>
      </c>
      <c r="Q41" s="11">
        <f t="shared" si="13"/>
        <v>33478429.3</v>
      </c>
      <c r="R41" s="11">
        <f t="shared" si="14"/>
        <v>66956858.6</v>
      </c>
      <c r="S41" s="6" t="str">
        <f t="shared" si="9"/>
        <v>Crippling Strike</v>
      </c>
      <c r="T41" s="11">
        <f t="shared" si="10"/>
        <v>1106724.936</v>
      </c>
      <c r="U41" s="20">
        <v>1.0</v>
      </c>
    </row>
    <row r="42">
      <c r="A42" s="1">
        <v>1.0</v>
      </c>
      <c r="B42" s="51" t="s">
        <v>178</v>
      </c>
      <c r="C42" s="1">
        <v>0.75</v>
      </c>
      <c r="D42" s="1">
        <v>30.0</v>
      </c>
      <c r="E42" s="20">
        <v>796285.0</v>
      </c>
      <c r="F42" s="20">
        <v>1122060.0</v>
      </c>
      <c r="I42" s="5">
        <v>0.15</v>
      </c>
      <c r="K42" s="3"/>
      <c r="L42" s="9">
        <f t="shared" si="2"/>
        <v>24979460.45</v>
      </c>
      <c r="M42" s="10">
        <f t="shared" si="3"/>
        <v>35199022.2</v>
      </c>
      <c r="N42" s="9">
        <f t="shared" si="4"/>
        <v>0</v>
      </c>
      <c r="O42" s="11">
        <f t="shared" si="5"/>
        <v>0</v>
      </c>
      <c r="P42" s="11">
        <f t="shared" si="6"/>
        <v>35199022.2</v>
      </c>
      <c r="Q42" s="11">
        <f t="shared" si="13"/>
        <v>30956988.71</v>
      </c>
      <c r="R42" s="11">
        <f t="shared" si="14"/>
        <v>30956988.71</v>
      </c>
      <c r="S42" s="6" t="str">
        <f t="shared" si="9"/>
        <v>Massacre</v>
      </c>
      <c r="T42" s="11">
        <f t="shared" si="10"/>
        <v>1006731.34</v>
      </c>
      <c r="U42" s="20">
        <v>1.0</v>
      </c>
    </row>
    <row r="43">
      <c r="B43" s="52" t="s">
        <v>176</v>
      </c>
      <c r="C43" s="20">
        <v>0.25</v>
      </c>
      <c r="D43" s="20">
        <v>90.0</v>
      </c>
      <c r="E43" s="20">
        <v>2190040.0</v>
      </c>
      <c r="F43" s="20">
        <v>3075400.0</v>
      </c>
      <c r="K43" s="3"/>
      <c r="L43" s="9">
        <f t="shared" si="2"/>
        <v>68373048.8</v>
      </c>
      <c r="M43" s="10">
        <f t="shared" si="3"/>
        <v>96013988</v>
      </c>
      <c r="N43" s="9">
        <f t="shared" si="4"/>
        <v>0</v>
      </c>
      <c r="O43" s="11">
        <f t="shared" si="5"/>
        <v>0</v>
      </c>
      <c r="P43" s="11">
        <f t="shared" si="6"/>
        <v>96013988</v>
      </c>
      <c r="Q43" s="11">
        <f t="shared" si="13"/>
        <v>84517368.06</v>
      </c>
      <c r="R43" s="11">
        <f t="shared" si="14"/>
        <v>169034736.1</v>
      </c>
      <c r="S43" s="6" t="str">
        <f t="shared" si="9"/>
        <v>Mortal Blade</v>
      </c>
      <c r="T43" s="11">
        <f t="shared" si="10"/>
        <v>936480.5325</v>
      </c>
      <c r="U43" s="20">
        <v>1.0</v>
      </c>
    </row>
    <row r="44">
      <c r="B44" s="51" t="s">
        <v>338</v>
      </c>
      <c r="C44" s="1">
        <v>0.25</v>
      </c>
      <c r="D44" s="1">
        <v>30.0</v>
      </c>
      <c r="E44" s="20">
        <v>746599.0</v>
      </c>
      <c r="F44" s="20">
        <v>964815.0</v>
      </c>
      <c r="K44" s="3"/>
      <c r="L44" s="9">
        <f t="shared" si="2"/>
        <v>23308820.78</v>
      </c>
      <c r="M44" s="10">
        <f t="shared" si="3"/>
        <v>30121524.3</v>
      </c>
      <c r="N44" s="9">
        <f t="shared" si="4"/>
        <v>0</v>
      </c>
      <c r="O44" s="11">
        <f t="shared" si="5"/>
        <v>0</v>
      </c>
      <c r="P44" s="11">
        <f t="shared" si="6"/>
        <v>30121524.3</v>
      </c>
      <c r="Q44" s="11">
        <f t="shared" si="13"/>
        <v>27149503.72</v>
      </c>
      <c r="R44" s="11">
        <f t="shared" si="14"/>
        <v>54299007.43</v>
      </c>
      <c r="S44" s="6" t="str">
        <f t="shared" si="9"/>
        <v>evasive maneuvers</v>
      </c>
      <c r="T44" s="11">
        <f t="shared" si="10"/>
        <v>897504.2551</v>
      </c>
      <c r="U44" s="20">
        <v>1.0</v>
      </c>
    </row>
    <row r="45">
      <c r="A45" s="20">
        <v>1.0</v>
      </c>
      <c r="B45" s="52" t="s">
        <v>153</v>
      </c>
      <c r="C45" s="20">
        <v>0.25</v>
      </c>
      <c r="D45" s="20">
        <v>90.0</v>
      </c>
      <c r="E45" s="20">
        <v>1064172.0</v>
      </c>
      <c r="F45" s="20">
        <v>1897465.0</v>
      </c>
      <c r="G45" s="1"/>
      <c r="H45" s="1"/>
      <c r="I45" s="5"/>
      <c r="J45" s="1"/>
      <c r="K45" s="7"/>
      <c r="L45" s="9">
        <f t="shared" si="2"/>
        <v>33223449.84</v>
      </c>
      <c r="M45" s="10">
        <f t="shared" si="3"/>
        <v>59238857.3</v>
      </c>
      <c r="N45" s="9">
        <f t="shared" si="4"/>
        <v>0</v>
      </c>
      <c r="O45" s="11">
        <f t="shared" si="5"/>
        <v>0</v>
      </c>
      <c r="P45" s="11">
        <f t="shared" si="6"/>
        <v>59238857.3</v>
      </c>
      <c r="Q45" s="11">
        <f t="shared" si="13"/>
        <v>49891031.02</v>
      </c>
      <c r="R45" s="11">
        <f t="shared" si="14"/>
        <v>143686169.3</v>
      </c>
      <c r="S45" s="6" t="str">
        <f t="shared" si="9"/>
        <v>Smoke Bomb</v>
      </c>
      <c r="T45" s="11">
        <f t="shared" si="10"/>
        <v>796045.2594</v>
      </c>
      <c r="U45" s="20"/>
    </row>
    <row r="46">
      <c r="B46" s="52" t="s">
        <v>339</v>
      </c>
      <c r="C46" s="20">
        <v>0.25</v>
      </c>
      <c r="D46" s="20">
        <v>22.5</v>
      </c>
      <c r="E46" s="1">
        <f>204863+117651</f>
        <v>322514</v>
      </c>
      <c r="F46" s="1">
        <f>291397+196085</f>
        <v>487482</v>
      </c>
      <c r="G46" s="1"/>
      <c r="H46" s="1"/>
      <c r="I46" s="5"/>
      <c r="J46" s="1"/>
      <c r="K46" s="7"/>
      <c r="L46" s="9">
        <f t="shared" si="2"/>
        <v>10068887.08</v>
      </c>
      <c r="M46" s="10">
        <f t="shared" si="3"/>
        <v>15219188.04</v>
      </c>
      <c r="N46" s="9">
        <f t="shared" si="4"/>
        <v>0</v>
      </c>
      <c r="O46" s="11">
        <f t="shared" si="5"/>
        <v>0</v>
      </c>
      <c r="P46" s="11">
        <f t="shared" si="6"/>
        <v>15219188.04</v>
      </c>
      <c r="Q46" s="11">
        <f t="shared" si="13"/>
        <v>13168506.11</v>
      </c>
      <c r="R46" s="11">
        <f t="shared" si="14"/>
        <v>26337012.21</v>
      </c>
      <c r="S46" s="6" t="str">
        <f t="shared" si="9"/>
        <v>Bladed Opening</v>
      </c>
      <c r="T46" s="11">
        <f t="shared" si="10"/>
        <v>578835.4332</v>
      </c>
      <c r="U46" s="20">
        <v>1.0</v>
      </c>
    </row>
    <row r="47">
      <c r="B47" s="51" t="s">
        <v>340</v>
      </c>
      <c r="C47" s="1">
        <v>0.125</v>
      </c>
      <c r="D47" s="1">
        <v>15.0</v>
      </c>
      <c r="E47" s="20">
        <v>24322.0</v>
      </c>
      <c r="F47" s="20">
        <v>29726.0</v>
      </c>
      <c r="G47" s="6">
        <f t="shared" ref="G47:H47" si="15">E47</f>
        <v>24322</v>
      </c>
      <c r="H47" s="6">
        <f t="shared" si="15"/>
        <v>29726</v>
      </c>
      <c r="I47" s="2"/>
      <c r="J47" s="1">
        <v>7.0</v>
      </c>
      <c r="K47" s="7">
        <v>1.0</v>
      </c>
      <c r="L47" s="9">
        <f t="shared" si="2"/>
        <v>759332.84</v>
      </c>
      <c r="M47" s="10">
        <f t="shared" si="3"/>
        <v>928045.72</v>
      </c>
      <c r="N47" s="9">
        <f t="shared" si="4"/>
        <v>759332.84</v>
      </c>
      <c r="O47" s="11">
        <f t="shared" si="5"/>
        <v>928045.72</v>
      </c>
      <c r="P47" s="11">
        <f t="shared" si="6"/>
        <v>7424365.76</v>
      </c>
      <c r="Q47" s="11">
        <f t="shared" si="13"/>
        <v>6816989.403</v>
      </c>
      <c r="R47" s="11">
        <f t="shared" si="14"/>
        <v>18178638.41</v>
      </c>
      <c r="S47" s="6" t="str">
        <f t="shared" si="9"/>
        <v>DeathMark Heal</v>
      </c>
      <c r="T47" s="11">
        <f t="shared" si="10"/>
        <v>450710.0432</v>
      </c>
      <c r="U47" s="20">
        <v>1.0</v>
      </c>
    </row>
    <row r="48">
      <c r="A48" s="1">
        <v>1.0</v>
      </c>
      <c r="B48" s="51" t="s">
        <v>170</v>
      </c>
      <c r="C48" s="1">
        <v>0.5</v>
      </c>
      <c r="D48" s="1">
        <v>22.5</v>
      </c>
      <c r="E48" s="20">
        <v>149115.0</v>
      </c>
      <c r="F48" s="20">
        <v>218090.0</v>
      </c>
      <c r="I48" s="2"/>
      <c r="K48" s="3"/>
      <c r="L48" s="9">
        <f t="shared" si="2"/>
        <v>4655370.3</v>
      </c>
      <c r="M48" s="10">
        <f t="shared" si="3"/>
        <v>6808769.8</v>
      </c>
      <c r="N48" s="9">
        <f t="shared" si="4"/>
        <v>0</v>
      </c>
      <c r="O48" s="11">
        <f t="shared" si="5"/>
        <v>0</v>
      </c>
      <c r="P48" s="11">
        <f t="shared" si="6"/>
        <v>6808769.8</v>
      </c>
      <c r="Q48" s="11">
        <f t="shared" si="13"/>
        <v>5934315.023</v>
      </c>
      <c r="R48" s="11">
        <f t="shared" si="14"/>
        <v>7912420.03</v>
      </c>
      <c r="S48" s="6" t="str">
        <f t="shared" si="9"/>
        <v>Spinning Spear</v>
      </c>
      <c r="T48" s="11">
        <f t="shared" si="10"/>
        <v>258013.6966</v>
      </c>
      <c r="U48" s="20">
        <v>1.0</v>
      </c>
    </row>
    <row r="49">
      <c r="B49" s="20"/>
      <c r="C49" s="20"/>
      <c r="E49" s="20"/>
      <c r="F49" s="20"/>
      <c r="G49" s="20"/>
      <c r="H49" s="20"/>
      <c r="K49" s="3"/>
      <c r="L49" s="4"/>
    </row>
    <row r="50">
      <c r="E50" s="20"/>
      <c r="F50" s="20"/>
      <c r="G50" s="20"/>
      <c r="H50" s="20"/>
      <c r="K50" s="3"/>
      <c r="L50" s="4"/>
      <c r="Q50" s="2"/>
    </row>
    <row r="51">
      <c r="E51" s="20" t="s">
        <v>341</v>
      </c>
      <c r="F51" s="20" t="s">
        <v>342</v>
      </c>
      <c r="K51" s="3"/>
      <c r="L51" s="4"/>
      <c r="Q51" s="2"/>
    </row>
    <row r="52">
      <c r="B52" s="20" t="s">
        <v>144</v>
      </c>
      <c r="C52" s="20">
        <v>129406.0</v>
      </c>
      <c r="D52" s="20">
        <v>164571.0</v>
      </c>
      <c r="E52" s="27">
        <f t="shared" ref="E52:E57" si="16">max(D52/3,(D52-C$49)/2)</f>
        <v>82285.5</v>
      </c>
      <c r="K52" s="3"/>
      <c r="L52" s="4"/>
      <c r="Q52" s="2"/>
    </row>
    <row r="53">
      <c r="B53" s="20" t="s">
        <v>148</v>
      </c>
      <c r="C53" s="20">
        <v>361317.0</v>
      </c>
      <c r="D53" s="20">
        <v>514434.0</v>
      </c>
      <c r="E53" s="27">
        <f t="shared" si="16"/>
        <v>257217</v>
      </c>
      <c r="K53" s="3"/>
      <c r="L53" s="4"/>
      <c r="Q53" s="2"/>
    </row>
    <row r="54">
      <c r="B54" s="20" t="s">
        <v>107</v>
      </c>
      <c r="C54" s="20">
        <v>71738.0</v>
      </c>
      <c r="D54" s="20">
        <v>82725.0</v>
      </c>
      <c r="E54" s="27">
        <f t="shared" si="16"/>
        <v>41362.5</v>
      </c>
      <c r="K54" s="3"/>
      <c r="L54" s="4"/>
      <c r="Q54" s="2"/>
    </row>
    <row r="55">
      <c r="B55" s="20" t="s">
        <v>146</v>
      </c>
      <c r="C55">
        <f>85744+38688</f>
        <v>124432</v>
      </c>
      <c r="D55">
        <f>114483+54659</f>
        <v>169142</v>
      </c>
      <c r="E55" s="27">
        <f t="shared" si="16"/>
        <v>84571</v>
      </c>
      <c r="K55" s="3"/>
      <c r="L55" s="4"/>
      <c r="Q55" s="2"/>
    </row>
    <row r="56">
      <c r="B56" s="20" t="s">
        <v>145</v>
      </c>
      <c r="C56">
        <f>118086+57818</f>
        <v>175904</v>
      </c>
      <c r="D56">
        <f>141953+81685</f>
        <v>223638</v>
      </c>
      <c r="E56" s="27">
        <f t="shared" si="16"/>
        <v>111819</v>
      </c>
      <c r="K56" s="3"/>
      <c r="L56" s="4"/>
      <c r="Q56" s="2"/>
    </row>
    <row r="57">
      <c r="B57" s="20" t="s">
        <v>343</v>
      </c>
      <c r="C57">
        <f>107564</f>
        <v>107564</v>
      </c>
      <c r="D57" s="20">
        <v>124059.0</v>
      </c>
      <c r="E57" s="27">
        <f t="shared" si="16"/>
        <v>62029.5</v>
      </c>
      <c r="K57" s="3"/>
      <c r="L57" s="4"/>
      <c r="Q57" s="2"/>
    </row>
    <row r="58">
      <c r="K58" s="3"/>
      <c r="L58" s="4"/>
      <c r="Q58" s="2"/>
    </row>
    <row r="59">
      <c r="K59" s="3"/>
      <c r="L59" s="4"/>
      <c r="Q59" s="2"/>
    </row>
    <row r="60">
      <c r="K60" s="3"/>
      <c r="L60" s="4"/>
      <c r="Q60" s="2"/>
    </row>
    <row r="61">
      <c r="K61" s="3"/>
      <c r="L61" s="4"/>
      <c r="Q61" s="2"/>
    </row>
    <row r="62">
      <c r="K62" s="3"/>
      <c r="L62" s="4"/>
      <c r="Q62" s="2"/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autoFilter ref="$A$7:$U$49">
    <sortState ref="A7:U49">
      <sortCondition descending="1" ref="T7:T49"/>
      <sortCondition descending="1" ref="R7:R49"/>
      <sortCondition ref="B7:B49"/>
      <sortCondition descending="1" ref="D7:D49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2" width="15.13"/>
  </cols>
  <sheetData>
    <row r="1">
      <c r="A1" s="1" t="s">
        <v>344</v>
      </c>
      <c r="B1" s="2">
        <f>1216.6%+130%</f>
        <v>13.466</v>
      </c>
      <c r="C1" s="2">
        <f>((B1-1.3)/(1+1/12)+90%+25%+24*1.5%+15%)*(13/12)*(1+0.05+0.15)+1.3</f>
        <v>18.0572</v>
      </c>
      <c r="D1" s="1" t="s">
        <v>345</v>
      </c>
      <c r="K1" s="3"/>
      <c r="L1" s="4"/>
    </row>
    <row r="2">
      <c r="A2" s="1" t="s">
        <v>346</v>
      </c>
      <c r="B2" s="2">
        <f>640%+1</f>
        <v>7.4</v>
      </c>
      <c r="C2" s="2">
        <f>((B2-1)/(1+1/12)+0.3757)*(1+1/12)+1+0.8</f>
        <v>8.607008333</v>
      </c>
      <c r="D2" s="2">
        <f>50%+0.5%+0.3%</f>
        <v>0.508</v>
      </c>
      <c r="E2" s="1" t="s">
        <v>347</v>
      </c>
      <c r="K2" s="3"/>
      <c r="L2" s="4"/>
    </row>
    <row r="3">
      <c r="A3" s="1" t="s">
        <v>1</v>
      </c>
      <c r="B3" s="2">
        <f>59.6%+32%</f>
        <v>0.916</v>
      </c>
      <c r="C3" s="49">
        <f t="shared" ref="C3:C5" si="1">B3</f>
        <v>0.916</v>
      </c>
      <c r="K3" s="3"/>
      <c r="L3" s="4"/>
    </row>
    <row r="4">
      <c r="A4" s="1" t="s">
        <v>2</v>
      </c>
      <c r="B4" s="19">
        <v>0.3</v>
      </c>
      <c r="C4" s="49">
        <f t="shared" si="1"/>
        <v>0.3</v>
      </c>
      <c r="K4" s="3"/>
      <c r="L4" s="4"/>
    </row>
    <row r="5">
      <c r="A5" s="1" t="s">
        <v>3</v>
      </c>
      <c r="B5" s="1">
        <v>8.0</v>
      </c>
      <c r="C5" s="6">
        <f t="shared" si="1"/>
        <v>8</v>
      </c>
      <c r="K5" s="3"/>
      <c r="L5" s="4"/>
    </row>
    <row r="6">
      <c r="A6" s="1" t="s">
        <v>348</v>
      </c>
      <c r="B6" s="13">
        <v>10487.0</v>
      </c>
      <c r="C6" s="1">
        <v>10487.0</v>
      </c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A8" s="1">
        <v>1.0</v>
      </c>
      <c r="B8" s="1" t="s">
        <v>349</v>
      </c>
      <c r="C8" s="1">
        <v>0.35</v>
      </c>
      <c r="D8" s="1">
        <v>0.0</v>
      </c>
      <c r="E8" s="1">
        <v>17188.0</v>
      </c>
      <c r="F8" s="1">
        <v>28647.0</v>
      </c>
      <c r="K8" s="3"/>
      <c r="L8" s="9">
        <f t="shared" ref="L8:L30" si="2">if(E8*($B$1+$I8)&lt;(F8+1),F8+1,E8*($I8+$B$1))</f>
        <v>231453.608</v>
      </c>
      <c r="M8" s="10">
        <f t="shared" ref="M8:M30" si="3">F8*($B$1+$I8)</f>
        <v>385760.502</v>
      </c>
      <c r="N8" s="9">
        <f t="shared" ref="N8:N12" si="4">if(if(G8*($B$1+$I8)&lt;(H8+1),H8+1,G8*($I8+$B$1))=1,0,if(G8*($B$1+$I8)&lt;(H8+1),H8+1,G8*($I8+$B$1)))</f>
        <v>0</v>
      </c>
      <c r="O8" s="11">
        <f t="shared" ref="O8:O12" si="5">H8*($B$1+$I8)</f>
        <v>0</v>
      </c>
      <c r="P8" s="11">
        <f t="shared" ref="P8:P30" si="6">M8+O8*K8*J8</f>
        <v>385760.502</v>
      </c>
      <c r="Q8" s="11">
        <f t="shared" ref="Q8:Q30" si="7">((if($A8=1,$B$5,1)*((L8*E8+F8*M8)/(E8+F8)+if(G8&gt;0,(N8*G8+H8*O8)/(G8+H8)*J8*K8,0))))*if($U8=1,1,1+$B$4)</f>
        <v>2623166.701</v>
      </c>
      <c r="R8" s="11">
        <f t="shared" ref="R8:R30" si="8">Q8/(C8+0.5*(1/(1+$B$3)))</f>
        <v>4293513.923</v>
      </c>
      <c r="S8" s="6" t="str">
        <f t="shared" ref="S8:S30" si="9">B8</f>
        <v>Decimation</v>
      </c>
      <c r="T8" s="11">
        <f t="shared" ref="T8:T13" si="10">$Q8/(($C8+IF($D8&lt;=$J8,if($J8&gt;1,$J8,$D8),$D8)))</f>
        <v>7494762.002</v>
      </c>
      <c r="U8" s="13">
        <v>1.0</v>
      </c>
      <c r="V8" s="6">
        <f t="shared" ref="V8:V23" si="11">if(A8=1,MAX(R$11:R$42)/R8," ")</f>
        <v>16.40837233</v>
      </c>
    </row>
    <row r="9">
      <c r="B9" s="1" t="s">
        <v>350</v>
      </c>
      <c r="C9" s="1">
        <v>0.35</v>
      </c>
      <c r="D9" s="1">
        <v>0.0</v>
      </c>
      <c r="E9" s="1">
        <v>53828.0</v>
      </c>
      <c r="F9" s="1">
        <v>86396.0</v>
      </c>
      <c r="I9" s="2"/>
      <c r="J9" s="1">
        <v>1.0</v>
      </c>
      <c r="K9" s="7">
        <v>1.0</v>
      </c>
      <c r="L9" s="9">
        <f t="shared" si="2"/>
        <v>724847.848</v>
      </c>
      <c r="M9" s="10">
        <f t="shared" si="3"/>
        <v>1163408.536</v>
      </c>
      <c r="N9" s="9">
        <f t="shared" si="4"/>
        <v>0</v>
      </c>
      <c r="O9" s="11">
        <f t="shared" si="5"/>
        <v>0</v>
      </c>
      <c r="P9" s="11">
        <f t="shared" si="6"/>
        <v>1163408.536</v>
      </c>
      <c r="Q9" s="11">
        <f t="shared" si="7"/>
        <v>995057.5781</v>
      </c>
      <c r="R9" s="11">
        <f t="shared" si="8"/>
        <v>1628677.874</v>
      </c>
      <c r="S9" s="6" t="str">
        <f t="shared" si="9"/>
        <v>Poison Bolt</v>
      </c>
      <c r="T9" s="11">
        <f t="shared" si="10"/>
        <v>2843021.652</v>
      </c>
      <c r="U9" s="13">
        <v>1.0</v>
      </c>
      <c r="V9" s="6" t="str">
        <f t="shared" si="11"/>
        <v> </v>
      </c>
    </row>
    <row r="10">
      <c r="A10" s="1">
        <v>1.0</v>
      </c>
      <c r="B10" s="1" t="s">
        <v>351</v>
      </c>
      <c r="C10" s="1">
        <v>1.5</v>
      </c>
      <c r="D10" s="1">
        <v>0.0</v>
      </c>
      <c r="E10" s="1">
        <v>4146.0</v>
      </c>
      <c r="F10" s="1">
        <v>6319.0</v>
      </c>
      <c r="G10" s="1">
        <v>3520.0</v>
      </c>
      <c r="H10" s="1">
        <v>5416.0</v>
      </c>
      <c r="J10" s="1">
        <v>1.0</v>
      </c>
      <c r="K10" s="7">
        <v>2.0</v>
      </c>
      <c r="L10" s="9">
        <f t="shared" si="2"/>
        <v>55830.036</v>
      </c>
      <c r="M10" s="10">
        <f t="shared" si="3"/>
        <v>85091.654</v>
      </c>
      <c r="N10" s="9">
        <f t="shared" si="4"/>
        <v>47400.32</v>
      </c>
      <c r="O10" s="11">
        <f t="shared" si="5"/>
        <v>72931.856</v>
      </c>
      <c r="P10" s="11">
        <f t="shared" si="6"/>
        <v>230955.366</v>
      </c>
      <c r="Q10" s="11">
        <f t="shared" si="7"/>
        <v>2072181.219</v>
      </c>
      <c r="R10" s="11">
        <f t="shared" si="8"/>
        <v>1176733.614</v>
      </c>
      <c r="S10" s="6" t="str">
        <f t="shared" si="9"/>
        <v>Barrage</v>
      </c>
      <c r="T10" s="11">
        <f t="shared" si="10"/>
        <v>1381454.146</v>
      </c>
      <c r="U10" s="11"/>
      <c r="V10" s="6">
        <f t="shared" si="11"/>
        <v>59.8687538</v>
      </c>
    </row>
    <row r="11">
      <c r="B11" s="1" t="s">
        <v>352</v>
      </c>
      <c r="C11" s="1">
        <v>1.5</v>
      </c>
      <c r="D11" s="1">
        <v>0.0</v>
      </c>
      <c r="E11" s="1">
        <v>11059.0</v>
      </c>
      <c r="F11" s="1">
        <v>17066.0</v>
      </c>
      <c r="G11" s="1">
        <v>13854.0</v>
      </c>
      <c r="H11" s="1">
        <v>23090.0</v>
      </c>
      <c r="J11" s="1">
        <v>1.0</v>
      </c>
      <c r="K11" s="7">
        <v>3.0</v>
      </c>
      <c r="L11" s="9">
        <f t="shared" si="2"/>
        <v>148920.494</v>
      </c>
      <c r="M11" s="10">
        <f t="shared" si="3"/>
        <v>229810.756</v>
      </c>
      <c r="N11" s="9">
        <f t="shared" si="4"/>
        <v>186557.964</v>
      </c>
      <c r="O11" s="11">
        <f t="shared" si="5"/>
        <v>310929.94</v>
      </c>
      <c r="P11" s="11">
        <f t="shared" si="6"/>
        <v>1162600.576</v>
      </c>
      <c r="Q11" s="11">
        <f t="shared" si="7"/>
        <v>1288137.933</v>
      </c>
      <c r="R11" s="11">
        <f t="shared" si="8"/>
        <v>731497.4153</v>
      </c>
      <c r="S11" s="6" t="str">
        <f t="shared" si="9"/>
        <v>Vengeful Arrow 25</v>
      </c>
      <c r="T11" s="11">
        <f t="shared" si="10"/>
        <v>858758.6219</v>
      </c>
      <c r="U11" s="11"/>
      <c r="V11" s="6" t="str">
        <f t="shared" si="11"/>
        <v> </v>
      </c>
    </row>
    <row r="12">
      <c r="B12" s="1" t="s">
        <v>353</v>
      </c>
      <c r="C12" s="1">
        <v>1.5</v>
      </c>
      <c r="D12" s="1">
        <v>0.0</v>
      </c>
      <c r="E12" s="1">
        <v>11059.0</v>
      </c>
      <c r="F12" s="1">
        <v>17066.0</v>
      </c>
      <c r="G12" s="1">
        <v>13854.0</v>
      </c>
      <c r="H12" s="1">
        <v>23090.0</v>
      </c>
      <c r="J12" s="1">
        <v>1.0</v>
      </c>
      <c r="K12" s="7">
        <v>2.0</v>
      </c>
      <c r="L12" s="9">
        <f t="shared" si="2"/>
        <v>148920.494</v>
      </c>
      <c r="M12" s="10">
        <f t="shared" si="3"/>
        <v>229810.756</v>
      </c>
      <c r="N12" s="9">
        <f t="shared" si="4"/>
        <v>186557.964</v>
      </c>
      <c r="O12" s="11">
        <f t="shared" si="5"/>
        <v>310929.94</v>
      </c>
      <c r="P12" s="11">
        <f t="shared" si="6"/>
        <v>851670.636</v>
      </c>
      <c r="Q12" s="11">
        <f t="shared" si="7"/>
        <v>944560.3491</v>
      </c>
      <c r="R12" s="11">
        <f t="shared" si="8"/>
        <v>536389.3388</v>
      </c>
      <c r="S12" s="6" t="str">
        <f t="shared" si="9"/>
        <v>Vengeful Arrow 50</v>
      </c>
      <c r="T12" s="11">
        <f t="shared" si="10"/>
        <v>629706.8994</v>
      </c>
      <c r="U12" s="11"/>
      <c r="V12" s="6" t="str">
        <f t="shared" si="11"/>
        <v> </v>
      </c>
    </row>
    <row r="13">
      <c r="A13" s="1">
        <v>1.0</v>
      </c>
      <c r="B13" s="1" t="s">
        <v>354</v>
      </c>
      <c r="C13" s="1">
        <v>0.25</v>
      </c>
      <c r="D13" s="1">
        <v>60.0</v>
      </c>
      <c r="E13" s="1">
        <v>17731.0</v>
      </c>
      <c r="F13" s="1">
        <v>27286.0</v>
      </c>
      <c r="G13" s="6">
        <f>3426</f>
        <v>3426</v>
      </c>
      <c r="H13" s="6">
        <f>5710</f>
        <v>5710</v>
      </c>
      <c r="J13" s="1">
        <v>1.0</v>
      </c>
      <c r="K13" s="12">
        <f>$B$5</f>
        <v>8</v>
      </c>
      <c r="L13" s="9">
        <f t="shared" si="2"/>
        <v>238765.646</v>
      </c>
      <c r="M13" s="10">
        <f t="shared" si="3"/>
        <v>367433.276</v>
      </c>
      <c r="N13" s="9">
        <f>$B$5*(if(if(G13*($B$1+$I13)&lt;(H13+1),H13+1,G13*($I13+$B$1))=1,0,if(G13*($B$1+$I13)&lt;(H13+1),H13+1,G13*($I13+$B$1))))</f>
        <v>369076.128</v>
      </c>
      <c r="O13" s="11">
        <f>$B$5*(H13*($B$1+$I13))</f>
        <v>615126.88</v>
      </c>
      <c r="P13" s="11">
        <f t="shared" si="6"/>
        <v>5288448.316</v>
      </c>
      <c r="Q13" s="11">
        <f t="shared" si="7"/>
        <v>35996938.4</v>
      </c>
      <c r="R13" s="11">
        <f t="shared" si="8"/>
        <v>70449575.05</v>
      </c>
      <c r="S13" s="6" t="str">
        <f t="shared" si="9"/>
        <v>Shatter Rain</v>
      </c>
      <c r="T13" s="11">
        <f t="shared" si="10"/>
        <v>597459.5585</v>
      </c>
      <c r="U13" s="13">
        <v>1.0</v>
      </c>
      <c r="V13" s="6">
        <f t="shared" si="11"/>
        <v>1</v>
      </c>
    </row>
    <row r="14">
      <c r="B14" s="1" t="s">
        <v>355</v>
      </c>
      <c r="C14" s="1">
        <v>0.0</v>
      </c>
      <c r="D14" s="1">
        <v>2.5</v>
      </c>
      <c r="E14" s="1">
        <v>19976.0</v>
      </c>
      <c r="F14" s="1">
        <v>33293.0</v>
      </c>
      <c r="G14" s="6">
        <f t="shared" ref="G14:H14" si="12">E14</f>
        <v>19976</v>
      </c>
      <c r="H14" s="6">
        <f t="shared" si="12"/>
        <v>33293</v>
      </c>
      <c r="I14" s="2"/>
      <c r="J14" s="1">
        <v>4.0</v>
      </c>
      <c r="K14" s="7">
        <v>1.0</v>
      </c>
      <c r="L14" s="9">
        <f t="shared" si="2"/>
        <v>268996.816</v>
      </c>
      <c r="M14" s="10">
        <f t="shared" si="3"/>
        <v>448323.538</v>
      </c>
      <c r="N14" s="9">
        <f t="shared" ref="N14:N30" si="13">if(if(G14*($B$1+$I14)&lt;(H14+1),H14+1,G14*($I14+$B$1))=1,0,if(G14*($B$1+$I14)&lt;(H14+1),H14+1,G14*($I14+$B$1)))</f>
        <v>268996.816</v>
      </c>
      <c r="O14" s="11">
        <f t="shared" ref="O14:O30" si="14">H14*($B$1+$I14)</f>
        <v>448323.538</v>
      </c>
      <c r="P14" s="11">
        <f t="shared" si="6"/>
        <v>2241617.69</v>
      </c>
      <c r="Q14" s="11">
        <f t="shared" si="7"/>
        <v>1905377.982</v>
      </c>
      <c r="R14" s="11">
        <f t="shared" si="8"/>
        <v>7301408.428</v>
      </c>
      <c r="S14" s="6" t="str">
        <f t="shared" si="9"/>
        <v>Construct's Sac</v>
      </c>
      <c r="T14" s="11">
        <f>$Q14/(($C14+0.5*1/(1+$B$3)+IF($D14&lt;=$J14,if($J14&gt;1,$J14,$D14),$D14)))</f>
        <v>447171.0208</v>
      </c>
      <c r="U14" s="13">
        <v>1.0</v>
      </c>
      <c r="V14" s="6" t="str">
        <f t="shared" si="11"/>
        <v> </v>
      </c>
    </row>
    <row r="15">
      <c r="B15" s="1" t="s">
        <v>356</v>
      </c>
      <c r="C15" s="1">
        <v>1.5</v>
      </c>
      <c r="D15" s="1">
        <v>0.0</v>
      </c>
      <c r="E15" s="1">
        <v>12157.0</v>
      </c>
      <c r="F15" s="1">
        <v>18706.0</v>
      </c>
      <c r="G15" s="1">
        <v>13854.0</v>
      </c>
      <c r="H15" s="1">
        <v>23090.0</v>
      </c>
      <c r="J15" s="1">
        <v>1.0</v>
      </c>
      <c r="K15" s="7">
        <v>1.0</v>
      </c>
      <c r="L15" s="9">
        <f t="shared" si="2"/>
        <v>163706.162</v>
      </c>
      <c r="M15" s="10">
        <f t="shared" si="3"/>
        <v>251894.996</v>
      </c>
      <c r="N15" s="9">
        <f t="shared" si="13"/>
        <v>186557.964</v>
      </c>
      <c r="O15" s="11">
        <f t="shared" si="14"/>
        <v>310929.94</v>
      </c>
      <c r="P15" s="11">
        <f t="shared" si="6"/>
        <v>562824.936</v>
      </c>
      <c r="Q15" s="11">
        <f t="shared" si="7"/>
        <v>625881.9834</v>
      </c>
      <c r="R15" s="11">
        <f t="shared" si="8"/>
        <v>355420.8299</v>
      </c>
      <c r="S15" s="6" t="str">
        <f t="shared" si="9"/>
        <v>Vengeful Arrow 75</v>
      </c>
      <c r="T15" s="11">
        <f t="shared" ref="T15:T30" si="15">$Q15/(($C15+IF($D15&lt;=$J15,if($J15&gt;1,$J15,$D15),$D15)))</f>
        <v>417254.6556</v>
      </c>
      <c r="U15" s="11"/>
      <c r="V15" s="6" t="str">
        <f t="shared" si="11"/>
        <v> </v>
      </c>
    </row>
    <row r="16">
      <c r="A16" s="1">
        <v>1.0</v>
      </c>
      <c r="B16" s="1" t="s">
        <v>357</v>
      </c>
      <c r="C16" s="1">
        <v>0.25</v>
      </c>
      <c r="D16" s="1">
        <v>22.5</v>
      </c>
      <c r="E16" s="1">
        <v>51617.0</v>
      </c>
      <c r="F16" s="1">
        <v>76749.0</v>
      </c>
      <c r="I16" s="2"/>
      <c r="J16" s="1">
        <v>1.0</v>
      </c>
      <c r="K16" s="7">
        <v>1.0</v>
      </c>
      <c r="L16" s="9">
        <f t="shared" si="2"/>
        <v>695074.522</v>
      </c>
      <c r="M16" s="10">
        <f t="shared" si="3"/>
        <v>1033502.034</v>
      </c>
      <c r="N16" s="9">
        <f t="shared" si="13"/>
        <v>0</v>
      </c>
      <c r="O16" s="11">
        <f t="shared" si="14"/>
        <v>0</v>
      </c>
      <c r="P16" s="11">
        <f t="shared" si="6"/>
        <v>1033502.034</v>
      </c>
      <c r="Q16" s="11">
        <f t="shared" si="7"/>
        <v>7179340.898</v>
      </c>
      <c r="R16" s="11">
        <f t="shared" si="8"/>
        <v>14050681.47</v>
      </c>
      <c r="S16" s="6" t="str">
        <f t="shared" si="9"/>
        <v>Seeking Cascade</v>
      </c>
      <c r="T16" s="11">
        <f t="shared" si="15"/>
        <v>315575.4241</v>
      </c>
      <c r="U16" s="13">
        <v>1.0</v>
      </c>
      <c r="V16" s="6">
        <f t="shared" si="11"/>
        <v>5.013961436</v>
      </c>
    </row>
    <row r="17">
      <c r="A17" s="1">
        <v>1.0</v>
      </c>
      <c r="B17" s="1" t="s">
        <v>358</v>
      </c>
      <c r="C17" s="1">
        <v>1.5</v>
      </c>
      <c r="D17" s="1">
        <v>4.0</v>
      </c>
      <c r="E17" s="1">
        <v>8875.0</v>
      </c>
      <c r="F17" s="1">
        <v>11747.0</v>
      </c>
      <c r="J17" s="1">
        <v>1.0</v>
      </c>
      <c r="K17" s="7">
        <v>1.0</v>
      </c>
      <c r="L17" s="9">
        <f t="shared" si="2"/>
        <v>119510.75</v>
      </c>
      <c r="M17" s="10">
        <f t="shared" si="3"/>
        <v>158185.102</v>
      </c>
      <c r="N17" s="9">
        <f t="shared" si="13"/>
        <v>0</v>
      </c>
      <c r="O17" s="11">
        <f t="shared" si="14"/>
        <v>0</v>
      </c>
      <c r="P17" s="11">
        <f t="shared" si="6"/>
        <v>158185.102</v>
      </c>
      <c r="Q17" s="11">
        <f t="shared" si="7"/>
        <v>1132327.921</v>
      </c>
      <c r="R17" s="11">
        <f t="shared" si="8"/>
        <v>643017.2784</v>
      </c>
      <c r="S17" s="6" t="str">
        <f t="shared" si="9"/>
        <v>Healing Barrage</v>
      </c>
      <c r="T17" s="11">
        <f t="shared" si="15"/>
        <v>205877.8039</v>
      </c>
      <c r="U17" s="13">
        <v>1.0</v>
      </c>
      <c r="V17" s="6">
        <f t="shared" si="11"/>
        <v>109.5609362</v>
      </c>
    </row>
    <row r="18">
      <c r="B18" s="1" t="s">
        <v>359</v>
      </c>
      <c r="C18" s="1">
        <v>1.5</v>
      </c>
      <c r="D18" s="1">
        <v>0.0</v>
      </c>
      <c r="E18" s="1">
        <v>12157.0</v>
      </c>
      <c r="F18" s="1">
        <v>18706.0</v>
      </c>
      <c r="J18" s="1">
        <v>1.0</v>
      </c>
      <c r="K18" s="7">
        <v>1.0</v>
      </c>
      <c r="L18" s="9">
        <f t="shared" si="2"/>
        <v>163706.162</v>
      </c>
      <c r="M18" s="10">
        <f t="shared" si="3"/>
        <v>251894.996</v>
      </c>
      <c r="N18" s="9">
        <f t="shared" si="13"/>
        <v>0</v>
      </c>
      <c r="O18" s="11">
        <f t="shared" si="14"/>
        <v>0</v>
      </c>
      <c r="P18" s="11">
        <f t="shared" si="6"/>
        <v>251894.996</v>
      </c>
      <c r="Q18" s="11">
        <f t="shared" si="7"/>
        <v>282304.3997</v>
      </c>
      <c r="R18" s="11">
        <f t="shared" si="8"/>
        <v>160312.7534</v>
      </c>
      <c r="S18" s="6" t="str">
        <f t="shared" si="9"/>
        <v>Vengeful Arrow</v>
      </c>
      <c r="T18" s="11">
        <f t="shared" si="15"/>
        <v>188202.9331</v>
      </c>
      <c r="U18" s="11"/>
      <c r="V18" s="6" t="str">
        <f t="shared" si="11"/>
        <v> </v>
      </c>
    </row>
    <row r="19">
      <c r="A19" s="1">
        <v>1.0</v>
      </c>
      <c r="B19" s="1" t="s">
        <v>360</v>
      </c>
      <c r="C19" s="1">
        <v>1.0</v>
      </c>
      <c r="D19" s="1">
        <v>30.0</v>
      </c>
      <c r="E19" s="1">
        <v>17731.0</v>
      </c>
      <c r="F19" s="1">
        <v>27286.0</v>
      </c>
      <c r="J19" s="1">
        <v>1.0</v>
      </c>
      <c r="K19" s="7">
        <v>1.0</v>
      </c>
      <c r="L19" s="9">
        <f t="shared" si="2"/>
        <v>238765.646</v>
      </c>
      <c r="M19" s="10">
        <f t="shared" si="3"/>
        <v>367433.276</v>
      </c>
      <c r="N19" s="9">
        <f t="shared" si="13"/>
        <v>0</v>
      </c>
      <c r="O19" s="11">
        <f t="shared" si="14"/>
        <v>0</v>
      </c>
      <c r="P19" s="11">
        <f t="shared" si="6"/>
        <v>367433.276</v>
      </c>
      <c r="Q19" s="11">
        <f t="shared" si="7"/>
        <v>2534036.126</v>
      </c>
      <c r="R19" s="11">
        <f t="shared" si="8"/>
        <v>2009608.12</v>
      </c>
      <c r="S19" s="6" t="str">
        <f t="shared" si="9"/>
        <v>Downpour</v>
      </c>
      <c r="T19" s="11">
        <f t="shared" si="15"/>
        <v>81743.10085</v>
      </c>
      <c r="U19" s="13">
        <v>1.0</v>
      </c>
      <c r="V19" s="6">
        <f t="shared" si="11"/>
        <v>35.05637459</v>
      </c>
    </row>
    <row r="20">
      <c r="B20" s="1" t="s">
        <v>361</v>
      </c>
      <c r="C20" s="1">
        <v>0.5</v>
      </c>
      <c r="D20" s="1">
        <v>5.0</v>
      </c>
      <c r="E20" s="1">
        <v>23861.0</v>
      </c>
      <c r="F20" s="1">
        <v>25677.0</v>
      </c>
      <c r="I20" s="2"/>
      <c r="J20" s="1">
        <v>1.0</v>
      </c>
      <c r="K20" s="7">
        <v>1.0</v>
      </c>
      <c r="L20" s="9">
        <f t="shared" si="2"/>
        <v>321312.226</v>
      </c>
      <c r="M20" s="10">
        <f t="shared" si="3"/>
        <v>345766.482</v>
      </c>
      <c r="N20" s="9">
        <f t="shared" si="13"/>
        <v>0</v>
      </c>
      <c r="O20" s="11">
        <f t="shared" si="14"/>
        <v>0</v>
      </c>
      <c r="P20" s="11">
        <f t="shared" si="6"/>
        <v>345766.482</v>
      </c>
      <c r="Q20" s="11">
        <f t="shared" si="7"/>
        <v>333987.5849</v>
      </c>
      <c r="R20" s="11">
        <f t="shared" si="8"/>
        <v>438902.7522</v>
      </c>
      <c r="S20" s="6" t="str">
        <f t="shared" si="9"/>
        <v>Unc. Wrath</v>
      </c>
      <c r="T20" s="11">
        <f t="shared" si="15"/>
        <v>60725.01544</v>
      </c>
      <c r="U20" s="13">
        <v>1.0</v>
      </c>
      <c r="V20" s="6" t="str">
        <f t="shared" si="11"/>
        <v> </v>
      </c>
    </row>
    <row r="21">
      <c r="B21" s="1" t="s">
        <v>362</v>
      </c>
      <c r="C21" s="1">
        <v>0.35</v>
      </c>
      <c r="D21" s="1">
        <v>0.0</v>
      </c>
      <c r="E21" s="1">
        <v>9770.0</v>
      </c>
      <c r="F21" s="1">
        <v>16284.0</v>
      </c>
      <c r="G21" s="6">
        <f t="shared" ref="G21:H21" si="16">E21</f>
        <v>9770</v>
      </c>
      <c r="H21" s="6">
        <f t="shared" si="16"/>
        <v>16284</v>
      </c>
      <c r="J21" s="1">
        <v>24.0</v>
      </c>
      <c r="K21" s="12">
        <f>1/4</f>
        <v>0.25</v>
      </c>
      <c r="L21" s="9">
        <f t="shared" si="2"/>
        <v>131562.82</v>
      </c>
      <c r="M21" s="10">
        <f t="shared" si="3"/>
        <v>219280.344</v>
      </c>
      <c r="N21" s="9">
        <f t="shared" si="13"/>
        <v>131562.82</v>
      </c>
      <c r="O21" s="11">
        <f t="shared" si="14"/>
        <v>219280.344</v>
      </c>
      <c r="P21" s="11">
        <f t="shared" si="6"/>
        <v>1534962.408</v>
      </c>
      <c r="Q21" s="11">
        <f t="shared" si="7"/>
        <v>1304709.799</v>
      </c>
      <c r="R21" s="11">
        <f t="shared" si="8"/>
        <v>2135506.557</v>
      </c>
      <c r="S21" s="6" t="str">
        <f t="shared" si="9"/>
        <v>Mist of Poison</v>
      </c>
      <c r="T21" s="11">
        <f t="shared" si="15"/>
        <v>53581.51127</v>
      </c>
      <c r="U21" s="13">
        <v>1.0</v>
      </c>
      <c r="V21" s="6" t="str">
        <f t="shared" si="11"/>
        <v> </v>
      </c>
    </row>
    <row r="22">
      <c r="B22" s="1" t="s">
        <v>363</v>
      </c>
      <c r="C22" s="1">
        <v>1.5</v>
      </c>
      <c r="D22" s="1">
        <v>4.0</v>
      </c>
      <c r="E22" s="1">
        <v>12661.0</v>
      </c>
      <c r="F22" s="1">
        <v>15321.0</v>
      </c>
      <c r="J22" s="1">
        <v>1.0</v>
      </c>
      <c r="K22" s="7">
        <v>4.0</v>
      </c>
      <c r="L22" s="9">
        <f t="shared" si="2"/>
        <v>170493.026</v>
      </c>
      <c r="M22" s="10">
        <f t="shared" si="3"/>
        <v>206312.586</v>
      </c>
      <c r="N22" s="9">
        <f t="shared" si="13"/>
        <v>0</v>
      </c>
      <c r="O22" s="11">
        <f t="shared" si="14"/>
        <v>0</v>
      </c>
      <c r="P22" s="11">
        <f t="shared" si="6"/>
        <v>206312.586</v>
      </c>
      <c r="Q22" s="11">
        <f t="shared" si="7"/>
        <v>190105.3296</v>
      </c>
      <c r="R22" s="11">
        <f t="shared" si="8"/>
        <v>107955.4865</v>
      </c>
      <c r="S22" s="6" t="str">
        <f t="shared" si="9"/>
        <v>Healing Arrow</v>
      </c>
      <c r="T22" s="11">
        <f t="shared" si="15"/>
        <v>34564.60538</v>
      </c>
      <c r="U22" s="13">
        <v>1.0</v>
      </c>
      <c r="V22" s="6" t="str">
        <f t="shared" si="11"/>
        <v> </v>
      </c>
    </row>
    <row r="23">
      <c r="B23" s="1" t="s">
        <v>364</v>
      </c>
      <c r="C23" s="1">
        <v>0.0</v>
      </c>
      <c r="D23" s="1">
        <v>45.0</v>
      </c>
      <c r="E23" s="1">
        <v>61889.0</v>
      </c>
      <c r="F23" s="1">
        <v>92555.0</v>
      </c>
      <c r="I23" s="5">
        <v>0.45</v>
      </c>
      <c r="J23" s="1">
        <v>1.0</v>
      </c>
      <c r="K23" s="7">
        <v>1.0</v>
      </c>
      <c r="L23" s="9">
        <f t="shared" si="2"/>
        <v>861247.324</v>
      </c>
      <c r="M23" s="10">
        <f t="shared" si="3"/>
        <v>1287995.38</v>
      </c>
      <c r="N23" s="9">
        <f t="shared" si="13"/>
        <v>0</v>
      </c>
      <c r="O23" s="11">
        <f t="shared" si="14"/>
        <v>0</v>
      </c>
      <c r="P23" s="11">
        <f t="shared" si="6"/>
        <v>1287995.38</v>
      </c>
      <c r="Q23" s="11">
        <f t="shared" si="7"/>
        <v>1116988.345</v>
      </c>
      <c r="R23" s="11">
        <f t="shared" si="8"/>
        <v>4280299.34</v>
      </c>
      <c r="S23" s="6" t="str">
        <f t="shared" si="9"/>
        <v>Eye Shot</v>
      </c>
      <c r="T23" s="11">
        <f t="shared" si="15"/>
        <v>24821.96323</v>
      </c>
      <c r="U23" s="13">
        <v>1.0</v>
      </c>
      <c r="V23" s="6" t="str">
        <f t="shared" si="11"/>
        <v> </v>
      </c>
    </row>
    <row r="24">
      <c r="B24" s="1" t="s">
        <v>365</v>
      </c>
      <c r="C24" s="1">
        <v>0.25</v>
      </c>
      <c r="D24" s="1">
        <v>30.0</v>
      </c>
      <c r="E24" s="1">
        <v>24750.0</v>
      </c>
      <c r="F24" s="1">
        <v>38086.0</v>
      </c>
      <c r="K24" s="3"/>
      <c r="L24" s="9">
        <f t="shared" si="2"/>
        <v>333283.5</v>
      </c>
      <c r="M24" s="10">
        <f t="shared" si="3"/>
        <v>512866.076</v>
      </c>
      <c r="N24" s="9">
        <f t="shared" si="13"/>
        <v>0</v>
      </c>
      <c r="O24" s="11">
        <f t="shared" si="14"/>
        <v>0</v>
      </c>
      <c r="P24" s="11">
        <f t="shared" si="6"/>
        <v>512866.076</v>
      </c>
      <c r="Q24" s="11">
        <f t="shared" si="7"/>
        <v>442131.6442</v>
      </c>
      <c r="R24" s="11">
        <f t="shared" si="8"/>
        <v>865295.4344</v>
      </c>
      <c r="S24" s="6" t="str">
        <f t="shared" si="9"/>
        <v>Soulshot</v>
      </c>
      <c r="T24" s="11">
        <f t="shared" si="15"/>
        <v>14615.92212</v>
      </c>
      <c r="U24" s="13">
        <v>1.0</v>
      </c>
    </row>
    <row r="25">
      <c r="B25" s="1" t="s">
        <v>366</v>
      </c>
      <c r="C25" s="1">
        <v>0.5</v>
      </c>
      <c r="D25" s="1">
        <v>22.5</v>
      </c>
      <c r="E25" s="1">
        <v>8041.0</v>
      </c>
      <c r="F25" s="1">
        <v>12409.0</v>
      </c>
      <c r="J25" s="1">
        <v>1.0</v>
      </c>
      <c r="K25" s="7">
        <v>1.0</v>
      </c>
      <c r="L25" s="9">
        <f t="shared" si="2"/>
        <v>108280.106</v>
      </c>
      <c r="M25" s="10">
        <f t="shared" si="3"/>
        <v>167099.594</v>
      </c>
      <c r="N25" s="9">
        <f t="shared" si="13"/>
        <v>0</v>
      </c>
      <c r="O25" s="11">
        <f t="shared" si="14"/>
        <v>0</v>
      </c>
      <c r="P25" s="11">
        <f t="shared" si="6"/>
        <v>167099.594</v>
      </c>
      <c r="Q25" s="11">
        <f t="shared" si="7"/>
        <v>143971.5987</v>
      </c>
      <c r="R25" s="11">
        <f t="shared" si="8"/>
        <v>189197.245</v>
      </c>
      <c r="S25" s="6" t="str">
        <f t="shared" si="9"/>
        <v>Snapshot</v>
      </c>
      <c r="T25" s="11">
        <f t="shared" si="15"/>
        <v>6259.634728</v>
      </c>
      <c r="U25" s="13">
        <v>1.0</v>
      </c>
    </row>
    <row r="26">
      <c r="B26" s="1" t="s">
        <v>367</v>
      </c>
      <c r="C26" s="1">
        <v>0.5</v>
      </c>
      <c r="D26" s="1">
        <v>5.0</v>
      </c>
      <c r="E26" s="1">
        <v>29895.0</v>
      </c>
      <c r="F26" s="1">
        <v>33030.0</v>
      </c>
      <c r="I26" s="2"/>
      <c r="K26" s="3"/>
      <c r="L26" s="9">
        <f t="shared" si="2"/>
        <v>402566.07</v>
      </c>
      <c r="M26" s="10">
        <f t="shared" si="3"/>
        <v>444781.98</v>
      </c>
      <c r="N26" s="9">
        <f t="shared" si="13"/>
        <v>0</v>
      </c>
      <c r="O26" s="11">
        <f t="shared" si="14"/>
        <v>0</v>
      </c>
      <c r="P26" s="11">
        <f t="shared" si="6"/>
        <v>444781.98</v>
      </c>
      <c r="Q26" s="11">
        <f t="shared" si="7"/>
        <v>424725.649</v>
      </c>
      <c r="R26" s="11">
        <f t="shared" si="8"/>
        <v>558144.2685</v>
      </c>
      <c r="S26" s="6" t="str">
        <f t="shared" si="9"/>
        <v>Uncontr Wrath</v>
      </c>
      <c r="T26" s="11">
        <f t="shared" si="15"/>
        <v>77222.84527</v>
      </c>
      <c r="U26" s="13">
        <v>1.0</v>
      </c>
    </row>
    <row r="27">
      <c r="B27" s="1">
        <v>2.0</v>
      </c>
      <c r="C27" s="1">
        <v>0.5</v>
      </c>
      <c r="D27" s="1">
        <v>5.0</v>
      </c>
      <c r="E27" s="6">
        <f>32055*1.20981</f>
        <v>38780.45955</v>
      </c>
      <c r="F27" s="6">
        <f>34708*1.2098</f>
        <v>41989.7384</v>
      </c>
      <c r="I27" s="2"/>
      <c r="K27" s="3"/>
      <c r="L27" s="9">
        <f t="shared" si="2"/>
        <v>522217.6683</v>
      </c>
      <c r="M27" s="10">
        <f t="shared" si="3"/>
        <v>565433.8173</v>
      </c>
      <c r="N27" s="9">
        <f t="shared" si="13"/>
        <v>0</v>
      </c>
      <c r="O27" s="11">
        <f t="shared" si="14"/>
        <v>0</v>
      </c>
      <c r="P27" s="11">
        <f t="shared" si="6"/>
        <v>565433.8173</v>
      </c>
      <c r="Q27" s="11">
        <f t="shared" si="7"/>
        <v>544684.3062</v>
      </c>
      <c r="R27" s="11">
        <f t="shared" si="8"/>
        <v>715785.412</v>
      </c>
      <c r="S27" s="6">
        <f t="shared" si="9"/>
        <v>2</v>
      </c>
      <c r="T27" s="11">
        <f t="shared" si="15"/>
        <v>99033.51022</v>
      </c>
      <c r="U27" s="13">
        <v>1.0</v>
      </c>
    </row>
    <row r="28">
      <c r="B28" s="1" t="s">
        <v>362</v>
      </c>
      <c r="C28" s="1">
        <v>0.5</v>
      </c>
      <c r="D28" s="1">
        <v>0.0</v>
      </c>
      <c r="E28" s="1">
        <v>9770.0</v>
      </c>
      <c r="F28" s="1">
        <v>16284.0</v>
      </c>
      <c r="G28" s="6">
        <f t="shared" ref="G28:H28" si="17">E28</f>
        <v>9770</v>
      </c>
      <c r="H28" s="6">
        <f t="shared" si="17"/>
        <v>16284</v>
      </c>
      <c r="J28" s="1">
        <v>24.0</v>
      </c>
      <c r="K28" s="12">
        <f>1/4</f>
        <v>0.25</v>
      </c>
      <c r="L28" s="9">
        <f t="shared" si="2"/>
        <v>131562.82</v>
      </c>
      <c r="M28" s="10">
        <f t="shared" si="3"/>
        <v>219280.344</v>
      </c>
      <c r="N28" s="9">
        <f t="shared" si="13"/>
        <v>131562.82</v>
      </c>
      <c r="O28" s="11">
        <f t="shared" si="14"/>
        <v>219280.344</v>
      </c>
      <c r="P28" s="11">
        <f t="shared" si="6"/>
        <v>1534962.408</v>
      </c>
      <c r="Q28" s="11">
        <f t="shared" si="7"/>
        <v>1304709.799</v>
      </c>
      <c r="R28" s="11">
        <f t="shared" si="8"/>
        <v>1714556.911</v>
      </c>
      <c r="S28" s="6" t="str">
        <f t="shared" si="9"/>
        <v>Mist of Poison</v>
      </c>
      <c r="T28" s="11">
        <f t="shared" si="15"/>
        <v>53253.4612</v>
      </c>
      <c r="U28" s="13">
        <v>1.0</v>
      </c>
      <c r="V28" s="6" t="str">
        <f t="shared" ref="V28:V30" si="18">if(A28=1,MAX(R$11:R$42)/R28," ")</f>
        <v> </v>
      </c>
    </row>
    <row r="29">
      <c r="B29" s="1" t="s">
        <v>350</v>
      </c>
      <c r="C29" s="1">
        <v>0.5</v>
      </c>
      <c r="D29" s="1">
        <v>0.0</v>
      </c>
      <c r="E29" s="1">
        <v>53828.0</v>
      </c>
      <c r="F29" s="1">
        <v>86396.0</v>
      </c>
      <c r="I29" s="2"/>
      <c r="J29" s="1">
        <v>1.0</v>
      </c>
      <c r="K29" s="7">
        <v>1.0</v>
      </c>
      <c r="L29" s="9">
        <f t="shared" si="2"/>
        <v>724847.848</v>
      </c>
      <c r="M29" s="10">
        <f t="shared" si="3"/>
        <v>1163408.536</v>
      </c>
      <c r="N29" s="9">
        <f t="shared" si="13"/>
        <v>0</v>
      </c>
      <c r="O29" s="11">
        <f t="shared" si="14"/>
        <v>0</v>
      </c>
      <c r="P29" s="11">
        <f t="shared" si="6"/>
        <v>1163408.536</v>
      </c>
      <c r="Q29" s="11">
        <f t="shared" si="7"/>
        <v>995057.5781</v>
      </c>
      <c r="R29" s="11">
        <f t="shared" si="8"/>
        <v>1307633.964</v>
      </c>
      <c r="S29" s="6" t="str">
        <f t="shared" si="9"/>
        <v>Poison Bolt</v>
      </c>
      <c r="T29" s="11">
        <f t="shared" si="15"/>
        <v>1990115.156</v>
      </c>
      <c r="U29" s="13">
        <v>1.0</v>
      </c>
      <c r="V29" s="6" t="str">
        <f t="shared" si="18"/>
        <v> </v>
      </c>
    </row>
    <row r="30">
      <c r="A30" s="1">
        <v>1.0</v>
      </c>
      <c r="B30" s="1" t="s">
        <v>349</v>
      </c>
      <c r="C30" s="1">
        <v>0.5</v>
      </c>
      <c r="D30" s="1">
        <v>0.0</v>
      </c>
      <c r="E30" s="1">
        <v>17188.0</v>
      </c>
      <c r="F30" s="1">
        <v>28647.0</v>
      </c>
      <c r="K30" s="3"/>
      <c r="L30" s="9">
        <f t="shared" si="2"/>
        <v>231453.608</v>
      </c>
      <c r="M30" s="10">
        <f t="shared" si="3"/>
        <v>385760.502</v>
      </c>
      <c r="N30" s="9">
        <f t="shared" si="13"/>
        <v>0</v>
      </c>
      <c r="O30" s="11">
        <f t="shared" si="14"/>
        <v>0</v>
      </c>
      <c r="P30" s="11">
        <f t="shared" si="6"/>
        <v>385760.502</v>
      </c>
      <c r="Q30" s="11">
        <f t="shared" si="7"/>
        <v>2623166.701</v>
      </c>
      <c r="R30" s="11">
        <f t="shared" si="8"/>
        <v>3447179.286</v>
      </c>
      <c r="S30" s="6" t="str">
        <f t="shared" si="9"/>
        <v>Decimation</v>
      </c>
      <c r="T30" s="11">
        <f t="shared" si="15"/>
        <v>5246333.401</v>
      </c>
      <c r="U30" s="13">
        <v>1.0</v>
      </c>
      <c r="V30" s="6">
        <f t="shared" si="18"/>
        <v>20.43687584</v>
      </c>
    </row>
    <row r="31">
      <c r="I31" s="2"/>
      <c r="K31" s="3"/>
      <c r="L31" s="9"/>
      <c r="M31" s="10"/>
      <c r="N31" s="9"/>
      <c r="O31" s="11"/>
      <c r="P31" s="11"/>
      <c r="Q31" s="11"/>
      <c r="R31" s="11"/>
      <c r="T31" s="11"/>
      <c r="U31" s="11"/>
    </row>
    <row r="32">
      <c r="I32" s="2"/>
      <c r="K32" s="3"/>
      <c r="L32" s="9"/>
      <c r="M32" s="10"/>
      <c r="N32" s="9"/>
      <c r="O32" s="11"/>
      <c r="P32" s="11"/>
      <c r="Q32" s="11"/>
      <c r="R32" s="11"/>
      <c r="T32" s="11"/>
      <c r="U32" s="11"/>
    </row>
    <row r="33">
      <c r="K33" s="3"/>
      <c r="L33" s="9"/>
      <c r="M33" s="10"/>
      <c r="N33" s="9"/>
      <c r="O33" s="11"/>
      <c r="P33" s="11"/>
      <c r="Q33" s="11"/>
      <c r="R33" s="11"/>
      <c r="T33" s="11"/>
      <c r="U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  <c r="U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  <c r="U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  <c r="U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  <c r="U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  <c r="U38" s="11"/>
    </row>
    <row r="39">
      <c r="K39" s="3"/>
      <c r="L39" s="9"/>
      <c r="M39" s="10"/>
      <c r="N39" s="9"/>
      <c r="O39" s="46"/>
      <c r="P39" s="11"/>
      <c r="Q39" s="11"/>
      <c r="R39" s="11"/>
      <c r="T39" s="11"/>
      <c r="U39" s="11"/>
    </row>
    <row r="40">
      <c r="K40" s="3"/>
      <c r="L40" s="9"/>
      <c r="M40" s="10"/>
      <c r="N40" s="9"/>
      <c r="O40" s="11"/>
      <c r="P40" s="11"/>
      <c r="Q40" s="11"/>
      <c r="R40" s="11"/>
      <c r="T40" s="11"/>
      <c r="U40" s="11"/>
    </row>
    <row r="41">
      <c r="K41" s="3"/>
      <c r="L41" s="9"/>
      <c r="M41" s="10"/>
      <c r="N41" s="9"/>
      <c r="O41" s="11"/>
      <c r="P41" s="11"/>
      <c r="Q41" s="11"/>
      <c r="R41" s="11"/>
      <c r="T41" s="11"/>
      <c r="U41" s="11"/>
    </row>
    <row r="42">
      <c r="K42" s="3"/>
      <c r="L42" s="9"/>
      <c r="M42" s="10"/>
      <c r="N42" s="9"/>
      <c r="O42" s="11"/>
      <c r="P42" s="11"/>
      <c r="Q42" s="11"/>
      <c r="R42" s="11"/>
      <c r="T42" s="11"/>
      <c r="U42" s="11"/>
    </row>
    <row r="43">
      <c r="K43" s="3"/>
      <c r="L43" s="9"/>
      <c r="M43" s="10"/>
      <c r="N43" s="9"/>
      <c r="O43" s="11"/>
      <c r="P43" s="11"/>
      <c r="Q43" s="11"/>
      <c r="R43" s="11"/>
      <c r="T43" s="11"/>
      <c r="U43" s="11"/>
    </row>
    <row r="44">
      <c r="K44" s="3"/>
      <c r="L44" s="9"/>
      <c r="M44" s="10"/>
      <c r="N44" s="9"/>
      <c r="O44" s="11"/>
      <c r="P44" s="11"/>
      <c r="Q44" s="11"/>
      <c r="R44" s="11"/>
      <c r="T44" s="11">
        <f>SUM(T8:T23)</f>
        <v>15634680.91</v>
      </c>
      <c r="U44" s="13">
        <v>437355.37422036</v>
      </c>
    </row>
    <row r="45">
      <c r="K45" s="3"/>
      <c r="L45" s="9"/>
      <c r="M45" s="10"/>
      <c r="N45" s="9"/>
      <c r="O45" s="11"/>
      <c r="P45" s="11"/>
      <c r="Q45" s="11"/>
      <c r="R45" s="11"/>
      <c r="T45" s="11">
        <f>SUM(T48:T63)</f>
        <v>34470249.66</v>
      </c>
      <c r="U45" s="11">
        <f>T45-T44</f>
        <v>18835568.74</v>
      </c>
    </row>
    <row r="46">
      <c r="U46" s="2">
        <f>Average(U48:U63)</f>
        <v>1.174227103</v>
      </c>
    </row>
    <row r="47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13</v>
      </c>
      <c r="I47" s="5" t="s">
        <v>14</v>
      </c>
      <c r="J47" s="1" t="s">
        <v>15</v>
      </c>
      <c r="K47" s="7" t="s">
        <v>16</v>
      </c>
      <c r="L47" s="8" t="s">
        <v>17</v>
      </c>
      <c r="M47" s="1" t="s">
        <v>18</v>
      </c>
      <c r="N47" s="1" t="s">
        <v>19</v>
      </c>
      <c r="O47" s="1" t="s">
        <v>20</v>
      </c>
      <c r="P47" s="1" t="s">
        <v>21</v>
      </c>
      <c r="Q47" s="1" t="s">
        <v>22</v>
      </c>
      <c r="R47" s="1" t="s">
        <v>23</v>
      </c>
      <c r="T47" s="1" t="s">
        <v>69</v>
      </c>
      <c r="U47" s="1" t="s">
        <v>368</v>
      </c>
    </row>
    <row r="48">
      <c r="A48" s="6">
        <f t="shared" ref="A48:D48" si="19">A8</f>
        <v>1</v>
      </c>
      <c r="B48" s="6" t="str">
        <f t="shared" si="19"/>
        <v>Decimation</v>
      </c>
      <c r="C48" s="6">
        <f t="shared" si="19"/>
        <v>0.35</v>
      </c>
      <c r="D48" s="6">
        <f t="shared" si="19"/>
        <v>0</v>
      </c>
      <c r="E48" s="11">
        <f t="shared" ref="E48:F48" si="20">IF(OR($B48="Construct's Sac",$B48="Mist of Poison"),E8*($C$2/$B$2),(IF(((IF($A8=1,if(E8-1/3*$B$6&lt;(E8*2/3),E8*2/3,E8-1/3*$B$6),if(E8-$B$6&lt;(E8*2/3),E8*2/3,E8-$B$6)))/$B$2*$C$2)*1.5&lt;(((IF($A8=1,if(E8-1/3*$B$6&lt;(E8*2/3),E8*2/3,E8-1/3*$B$6),if(E8-$B$6&lt;(E8*2/3),E8*2/3,E8-$B$6)))/$B$2*$C$2)+IF($A8=1,1/3,1)*$C$6),((IF($A8=1,if(E8-1/3*$B$6&lt;(E8*2/3),E8*2/3,E8-1/3*$B$6),if(E8-$B$6&lt;(E8*2/3),E8*2/3,E8-$B$6)))/$B$2*$C$2)*1.5,((IF($A8=1,if(E8-1/3*$B$6&lt;(E8*2/3),E8*2/3,E8-1/3*$B$6),if(E8-$B$6&lt;(E8*2/3),E8*2/3,E8-$B$6)))/$B$2*$C$2)+IF($A8=1,1/3,1)*$C$6)))</f>
        <v>19421.346</v>
      </c>
      <c r="F48" s="11">
        <f t="shared" si="20"/>
        <v>32749.41472</v>
      </c>
      <c r="G48" s="11">
        <f t="shared" ref="G48:H48" si="21">G8*$C$2/$B$2</f>
        <v>0</v>
      </c>
      <c r="H48" s="11">
        <f t="shared" si="21"/>
        <v>0</v>
      </c>
      <c r="I48" s="6" t="str">
        <f t="shared" ref="I48:K48" si="22">I8</f>
        <v/>
      </c>
      <c r="J48" s="6" t="str">
        <f t="shared" si="22"/>
        <v/>
      </c>
      <c r="K48" s="12" t="str">
        <f t="shared" si="22"/>
        <v/>
      </c>
      <c r="L48" s="9">
        <f t="shared" ref="L48:L65" si="27">(1+$D$2)*if(E48*($C$1+$I48)&lt;(F48+1),F48+1,E48*($I48+$C$1))</f>
        <v>528848.2547</v>
      </c>
      <c r="M48" s="10">
        <f t="shared" ref="M48:M65" si="28">(1+$D$2)*F48*($C$1+$I48)</f>
        <v>891774.9991</v>
      </c>
      <c r="N48" s="9">
        <f t="shared" ref="N48:N65" si="29">(1+$D$2)*(IF($S48="Shatter Rain",$B$5,1))*(if(if(G48*($C$1+$I48)&lt;(H48+1),H48+1,G48*($I48+$C$1))=1,0,if(G48*($C$1+$I48)&lt;(H48+1),H48+1,G48*($I48+$C$1))))</f>
        <v>0</v>
      </c>
      <c r="O48" s="11">
        <f t="shared" ref="O48:O65" si="30">(1+$D$2)*(IF($S48="Shatter Rain",$B$5,1))*(H48*($C$1+$I48))</f>
        <v>0</v>
      </c>
      <c r="P48" s="11">
        <f t="shared" ref="P48:P65" si="31">M48+O48*K48*J48</f>
        <v>891774.9991</v>
      </c>
      <c r="Q48" s="11">
        <f t="shared" ref="Q48:Q65" si="32">(if($A48=1,$B$5,1)*((L48*E48+F48*M48)/(E48+F48)+if(G48&gt;0,(N48*G48+H48*O48)/(G48+H48)*J48*K48,0)))</f>
        <v>6053360.721</v>
      </c>
      <c r="R48" s="11">
        <f t="shared" ref="R48:R65" si="33">Q48/(C48+0.5*(1/(1+$C$3)))</f>
        <v>9907943.91</v>
      </c>
      <c r="S48" s="6" t="str">
        <f t="shared" ref="S48:S65" si="34">B48</f>
        <v>Decimation</v>
      </c>
      <c r="T48" s="11">
        <f t="shared" ref="T48:T65" si="35">$Q48/(($C48+IF($D48&lt;=$J48,if($J48&gt;1,$J48,$D48),$D48)))</f>
        <v>17295316.35</v>
      </c>
      <c r="U48" s="2">
        <f t="shared" ref="U48:U65" si="36">(T48-T8)/T8</f>
        <v>1.307653844</v>
      </c>
    </row>
    <row r="49">
      <c r="A49" s="6" t="str">
        <f t="shared" ref="A49:D49" si="23">A9</f>
        <v/>
      </c>
      <c r="B49" s="6" t="str">
        <f t="shared" si="23"/>
        <v>Poison Bolt</v>
      </c>
      <c r="C49" s="6">
        <f t="shared" si="23"/>
        <v>0.35</v>
      </c>
      <c r="D49" s="6">
        <f t="shared" si="23"/>
        <v>0</v>
      </c>
      <c r="E49" s="11">
        <f t="shared" ref="E49:F49" si="24">IF(OR($B49="Construct's Sac",$B49="Mist of Poison"),E9*($C$2/$B$2),(IF(((IF($A9=1,if(E9-1/3*$B$6&lt;(E9*2/3),E9*2/3,E9-1/3*$B$6),if(E9-$B$6&lt;(E9*2/3),E9*2/3,E9-$B$6)))/$B$2*$C$2)*1.5&lt;(((IF($A9=1,if(E9-1/3*$B$6&lt;(E9*2/3),E9*2/3,E9-1/3*$B$6),if(E9-$B$6&lt;(E9*2/3),E9*2/3,E9-$B$6)))/$B$2*$C$2)+IF($A9=1,1/3,1)*$C$6),((IF($A9=1,if(E9-1/3*$B$6&lt;(E9*2/3),E9*2/3,E9-1/3*$B$6),if(E9-$B$6&lt;(E9*2/3),E9*2/3,E9-$B$6)))/$B$2*$C$2)*1.5,((IF($A9=1,if(E9-1/3*$B$6&lt;(E9*2/3),E9*2/3,E9-1/3*$B$6),if(E9-$B$6&lt;(E9*2/3),E9*2/3,E9-$B$6)))/$B$2*$C$2)+IF($A9=1,1/3,1)*$C$6)))</f>
        <v>60897.31732</v>
      </c>
      <c r="F49" s="11">
        <f t="shared" si="24"/>
        <v>98777.45886</v>
      </c>
      <c r="G49" s="11">
        <f t="shared" ref="G49:H49" si="25">G9*$C$2/$B$2</f>
        <v>0</v>
      </c>
      <c r="H49" s="11">
        <f t="shared" si="25"/>
        <v>0</v>
      </c>
      <c r="I49" s="6" t="str">
        <f t="shared" ref="I49:K49" si="26">I9</f>
        <v/>
      </c>
      <c r="J49" s="6">
        <f t="shared" si="26"/>
        <v>1</v>
      </c>
      <c r="K49" s="12">
        <f t="shared" si="26"/>
        <v>1</v>
      </c>
      <c r="L49" s="9">
        <f t="shared" si="27"/>
        <v>1658249.638</v>
      </c>
      <c r="M49" s="10">
        <f t="shared" si="28"/>
        <v>2689735.65</v>
      </c>
      <c r="N49" s="9">
        <f t="shared" si="29"/>
        <v>0</v>
      </c>
      <c r="O49" s="11">
        <f t="shared" si="30"/>
        <v>0</v>
      </c>
      <c r="P49" s="11">
        <f t="shared" si="31"/>
        <v>2689735.65</v>
      </c>
      <c r="Q49" s="11">
        <f t="shared" si="32"/>
        <v>2296343.954</v>
      </c>
      <c r="R49" s="11">
        <f t="shared" si="33"/>
        <v>3758581.083</v>
      </c>
      <c r="S49" s="6" t="str">
        <f t="shared" si="34"/>
        <v>Poison Bolt</v>
      </c>
      <c r="T49" s="11">
        <f t="shared" si="35"/>
        <v>6560982.726</v>
      </c>
      <c r="U49" s="2">
        <f t="shared" si="36"/>
        <v>1.307749827</v>
      </c>
    </row>
    <row r="50">
      <c r="A50" s="6">
        <f t="shared" ref="A50:D50" si="37">A10</f>
        <v>1</v>
      </c>
      <c r="B50" s="6" t="str">
        <f t="shared" si="37"/>
        <v>Barrage</v>
      </c>
      <c r="C50" s="6">
        <f t="shared" si="37"/>
        <v>1.5</v>
      </c>
      <c r="D50" s="6">
        <f t="shared" si="37"/>
        <v>0</v>
      </c>
      <c r="E50" s="11">
        <f t="shared" ref="E50:F50" si="38">IF(OR($B50="Construct's Sac",$B50="Mist of Poison"),E10*($C$2/$B$2),(IF(((IF($A10=1,if(E10-1/3*$B$6&lt;(E10*2/3),E10*2/3,E10-1/3*$B$6),if(E10-$B$6&lt;(E10*2/3),E10*2/3,E10-$B$6)))/$B$2*$C$2)*1.5&lt;(((IF($A10=1,if(E10-1/3*$B$6&lt;(E10*2/3),E10*2/3,E10-1/3*$B$6),if(E10-$B$6&lt;(E10*2/3),E10*2/3,E10-$B$6)))/$B$2*$C$2)+IF($A10=1,1/3,1)*$C$6),((IF($A10=1,if(E10-1/3*$B$6&lt;(E10*2/3),E10*2/3,E10-1/3*$B$6),if(E10-$B$6&lt;(E10*2/3),E10*2/3,E10-$B$6)))/$B$2*$C$2)*1.5,((IF($A10=1,if(E10-1/3*$B$6&lt;(E10*2/3),E10*2/3,E10-1/3*$B$6),if(E10-$B$6&lt;(E10*2/3),E10*2/3,E10-$B$6)))/$B$2*$C$2)+IF($A10=1,1/3,1)*$C$6)))</f>
        <v>4822.250885</v>
      </c>
      <c r="F50" s="11">
        <f t="shared" si="38"/>
        <v>7349.687251</v>
      </c>
      <c r="G50" s="11">
        <f t="shared" ref="G50:H50" si="39">G10*$C$2/$B$2</f>
        <v>4094.144505</v>
      </c>
      <c r="H50" s="11">
        <f t="shared" si="39"/>
        <v>6299.399613</v>
      </c>
      <c r="I50" s="6" t="str">
        <f t="shared" ref="I50:K50" si="40">I10</f>
        <v/>
      </c>
      <c r="J50" s="6">
        <f t="shared" si="40"/>
        <v>1</v>
      </c>
      <c r="K50" s="12">
        <f t="shared" si="40"/>
        <v>2</v>
      </c>
      <c r="L50" s="9">
        <f t="shared" si="27"/>
        <v>131311.1338</v>
      </c>
      <c r="M50" s="10">
        <f t="shared" si="28"/>
        <v>200133.8771</v>
      </c>
      <c r="N50" s="9">
        <f t="shared" si="29"/>
        <v>111484.6095</v>
      </c>
      <c r="O50" s="11">
        <f t="shared" si="30"/>
        <v>171534.2742</v>
      </c>
      <c r="P50" s="11">
        <f t="shared" si="31"/>
        <v>543202.4255</v>
      </c>
      <c r="Q50" s="11">
        <f t="shared" si="32"/>
        <v>3749022.304</v>
      </c>
      <c r="R50" s="11">
        <f t="shared" si="33"/>
        <v>2128964.652</v>
      </c>
      <c r="S50" s="6" t="str">
        <f t="shared" si="34"/>
        <v>Barrage</v>
      </c>
      <c r="T50" s="11">
        <f t="shared" si="35"/>
        <v>2499348.203</v>
      </c>
      <c r="U50" s="2">
        <f t="shared" si="36"/>
        <v>0.8092154637</v>
      </c>
    </row>
    <row r="51">
      <c r="A51" s="6" t="str">
        <f t="shared" ref="A51:D51" si="41">A11</f>
        <v/>
      </c>
      <c r="B51" s="6" t="str">
        <f t="shared" si="41"/>
        <v>Vengeful Arrow 25</v>
      </c>
      <c r="C51" s="6">
        <f t="shared" si="41"/>
        <v>1.5</v>
      </c>
      <c r="D51" s="6">
        <f t="shared" si="41"/>
        <v>0</v>
      </c>
      <c r="E51" s="11">
        <f t="shared" ref="E51:F51" si="42">IF(OR($B51="Construct's Sac",$B51="Mist of Poison"),E11*($C$2/$B$2),(IF(((IF($A11=1,if(E11-1/3*$B$6&lt;(E11*2/3),E11*2/3,E11-1/3*$B$6),if(E11-$B$6&lt;(E11*2/3),E11*2/3,E11-$B$6)))/$B$2*$C$2)*1.5&lt;(((IF($A11=1,if(E11-1/3*$B$6&lt;(E11*2/3),E11*2/3,E11-1/3*$B$6),if(E11-$B$6&lt;(E11*2/3),E11*2/3,E11-$B$6)))/$B$2*$C$2)+IF($A11=1,1/3,1)*$C$6),((IF($A11=1,if(E11-1/3*$B$6&lt;(E11*2/3),E11*2/3,E11-1/3*$B$6),if(E11-$B$6&lt;(E11*2/3),E11*2/3,E11-$B$6)))/$B$2*$C$2)*1.5,((IF($A11=1,if(E11-1/3*$B$6&lt;(E11*2/3),E11*2/3,E11-1/3*$B$6),if(E11-$B$6&lt;(E11*2/3),E11*2/3,E11-$B$6)))/$B$2*$C$2)+IF($A11=1,1/3,1)*$C$6)))</f>
        <v>12862.82502</v>
      </c>
      <c r="F51" s="11">
        <f t="shared" si="42"/>
        <v>19849.62219</v>
      </c>
      <c r="G51" s="11">
        <f t="shared" ref="G51:H51" si="43">G11*$C$2/$B$2</f>
        <v>16113.71533</v>
      </c>
      <c r="H51" s="11">
        <f t="shared" si="43"/>
        <v>26856.19222</v>
      </c>
      <c r="I51" s="6" t="str">
        <f t="shared" ref="I51:K51" si="44">I11</f>
        <v/>
      </c>
      <c r="J51" s="6">
        <f t="shared" si="44"/>
        <v>1</v>
      </c>
      <c r="K51" s="12">
        <f t="shared" si="44"/>
        <v>3</v>
      </c>
      <c r="L51" s="9">
        <f t="shared" si="27"/>
        <v>350258.0388</v>
      </c>
      <c r="M51" s="10">
        <f t="shared" si="28"/>
        <v>540510.3255</v>
      </c>
      <c r="N51" s="9">
        <f t="shared" si="29"/>
        <v>438780.6194</v>
      </c>
      <c r="O51" s="11">
        <f t="shared" si="30"/>
        <v>731301.0323</v>
      </c>
      <c r="P51" s="11">
        <f t="shared" si="31"/>
        <v>2734413.422</v>
      </c>
      <c r="Q51" s="11">
        <f t="shared" si="32"/>
        <v>2330519.068</v>
      </c>
      <c r="R51" s="11">
        <f t="shared" si="33"/>
        <v>1323436.436</v>
      </c>
      <c r="S51" s="6" t="str">
        <f t="shared" si="34"/>
        <v>Vengeful Arrow 25</v>
      </c>
      <c r="T51" s="11">
        <f t="shared" si="35"/>
        <v>1553679.378</v>
      </c>
      <c r="U51" s="2">
        <f t="shared" si="36"/>
        <v>0.8092154637</v>
      </c>
    </row>
    <row r="52">
      <c r="A52" s="6" t="str">
        <f t="shared" ref="A52:D52" si="45">A12</f>
        <v/>
      </c>
      <c r="B52" s="6" t="str">
        <f t="shared" si="45"/>
        <v>Vengeful Arrow 50</v>
      </c>
      <c r="C52" s="6">
        <f t="shared" si="45"/>
        <v>1.5</v>
      </c>
      <c r="D52" s="6">
        <f t="shared" si="45"/>
        <v>0</v>
      </c>
      <c r="E52" s="11">
        <f t="shared" ref="E52:F52" si="46">IF(OR($B52="Construct's Sac",$B52="Mist of Poison"),E12*($C$2/$B$2),(IF(((IF($A12=1,if(E12-1/3*$B$6&lt;(E12*2/3),E12*2/3,E12-1/3*$B$6),if(E12-$B$6&lt;(E12*2/3),E12*2/3,E12-$B$6)))/$B$2*$C$2)*1.5&lt;(((IF($A12=1,if(E12-1/3*$B$6&lt;(E12*2/3),E12*2/3,E12-1/3*$B$6),if(E12-$B$6&lt;(E12*2/3),E12*2/3,E12-$B$6)))/$B$2*$C$2)+IF($A12=1,1/3,1)*$C$6),((IF($A12=1,if(E12-1/3*$B$6&lt;(E12*2/3),E12*2/3,E12-1/3*$B$6),if(E12-$B$6&lt;(E12*2/3),E12*2/3,E12-$B$6)))/$B$2*$C$2)*1.5,((IF($A12=1,if(E12-1/3*$B$6&lt;(E12*2/3),E12*2/3,E12-1/3*$B$6),if(E12-$B$6&lt;(E12*2/3),E12*2/3,E12-$B$6)))/$B$2*$C$2)+IF($A12=1,1/3,1)*$C$6)))</f>
        <v>12862.82502</v>
      </c>
      <c r="F52" s="11">
        <f t="shared" si="46"/>
        <v>19849.62219</v>
      </c>
      <c r="G52" s="11">
        <f t="shared" ref="G52:H52" si="47">G12*$C$2/$B$2</f>
        <v>16113.71533</v>
      </c>
      <c r="H52" s="11">
        <f t="shared" si="47"/>
        <v>26856.19222</v>
      </c>
      <c r="I52" s="6" t="str">
        <f t="shared" ref="I52:K52" si="48">I12</f>
        <v/>
      </c>
      <c r="J52" s="6">
        <f t="shared" si="48"/>
        <v>1</v>
      </c>
      <c r="K52" s="12">
        <f t="shared" si="48"/>
        <v>2</v>
      </c>
      <c r="L52" s="9">
        <f t="shared" si="27"/>
        <v>350258.0388</v>
      </c>
      <c r="M52" s="10">
        <f t="shared" si="28"/>
        <v>540510.3255</v>
      </c>
      <c r="N52" s="9">
        <f t="shared" si="29"/>
        <v>438780.6194</v>
      </c>
      <c r="O52" s="11">
        <f t="shared" si="30"/>
        <v>731301.0323</v>
      </c>
      <c r="P52" s="11">
        <f t="shared" si="31"/>
        <v>2003112.39</v>
      </c>
      <c r="Q52" s="11">
        <f t="shared" si="32"/>
        <v>1708913.19</v>
      </c>
      <c r="R52" s="11">
        <f t="shared" si="33"/>
        <v>970443.8863</v>
      </c>
      <c r="S52" s="6" t="str">
        <f t="shared" si="34"/>
        <v>Vengeful Arrow 50</v>
      </c>
      <c r="T52" s="11">
        <f t="shared" si="35"/>
        <v>1139275.46</v>
      </c>
      <c r="U52" s="2">
        <f t="shared" si="36"/>
        <v>0.8092154637</v>
      </c>
    </row>
    <row r="53">
      <c r="A53" s="6">
        <f t="shared" ref="A53:D53" si="49">A13</f>
        <v>1</v>
      </c>
      <c r="B53" s="6" t="str">
        <f t="shared" si="49"/>
        <v>Shatter Rain</v>
      </c>
      <c r="C53" s="6">
        <f t="shared" si="49"/>
        <v>0.25</v>
      </c>
      <c r="D53" s="6">
        <f t="shared" si="49"/>
        <v>60</v>
      </c>
      <c r="E53" s="11">
        <f t="shared" ref="E53:F53" si="50">IF(OR($B53="Construct's Sac",$B53="Mist of Poison"),E13*($C$2/$B$2),(IF(((IF($A13=1,if(E13-1/3*$B$6&lt;(E13*2/3),E13*2/3,E13-1/3*$B$6),if(E13-$B$6&lt;(E13*2/3),E13*2/3,E13-$B$6)))/$B$2*$C$2)*1.5&lt;(((IF($A13=1,if(E13-1/3*$B$6&lt;(E13*2/3),E13*2/3,E13-1/3*$B$6),if(E13-$B$6&lt;(E13*2/3),E13*2/3,E13-$B$6)))/$B$2*$C$2)+IF($A13=1,1/3,1)*$C$6),((IF($A13=1,if(E13-1/3*$B$6&lt;(E13*2/3),E13*2/3,E13-1/3*$B$6),if(E13-$B$6&lt;(E13*2/3),E13*2/3,E13-$B$6)))/$B$2*$C$2)*1.5,((IF($A13=1,if(E13-1/3*$B$6&lt;(E13*2/3),E13*2/3,E13-1/3*$B$6),if(E13-$B$6&lt;(E13*2/3),E13*2/3,E13-$B$6)))/$B$2*$C$2)+IF($A13=1,1/3,1)*$C$6)))</f>
        <v>20052.91432</v>
      </c>
      <c r="F53" s="11">
        <f t="shared" si="50"/>
        <v>31166.42305</v>
      </c>
      <c r="G53" s="11">
        <f t="shared" ref="G53:H53" si="51">G13*$C$2/$B$2</f>
        <v>3984.812236</v>
      </c>
      <c r="H53" s="11">
        <f t="shared" si="51"/>
        <v>6641.353727</v>
      </c>
      <c r="I53" s="6" t="str">
        <f t="shared" ref="I53:K53" si="52">I13</f>
        <v/>
      </c>
      <c r="J53" s="6">
        <f t="shared" si="52"/>
        <v>1</v>
      </c>
      <c r="K53" s="12">
        <f t="shared" si="52"/>
        <v>8</v>
      </c>
      <c r="L53" s="9">
        <f t="shared" si="27"/>
        <v>546046.0225</v>
      </c>
      <c r="M53" s="10">
        <f t="shared" si="28"/>
        <v>848669.7282</v>
      </c>
      <c r="N53" s="9">
        <f t="shared" si="29"/>
        <v>868059.7095</v>
      </c>
      <c r="O53" s="11">
        <f t="shared" si="30"/>
        <v>1446766.182</v>
      </c>
      <c r="P53" s="11">
        <f t="shared" si="31"/>
        <v>12422799.19</v>
      </c>
      <c r="Q53" s="11">
        <f t="shared" si="32"/>
        <v>84545595.01</v>
      </c>
      <c r="R53" s="11">
        <f t="shared" si="33"/>
        <v>165464106.3</v>
      </c>
      <c r="S53" s="6" t="str">
        <f t="shared" si="34"/>
        <v>Shatter Rain</v>
      </c>
      <c r="T53" s="11">
        <f t="shared" si="35"/>
        <v>1403246.39</v>
      </c>
      <c r="U53" s="2">
        <f t="shared" si="36"/>
        <v>1.348688493</v>
      </c>
    </row>
    <row r="54">
      <c r="A54" s="6" t="str">
        <f t="shared" ref="A54:D54" si="53">A14</f>
        <v/>
      </c>
      <c r="B54" s="6" t="str">
        <f t="shared" si="53"/>
        <v>Construct's Sac</v>
      </c>
      <c r="C54" s="6">
        <f t="shared" si="53"/>
        <v>0</v>
      </c>
      <c r="D54" s="6">
        <f t="shared" si="53"/>
        <v>2.5</v>
      </c>
      <c r="E54" s="11">
        <f t="shared" ref="E54:F54" si="54">IF(OR($B54="Construct's Sac",$B54="Mist of Poison"),E14*($C$2/$B$2),(IF(((IF($A14=1,if(E14-1/3*$B$6&lt;(E14*2/3),E14*2/3,E14-1/3*$B$6),if(E14-$B$6&lt;(E14*2/3),E14*2/3,E14-$B$6)))/$B$2*$C$2)*1.5&lt;(((IF($A14=1,if(E14-1/3*$B$6&lt;(E14*2/3),E14*2/3,E14-1/3*$B$6),if(E14-$B$6&lt;(E14*2/3),E14*2/3,E14-$B$6)))/$B$2*$C$2)+IF($A14=1,1/3,1)*$C$6),((IF($A14=1,if(E14-1/3*$B$6&lt;(E14*2/3),E14*2/3,E14-1/3*$B$6),if(E14-$B$6&lt;(E14*2/3),E14*2/3,E14-$B$6)))/$B$2*$C$2)*1.5,((IF($A14=1,if(E14-1/3*$B$6&lt;(E14*2/3),E14*2/3,E14-1/3*$B$6),if(E14-$B$6&lt;(E14*2/3),E14*2/3,E14-$B$6)))/$B$2*$C$2)+IF($A14=1,1/3,1)*$C$6)))</f>
        <v>23234.27006</v>
      </c>
      <c r="F54" s="11">
        <f t="shared" si="54"/>
        <v>38723.39574</v>
      </c>
      <c r="G54" s="11">
        <f t="shared" ref="G54:H54" si="55">G14*$C$2/$B$2</f>
        <v>23234.27006</v>
      </c>
      <c r="H54" s="11">
        <f t="shared" si="55"/>
        <v>38723.39574</v>
      </c>
      <c r="I54" s="6" t="str">
        <f t="shared" ref="I54:K54" si="56">I14</f>
        <v/>
      </c>
      <c r="J54" s="6">
        <f t="shared" si="56"/>
        <v>4</v>
      </c>
      <c r="K54" s="12">
        <f t="shared" si="56"/>
        <v>1</v>
      </c>
      <c r="L54" s="9">
        <f t="shared" si="27"/>
        <v>632675.159</v>
      </c>
      <c r="M54" s="10">
        <f t="shared" si="28"/>
        <v>1054448.041</v>
      </c>
      <c r="N54" s="9">
        <f t="shared" si="29"/>
        <v>632675.159</v>
      </c>
      <c r="O54" s="11">
        <f t="shared" si="30"/>
        <v>1054448.041</v>
      </c>
      <c r="P54" s="11">
        <f t="shared" si="31"/>
        <v>5272240.205</v>
      </c>
      <c r="Q54" s="11">
        <f t="shared" si="32"/>
        <v>4481411.103</v>
      </c>
      <c r="R54" s="11">
        <f t="shared" si="33"/>
        <v>17172767.35</v>
      </c>
      <c r="S54" s="6" t="str">
        <f t="shared" si="34"/>
        <v>Construct's Sac</v>
      </c>
      <c r="T54" s="11">
        <f t="shared" si="35"/>
        <v>1120352.776</v>
      </c>
      <c r="U54" s="2">
        <f t="shared" si="36"/>
        <v>1.505423481</v>
      </c>
    </row>
    <row r="55">
      <c r="A55" s="6" t="str">
        <f t="shared" ref="A55:D55" si="57">A15</f>
        <v/>
      </c>
      <c r="B55" s="6" t="str">
        <f t="shared" si="57"/>
        <v>Vengeful Arrow 75</v>
      </c>
      <c r="C55" s="6">
        <f t="shared" si="57"/>
        <v>1.5</v>
      </c>
      <c r="D55" s="6">
        <f t="shared" si="57"/>
        <v>0</v>
      </c>
      <c r="E55" s="11">
        <f t="shared" ref="E55:F55" si="58">IF(OR($B55="Construct's Sac",$B55="Mist of Poison"),E15*($C$2/$B$2),(IF(((IF($A15=1,if(E15-1/3*$B$6&lt;(E15*2/3),E15*2/3,E15-1/3*$B$6),if(E15-$B$6&lt;(E15*2/3),E15*2/3,E15-$B$6)))/$B$2*$C$2)*1.5&lt;(((IF($A15=1,if(E15-1/3*$B$6&lt;(E15*2/3),E15*2/3,E15-1/3*$B$6),if(E15-$B$6&lt;(E15*2/3),E15*2/3,E15-$B$6)))/$B$2*$C$2)+IF($A15=1,1/3,1)*$C$6),((IF($A15=1,if(E15-1/3*$B$6&lt;(E15*2/3),E15*2/3,E15-1/3*$B$6),if(E15-$B$6&lt;(E15*2/3),E15*2/3,E15-$B$6)))/$B$2*$C$2)*1.5,((IF($A15=1,if(E15-1/3*$B$6&lt;(E15*2/3),E15*2/3,E15-1/3*$B$6),if(E15-$B$6&lt;(E15*2/3),E15*2/3,E15-$B$6)))/$B$2*$C$2)+IF($A15=1,1/3,1)*$C$6)))</f>
        <v>14139.91896</v>
      </c>
      <c r="F55" s="11">
        <f t="shared" si="58"/>
        <v>21757.12134</v>
      </c>
      <c r="G55" s="11">
        <f t="shared" ref="G55:H55" si="59">G15*$C$2/$B$2</f>
        <v>16113.71533</v>
      </c>
      <c r="H55" s="11">
        <f t="shared" si="59"/>
        <v>26856.19222</v>
      </c>
      <c r="I55" s="6" t="str">
        <f t="shared" ref="I55:K55" si="60">I15</f>
        <v/>
      </c>
      <c r="J55" s="6">
        <f t="shared" si="60"/>
        <v>1</v>
      </c>
      <c r="K55" s="12">
        <f t="shared" si="60"/>
        <v>1</v>
      </c>
      <c r="L55" s="9">
        <f t="shared" si="27"/>
        <v>385033.6357</v>
      </c>
      <c r="M55" s="10">
        <f t="shared" si="28"/>
        <v>592452.0186</v>
      </c>
      <c r="N55" s="9">
        <f t="shared" si="29"/>
        <v>438780.6194</v>
      </c>
      <c r="O55" s="11">
        <f t="shared" si="30"/>
        <v>731301.0323</v>
      </c>
      <c r="P55" s="11">
        <f t="shared" si="31"/>
        <v>1323753.051</v>
      </c>
      <c r="Q55" s="11">
        <f t="shared" si="32"/>
        <v>1132355.363</v>
      </c>
      <c r="R55" s="11">
        <f t="shared" si="33"/>
        <v>643032.8617</v>
      </c>
      <c r="S55" s="6" t="str">
        <f t="shared" si="34"/>
        <v>Vengeful Arrow 75</v>
      </c>
      <c r="T55" s="11">
        <f t="shared" si="35"/>
        <v>754903.5753</v>
      </c>
      <c r="U55" s="2">
        <f t="shared" si="36"/>
        <v>0.8092154637</v>
      </c>
    </row>
    <row r="56">
      <c r="A56" s="6">
        <f t="shared" ref="A56:D56" si="61">A16</f>
        <v>1</v>
      </c>
      <c r="B56" s="6" t="str">
        <f t="shared" si="61"/>
        <v>Seeking Cascade</v>
      </c>
      <c r="C56" s="6">
        <f t="shared" si="61"/>
        <v>0.25</v>
      </c>
      <c r="D56" s="6">
        <f t="shared" si="61"/>
        <v>22.5</v>
      </c>
      <c r="E56" s="11">
        <f t="shared" ref="E56:F56" si="62">IF(OR($B56="Construct's Sac",$B56="Mist of Poison"),E16*($C$2/$B$2),(IF(((IF($A16=1,if(E16-1/3*$B$6&lt;(E16*2/3),E16*2/3,E16-1/3*$B$6),if(E16-$B$6&lt;(E16*2/3),E16*2/3,E16-$B$6)))/$B$2*$C$2)*1.5&lt;(((IF($A16=1,if(E16-1/3*$B$6&lt;(E16*2/3),E16*2/3,E16-1/3*$B$6),if(E16-$B$6&lt;(E16*2/3),E16*2/3,E16-$B$6)))/$B$2*$C$2)+IF($A16=1,1/3,1)*$C$6),((IF($A16=1,if(E16-1/3*$B$6&lt;(E16*2/3),E16*2/3,E16-1/3*$B$6),if(E16-$B$6&lt;(E16*2/3),E16*2/3,E16-$B$6)))/$B$2*$C$2)*1.5,((IF($A16=1,if(E16-1/3*$B$6&lt;(E16*2/3),E16*2/3,E16-1/3*$B$6),if(E16-$B$6&lt;(E16*2/3),E16*2/3,E16-$B$6)))/$B$2*$C$2)+IF($A16=1,1/3,1)*$C$6)))</f>
        <v>59466.03383</v>
      </c>
      <c r="F56" s="11">
        <f t="shared" si="62"/>
        <v>88697.29511</v>
      </c>
      <c r="G56" s="11">
        <f t="shared" ref="G56:H56" si="63">G16*$C$2/$B$2</f>
        <v>0</v>
      </c>
      <c r="H56" s="11">
        <f t="shared" si="63"/>
        <v>0</v>
      </c>
      <c r="I56" s="6" t="str">
        <f t="shared" ref="I56:K56" si="64">I16</f>
        <v/>
      </c>
      <c r="J56" s="6">
        <f t="shared" si="64"/>
        <v>1</v>
      </c>
      <c r="K56" s="12">
        <f t="shared" si="64"/>
        <v>1</v>
      </c>
      <c r="L56" s="9">
        <f t="shared" si="27"/>
        <v>1619275.42</v>
      </c>
      <c r="M56" s="10">
        <f t="shared" si="28"/>
        <v>2415250.194</v>
      </c>
      <c r="N56" s="9">
        <f t="shared" si="29"/>
        <v>0</v>
      </c>
      <c r="O56" s="11">
        <f t="shared" si="30"/>
        <v>0</v>
      </c>
      <c r="P56" s="11">
        <f t="shared" si="31"/>
        <v>2415250.194</v>
      </c>
      <c r="Q56" s="11">
        <f t="shared" si="32"/>
        <v>16766256.45</v>
      </c>
      <c r="R56" s="11">
        <f t="shared" si="33"/>
        <v>32813225.08</v>
      </c>
      <c r="S56" s="6" t="str">
        <f t="shared" si="34"/>
        <v>Seeking Cascade</v>
      </c>
      <c r="T56" s="11">
        <f t="shared" si="35"/>
        <v>736978.3053</v>
      </c>
      <c r="U56" s="2">
        <f t="shared" si="36"/>
        <v>1.335347588</v>
      </c>
    </row>
    <row r="57">
      <c r="A57" s="6">
        <f t="shared" ref="A57:D57" si="65">A17</f>
        <v>1</v>
      </c>
      <c r="B57" s="6" t="str">
        <f t="shared" si="65"/>
        <v>Healing Barrage</v>
      </c>
      <c r="C57" s="6">
        <f t="shared" si="65"/>
        <v>1.5</v>
      </c>
      <c r="D57" s="6">
        <f t="shared" si="65"/>
        <v>4</v>
      </c>
      <c r="E57" s="11">
        <f t="shared" ref="E57:F57" si="66">IF(OR($B57="Construct's Sac",$B57="Mist of Poison"),E17*($C$2/$B$2),(IF(((IF($A17=1,if(E17-1/3*$B$6&lt;(E17*2/3),E17*2/3,E17-1/3*$B$6),if(E17-$B$6&lt;(E17*2/3),E17*2/3,E17-$B$6)))/$B$2*$C$2)*1.5&lt;(((IF($A17=1,if(E17-1/3*$B$6&lt;(E17*2/3),E17*2/3,E17-1/3*$B$6),if(E17-$B$6&lt;(E17*2/3),E17*2/3,E17-$B$6)))/$B$2*$C$2)+IF($A17=1,1/3,1)*$C$6),((IF($A17=1,if(E17-1/3*$B$6&lt;(E17*2/3),E17*2/3,E17-1/3*$B$6),if(E17-$B$6&lt;(E17*2/3),E17*2/3,E17-$B$6)))/$B$2*$C$2)*1.5,((IF($A17=1,if(E17-1/3*$B$6&lt;(E17*2/3),E17*2/3,E17-1/3*$B$6),if(E17-$B$6&lt;(E17*2/3),E17*2/3,E17-$B$6)))/$B$2*$C$2)+IF($A17=1,1/3,1)*$C$6)))</f>
        <v>10322.59445</v>
      </c>
      <c r="F57" s="11">
        <f t="shared" si="66"/>
        <v>13092.86866</v>
      </c>
      <c r="G57" s="11">
        <f t="shared" ref="G57:H57" si="67">G17*$C$2/$B$2</f>
        <v>0</v>
      </c>
      <c r="H57" s="11">
        <f t="shared" si="67"/>
        <v>0</v>
      </c>
      <c r="I57" s="6" t="str">
        <f t="shared" ref="I57:K57" si="68">I17</f>
        <v/>
      </c>
      <c r="J57" s="6">
        <f t="shared" si="68"/>
        <v>1</v>
      </c>
      <c r="K57" s="12">
        <f t="shared" si="68"/>
        <v>1</v>
      </c>
      <c r="L57" s="9">
        <f t="shared" si="27"/>
        <v>281086.9061</v>
      </c>
      <c r="M57" s="10">
        <f t="shared" si="28"/>
        <v>356522.1864</v>
      </c>
      <c r="N57" s="9">
        <f t="shared" si="29"/>
        <v>0</v>
      </c>
      <c r="O57" s="11">
        <f t="shared" si="30"/>
        <v>0</v>
      </c>
      <c r="P57" s="11">
        <f t="shared" si="31"/>
        <v>356522.1864</v>
      </c>
      <c r="Q57" s="11">
        <f t="shared" si="32"/>
        <v>2586135.243</v>
      </c>
      <c r="R57" s="11">
        <f t="shared" si="33"/>
        <v>1468593.695</v>
      </c>
      <c r="S57" s="6" t="str">
        <f t="shared" si="34"/>
        <v>Healing Barrage</v>
      </c>
      <c r="T57" s="11">
        <f t="shared" si="35"/>
        <v>470206.4078</v>
      </c>
      <c r="U57" s="2">
        <f t="shared" si="36"/>
        <v>1.283910159</v>
      </c>
    </row>
    <row r="58">
      <c r="A58" s="6" t="str">
        <f t="shared" ref="A58:D58" si="69">A18</f>
        <v/>
      </c>
      <c r="B58" s="6" t="str">
        <f t="shared" si="69"/>
        <v>Vengeful Arrow</v>
      </c>
      <c r="C58" s="6">
        <f t="shared" si="69"/>
        <v>1.5</v>
      </c>
      <c r="D58" s="6">
        <f t="shared" si="69"/>
        <v>0</v>
      </c>
      <c r="E58" s="11">
        <f t="shared" ref="E58:F58" si="70">IF(OR($B58="Construct's Sac",$B58="Mist of Poison"),E18*($C$2/$B$2),(IF(((IF($A18=1,if(E18-1/3*$B$6&lt;(E18*2/3),E18*2/3,E18-1/3*$B$6),if(E18-$B$6&lt;(E18*2/3),E18*2/3,E18-$B$6)))/$B$2*$C$2)*1.5&lt;(((IF($A18=1,if(E18-1/3*$B$6&lt;(E18*2/3),E18*2/3,E18-1/3*$B$6),if(E18-$B$6&lt;(E18*2/3),E18*2/3,E18-$B$6)))/$B$2*$C$2)+IF($A18=1,1/3,1)*$C$6),((IF($A18=1,if(E18-1/3*$B$6&lt;(E18*2/3),E18*2/3,E18-1/3*$B$6),if(E18-$B$6&lt;(E18*2/3),E18*2/3,E18-$B$6)))/$B$2*$C$2)*1.5,((IF($A18=1,if(E18-1/3*$B$6&lt;(E18*2/3),E18*2/3,E18-1/3*$B$6),if(E18-$B$6&lt;(E18*2/3),E18*2/3,E18-$B$6)))/$B$2*$C$2)+IF($A18=1,1/3,1)*$C$6)))</f>
        <v>14139.91896</v>
      </c>
      <c r="F58" s="11">
        <f t="shared" si="70"/>
        <v>21757.12134</v>
      </c>
      <c r="G58" s="11">
        <f t="shared" ref="G58:H58" si="71">G18*$C$2/$B$2</f>
        <v>0</v>
      </c>
      <c r="H58" s="11">
        <f t="shared" si="71"/>
        <v>0</v>
      </c>
      <c r="I58" s="6" t="str">
        <f t="shared" ref="I58:K58" si="72">I18</f>
        <v/>
      </c>
      <c r="J58" s="6">
        <f t="shared" si="72"/>
        <v>1</v>
      </c>
      <c r="K58" s="12">
        <f t="shared" si="72"/>
        <v>1</v>
      </c>
      <c r="L58" s="9">
        <f t="shared" si="27"/>
        <v>385033.6357</v>
      </c>
      <c r="M58" s="10">
        <f t="shared" si="28"/>
        <v>592452.0186</v>
      </c>
      <c r="N58" s="9">
        <f t="shared" si="29"/>
        <v>0</v>
      </c>
      <c r="O58" s="11">
        <f t="shared" si="30"/>
        <v>0</v>
      </c>
      <c r="P58" s="11">
        <f t="shared" si="31"/>
        <v>592452.0186</v>
      </c>
      <c r="Q58" s="11">
        <f t="shared" si="32"/>
        <v>510749.4855</v>
      </c>
      <c r="R58" s="11">
        <f t="shared" si="33"/>
        <v>290040.3124</v>
      </c>
      <c r="S58" s="6" t="str">
        <f t="shared" si="34"/>
        <v>Vengeful Arrow</v>
      </c>
      <c r="T58" s="11">
        <f t="shared" si="35"/>
        <v>340499.657</v>
      </c>
      <c r="U58" s="2">
        <f t="shared" si="36"/>
        <v>0.8092154637</v>
      </c>
    </row>
    <row r="59">
      <c r="A59" s="6">
        <f t="shared" ref="A59:D59" si="73">A19</f>
        <v>1</v>
      </c>
      <c r="B59" s="6" t="str">
        <f t="shared" si="73"/>
        <v>Downpour</v>
      </c>
      <c r="C59" s="6">
        <f t="shared" si="73"/>
        <v>1</v>
      </c>
      <c r="D59" s="6">
        <f t="shared" si="73"/>
        <v>30</v>
      </c>
      <c r="E59" s="11">
        <f t="shared" ref="E59:F59" si="74">IF(OR($B59="Construct's Sac",$B59="Mist of Poison"),E19*($C$2/$B$2),(IF(((IF($A19=1,if(E19-1/3*$B$6&lt;(E19*2/3),E19*2/3,E19-1/3*$B$6),if(E19-$B$6&lt;(E19*2/3),E19*2/3,E19-$B$6)))/$B$2*$C$2)*1.5&lt;(((IF($A19=1,if(E19-1/3*$B$6&lt;(E19*2/3),E19*2/3,E19-1/3*$B$6),if(E19-$B$6&lt;(E19*2/3),E19*2/3,E19-$B$6)))/$B$2*$C$2)+IF($A19=1,1/3,1)*$C$6),((IF($A19=1,if(E19-1/3*$B$6&lt;(E19*2/3),E19*2/3,E19-1/3*$B$6),if(E19-$B$6&lt;(E19*2/3),E19*2/3,E19-$B$6)))/$B$2*$C$2)*1.5,((IF($A19=1,if(E19-1/3*$B$6&lt;(E19*2/3),E19*2/3,E19-1/3*$B$6),if(E19-$B$6&lt;(E19*2/3),E19*2/3,E19-$B$6)))/$B$2*$C$2)+IF($A19=1,1/3,1)*$C$6)))</f>
        <v>20052.91432</v>
      </c>
      <c r="F59" s="11">
        <f t="shared" si="74"/>
        <v>31166.42305</v>
      </c>
      <c r="G59" s="11">
        <f t="shared" ref="G59:H59" si="75">G19*$C$2/$B$2</f>
        <v>0</v>
      </c>
      <c r="H59" s="11">
        <f t="shared" si="75"/>
        <v>0</v>
      </c>
      <c r="I59" s="6" t="str">
        <f t="shared" ref="I59:K59" si="76">I19</f>
        <v/>
      </c>
      <c r="J59" s="6">
        <f t="shared" si="76"/>
        <v>1</v>
      </c>
      <c r="K59" s="12">
        <f t="shared" si="76"/>
        <v>1</v>
      </c>
      <c r="L59" s="9">
        <f t="shared" si="27"/>
        <v>546046.0225</v>
      </c>
      <c r="M59" s="10">
        <f t="shared" si="28"/>
        <v>848669.7282</v>
      </c>
      <c r="N59" s="9">
        <f t="shared" si="29"/>
        <v>0</v>
      </c>
      <c r="O59" s="11">
        <f t="shared" si="30"/>
        <v>0</v>
      </c>
      <c r="P59" s="11">
        <f t="shared" si="31"/>
        <v>848669.7282</v>
      </c>
      <c r="Q59" s="11">
        <f t="shared" si="32"/>
        <v>5841514.678</v>
      </c>
      <c r="R59" s="11">
        <f t="shared" si="33"/>
        <v>4632591.939</v>
      </c>
      <c r="S59" s="6" t="str">
        <f t="shared" si="34"/>
        <v>Downpour</v>
      </c>
      <c r="T59" s="11">
        <f t="shared" si="35"/>
        <v>188435.9574</v>
      </c>
      <c r="U59" s="2">
        <f t="shared" si="36"/>
        <v>1.305221547</v>
      </c>
    </row>
    <row r="60">
      <c r="A60" s="6" t="str">
        <f t="shared" ref="A60:D60" si="77">A20</f>
        <v/>
      </c>
      <c r="B60" s="6" t="str">
        <f t="shared" si="77"/>
        <v>Unc. Wrath</v>
      </c>
      <c r="C60" s="6">
        <f t="shared" si="77"/>
        <v>0.5</v>
      </c>
      <c r="D60" s="6">
        <f t="shared" si="77"/>
        <v>5</v>
      </c>
      <c r="E60" s="11">
        <f t="shared" ref="E60:F60" si="78">IF(OR($B60="Construct's Sac",$B60="Mist of Poison"),E20*($C$2/$B$2),(IF(((IF($A20=1,if(E20-1/3*$B$6&lt;(E20*2/3),E20*2/3,E20-1/3*$B$6),if(E20-$B$6&lt;(E20*2/3),E20*2/3,E20-$B$6)))/$B$2*$C$2)*1.5&lt;(((IF($A20=1,if(E20-1/3*$B$6&lt;(E20*2/3),E20*2/3,E20-1/3*$B$6),if(E20-$B$6&lt;(E20*2/3),E20*2/3,E20-$B$6)))/$B$2*$C$2)+IF($A20=1,1/3,1)*$C$6),((IF($A20=1,if(E20-1/3*$B$6&lt;(E20*2/3),E20*2/3,E20-1/3*$B$6),if(E20-$B$6&lt;(E20*2/3),E20*2/3,E20-$B$6)))/$B$2*$C$2)*1.5,((IF($A20=1,if(E20-1/3*$B$6&lt;(E20*2/3),E20*2/3,E20-1/3*$B$6),if(E20-$B$6&lt;(E20*2/3),E20*2/3,E20-$B$6)))/$B$2*$C$2)+IF($A20=1,1/3,1)*$C$6)))</f>
        <v>27752.94944</v>
      </c>
      <c r="F60" s="11">
        <f t="shared" si="78"/>
        <v>29865.15581</v>
      </c>
      <c r="G60" s="11">
        <f t="shared" ref="G60:H60" si="79">G20*$C$2/$B$2</f>
        <v>0</v>
      </c>
      <c r="H60" s="11">
        <f t="shared" si="79"/>
        <v>0</v>
      </c>
      <c r="I60" s="6" t="str">
        <f t="shared" ref="I60:K60" si="80">I20</f>
        <v/>
      </c>
      <c r="J60" s="6">
        <f t="shared" si="80"/>
        <v>1</v>
      </c>
      <c r="K60" s="12">
        <f t="shared" si="80"/>
        <v>1</v>
      </c>
      <c r="L60" s="9">
        <f t="shared" si="27"/>
        <v>755719.9624</v>
      </c>
      <c r="M60" s="10">
        <f t="shared" si="28"/>
        <v>813235.8859</v>
      </c>
      <c r="N60" s="9">
        <f t="shared" si="29"/>
        <v>0</v>
      </c>
      <c r="O60" s="11">
        <f t="shared" si="30"/>
        <v>0</v>
      </c>
      <c r="P60" s="11">
        <f t="shared" si="31"/>
        <v>813235.8859</v>
      </c>
      <c r="Q60" s="11">
        <f t="shared" si="32"/>
        <v>785532.1544</v>
      </c>
      <c r="R60" s="11">
        <f t="shared" si="33"/>
        <v>1032290.54</v>
      </c>
      <c r="S60" s="6" t="str">
        <f t="shared" si="34"/>
        <v>Unc. Wrath</v>
      </c>
      <c r="T60" s="11">
        <f t="shared" si="35"/>
        <v>142824.0281</v>
      </c>
      <c r="U60" s="2">
        <f t="shared" si="36"/>
        <v>1.351980103</v>
      </c>
    </row>
    <row r="61">
      <c r="A61" s="6" t="str">
        <f t="shared" ref="A61:D61" si="81">A21</f>
        <v/>
      </c>
      <c r="B61" s="6" t="str">
        <f t="shared" si="81"/>
        <v>Mist of Poison</v>
      </c>
      <c r="C61" s="6">
        <f t="shared" si="81"/>
        <v>0.35</v>
      </c>
      <c r="D61" s="6">
        <f t="shared" si="81"/>
        <v>0</v>
      </c>
      <c r="E61" s="11">
        <f t="shared" ref="E61:F61" si="82">IF(OR($B61="Construct's Sac",$B61="Mist of Poison"),E21*($C$2/$B$2),(IF(((IF($A21=1,if(E21-1/3*$B$6&lt;(E21*2/3),E21*2/3,E21-1/3*$B$6),if(E21-$B$6&lt;(E21*2/3),E21*2/3,E21-$B$6)))/$B$2*$C$2)*1.5&lt;(((IF($A21=1,if(E21-1/3*$B$6&lt;(E21*2/3),E21*2/3,E21-1/3*$B$6),if(E21-$B$6&lt;(E21*2/3),E21*2/3,E21-$B$6)))/$B$2*$C$2)+IF($A21=1,1/3,1)*$C$6),((IF($A21=1,if(E21-1/3*$B$6&lt;(E21*2/3),E21*2/3,E21-1/3*$B$6),if(E21-$B$6&lt;(E21*2/3),E21*2/3,E21-$B$6)))/$B$2*$C$2)*1.5,((IF($A21=1,if(E21-1/3*$B$6&lt;(E21*2/3),E21*2/3,E21-1/3*$B$6),if(E21-$B$6&lt;(E21*2/3),E21*2/3,E21-$B$6)))/$B$2*$C$2)+IF($A21=1,1/3,1)*$C$6)))</f>
        <v>11363.57722</v>
      </c>
      <c r="F61" s="11">
        <f t="shared" si="82"/>
        <v>18940.07077</v>
      </c>
      <c r="G61" s="11">
        <f t="shared" ref="G61:H61" si="83">G21*$C$2/$B$2</f>
        <v>11363.57722</v>
      </c>
      <c r="H61" s="11">
        <f t="shared" si="83"/>
        <v>18940.07077</v>
      </c>
      <c r="I61" s="6" t="str">
        <f t="shared" ref="I61:K61" si="84">I21</f>
        <v/>
      </c>
      <c r="J61" s="6">
        <f t="shared" si="84"/>
        <v>24</v>
      </c>
      <c r="K61" s="12">
        <f t="shared" si="84"/>
        <v>0.25</v>
      </c>
      <c r="L61" s="9">
        <f t="shared" si="27"/>
        <v>309433.1349</v>
      </c>
      <c r="M61" s="10">
        <f t="shared" si="28"/>
        <v>515743.006</v>
      </c>
      <c r="N61" s="9">
        <f t="shared" si="29"/>
        <v>309433.1349</v>
      </c>
      <c r="O61" s="11">
        <f t="shared" si="30"/>
        <v>515743.006</v>
      </c>
      <c r="P61" s="11">
        <f t="shared" si="31"/>
        <v>3610201.042</v>
      </c>
      <c r="Q61" s="11">
        <f t="shared" si="32"/>
        <v>3068651.488</v>
      </c>
      <c r="R61" s="11">
        <f t="shared" si="33"/>
        <v>5022668.931</v>
      </c>
      <c r="S61" s="6" t="str">
        <f t="shared" si="34"/>
        <v>Mist of Poison</v>
      </c>
      <c r="T61" s="11">
        <f t="shared" si="35"/>
        <v>126022.6484</v>
      </c>
      <c r="U61" s="2">
        <f t="shared" si="36"/>
        <v>1.351980103</v>
      </c>
    </row>
    <row r="62">
      <c r="A62" s="6" t="str">
        <f t="shared" ref="A62:D62" si="85">A22</f>
        <v/>
      </c>
      <c r="B62" s="6" t="str">
        <f t="shared" si="85"/>
        <v>Healing Arrow</v>
      </c>
      <c r="C62" s="6">
        <f t="shared" si="85"/>
        <v>1.5</v>
      </c>
      <c r="D62" s="6">
        <f t="shared" si="85"/>
        <v>4</v>
      </c>
      <c r="E62" s="11">
        <f t="shared" ref="E62:F62" si="86">IF(OR($B62="Construct's Sac",$B62="Mist of Poison"),E22*($C$2/$B$2),(IF(((IF($A22=1,if(E22-1/3*$B$6&lt;(E22*2/3),E22*2/3,E22-1/3*$B$6),if(E22-$B$6&lt;(E22*2/3),E22*2/3,E22-$B$6)))/$B$2*$C$2)*1.5&lt;(((IF($A22=1,if(E22-1/3*$B$6&lt;(E22*2/3),E22*2/3,E22-1/3*$B$6),if(E22-$B$6&lt;(E22*2/3),E22*2/3,E22-$B$6)))/$B$2*$C$2)+IF($A22=1,1/3,1)*$C$6),((IF($A22=1,if(E22-1/3*$B$6&lt;(E22*2/3),E22*2/3,E22-1/3*$B$6),if(E22-$B$6&lt;(E22*2/3),E22*2/3,E22-$B$6)))/$B$2*$C$2)*1.5,((IF($A22=1,if(E22-1/3*$B$6&lt;(E22*2/3),E22*2/3,E22-1/3*$B$6),if(E22-$B$6&lt;(E22*2/3),E22*2/3,E22-$B$6)))/$B$2*$C$2)+IF($A22=1,1/3,1)*$C$6)))</f>
        <v>14726.12601</v>
      </c>
      <c r="F62" s="11">
        <f t="shared" si="86"/>
        <v>17819.99658</v>
      </c>
      <c r="G62" s="11">
        <f t="shared" ref="G62:H62" si="87">G22*$C$2/$B$2</f>
        <v>0</v>
      </c>
      <c r="H62" s="11">
        <f t="shared" si="87"/>
        <v>0</v>
      </c>
      <c r="I62" s="6" t="str">
        <f t="shared" ref="I62:K62" si="88">I22</f>
        <v/>
      </c>
      <c r="J62" s="6">
        <f t="shared" si="88"/>
        <v>1</v>
      </c>
      <c r="K62" s="12">
        <f t="shared" si="88"/>
        <v>4</v>
      </c>
      <c r="L62" s="9">
        <f t="shared" si="27"/>
        <v>400996.2048</v>
      </c>
      <c r="M62" s="10">
        <f t="shared" si="28"/>
        <v>485243.0972</v>
      </c>
      <c r="N62" s="9">
        <f t="shared" si="29"/>
        <v>0</v>
      </c>
      <c r="O62" s="11">
        <f t="shared" si="30"/>
        <v>0</v>
      </c>
      <c r="P62" s="11">
        <f t="shared" si="31"/>
        <v>485243.0972</v>
      </c>
      <c r="Q62" s="11">
        <f t="shared" si="32"/>
        <v>447123.9526</v>
      </c>
      <c r="R62" s="11">
        <f t="shared" si="33"/>
        <v>253909.1563</v>
      </c>
      <c r="S62" s="6" t="str">
        <f t="shared" si="34"/>
        <v>Healing Arrow</v>
      </c>
      <c r="T62" s="11">
        <f t="shared" si="35"/>
        <v>81295.26411</v>
      </c>
      <c r="U62" s="2">
        <f t="shared" si="36"/>
        <v>1.351980103</v>
      </c>
    </row>
    <row r="63">
      <c r="A63" s="6" t="str">
        <f t="shared" ref="A63:D63" si="89">A23</f>
        <v/>
      </c>
      <c r="B63" s="6" t="str">
        <f t="shared" si="89"/>
        <v>Eye Shot</v>
      </c>
      <c r="C63" s="6">
        <f t="shared" si="89"/>
        <v>0</v>
      </c>
      <c r="D63" s="6">
        <f t="shared" si="89"/>
        <v>45</v>
      </c>
      <c r="E63" s="11">
        <f t="shared" ref="E63:F63" si="90">IF(OR($B63="Construct's Sac",$B63="Mist of Poison"),E23*($C$2/$B$2),(IF(((IF($A23=1,if(E23-1/3*$B$6&lt;(E23*2/3),E23*2/3,E23-1/3*$B$6),if(E23-$B$6&lt;(E23*2/3),E23*2/3,E23-$B$6)))/$B$2*$C$2)*1.5&lt;(((IF($A23=1,if(E23-1/3*$B$6&lt;(E23*2/3),E23*2/3,E23-1/3*$B$6),if(E23-$B$6&lt;(E23*2/3),E23*2/3,E23-$B$6)))/$B$2*$C$2)+IF($A23=1,1/3,1)*$C$6),((IF($A23=1,if(E23-1/3*$B$6&lt;(E23*2/3),E23*2/3,E23-1/3*$B$6),if(E23-$B$6&lt;(E23*2/3),E23*2/3,E23-$B$6)))/$B$2*$C$2)*1.5,((IF($A23=1,if(E23-1/3*$B$6&lt;(E23*2/3),E23*2/3,E23-1/3*$B$6),if(E23-$B$6&lt;(E23*2/3),E23*2/3,E23-$B$6)))/$B$2*$C$2)+IF($A23=1,1/3,1)*$C$6)))</f>
        <v>70273.14086</v>
      </c>
      <c r="F63" s="11">
        <f t="shared" si="90"/>
        <v>105941.0486</v>
      </c>
      <c r="G63" s="11">
        <f t="shared" ref="G63:H63" si="91">G23*$C$2/$B$2</f>
        <v>0</v>
      </c>
      <c r="H63" s="11">
        <f t="shared" si="91"/>
        <v>0</v>
      </c>
      <c r="I63" s="49">
        <f t="shared" ref="I63:K63" si="92">I23</f>
        <v>0.45</v>
      </c>
      <c r="J63" s="6">
        <f t="shared" si="92"/>
        <v>1</v>
      </c>
      <c r="K63" s="12">
        <f t="shared" si="92"/>
        <v>1</v>
      </c>
      <c r="L63" s="9">
        <f t="shared" si="27"/>
        <v>1961243.081</v>
      </c>
      <c r="M63" s="10">
        <f t="shared" si="28"/>
        <v>2956693.64</v>
      </c>
      <c r="N63" s="9">
        <f t="shared" si="29"/>
        <v>0</v>
      </c>
      <c r="O63" s="11">
        <f t="shared" si="30"/>
        <v>0</v>
      </c>
      <c r="P63" s="11">
        <f t="shared" si="31"/>
        <v>2956693.64</v>
      </c>
      <c r="Q63" s="11">
        <f t="shared" si="32"/>
        <v>2559714.047</v>
      </c>
      <c r="R63" s="11">
        <f t="shared" si="33"/>
        <v>9808824.227</v>
      </c>
      <c r="S63" s="6" t="str">
        <f t="shared" si="34"/>
        <v>Eye Shot</v>
      </c>
      <c r="T63" s="11">
        <f t="shared" si="35"/>
        <v>56882.53437</v>
      </c>
      <c r="U63" s="2">
        <f t="shared" si="36"/>
        <v>1.291621087</v>
      </c>
    </row>
    <row r="64">
      <c r="A64" s="6" t="str">
        <f t="shared" ref="A64:D64" si="93">A24</f>
        <v/>
      </c>
      <c r="B64" s="6" t="str">
        <f t="shared" si="93"/>
        <v>Soulshot</v>
      </c>
      <c r="C64" s="6">
        <f t="shared" si="93"/>
        <v>0.25</v>
      </c>
      <c r="D64" s="6">
        <f t="shared" si="93"/>
        <v>30</v>
      </c>
      <c r="E64" s="11">
        <f t="shared" ref="E64:F64" si="94">IF(((IF($A24=1,if(E24-1/3*$B$6&lt;(E24*2/3),E24*2/3,E24-1/3*$B$6),if(E24-$B$6&lt;(E24*2/3),E24*2/3,E24-$B$6)))/$B$2*$C$2)*1.5&lt;(((IF($A24=1,if(E24-1/3*$B$6&lt;(E24*2/3),E24*2/3,E24-1/3*$B$6),if(E24-$B$6&lt;(E24*2/3),E24*2/3,E24-$B$6)))/$B$2*$C$2)+IF($A24=1,1/3,1)*$C$6),((IF($A24=1,if(E24-1/3*$B$6&lt;(E24*2/3),E24*2/3,E24-1/3*$B$6),if(E24-$B$6&lt;(E24*2/3),E24*2/3,E24-$B$6)))/$B$2*$C$2)*1.5,((IF($A24=1,if(E24-1/3*$B$6&lt;(E24*2/3),E24*2/3,E24-1/3*$B$6),if(E24-$B$6&lt;(E24*2/3),E24*2/3,E24-$B$6)))/$B$2*$C$2)+IF($A24=1,1/3,1)*$C$6)</f>
        <v>28786.95355</v>
      </c>
      <c r="F64" s="11">
        <f t="shared" si="94"/>
        <v>42587.65176</v>
      </c>
      <c r="G64" s="11">
        <f t="shared" ref="G64:H64" si="95">G24*$C$2/$B$2</f>
        <v>0</v>
      </c>
      <c r="H64" s="11">
        <f t="shared" si="95"/>
        <v>0</v>
      </c>
      <c r="I64" s="6" t="str">
        <f t="shared" ref="I64:K64" si="96">I24</f>
        <v/>
      </c>
      <c r="J64" s="6" t="str">
        <f t="shared" si="96"/>
        <v/>
      </c>
      <c r="K64" s="12" t="str">
        <f t="shared" si="96"/>
        <v/>
      </c>
      <c r="L64" s="9">
        <f t="shared" si="27"/>
        <v>783876.1606</v>
      </c>
      <c r="M64" s="10">
        <f t="shared" si="28"/>
        <v>1159672.728</v>
      </c>
      <c r="N64" s="9">
        <f t="shared" si="29"/>
        <v>0</v>
      </c>
      <c r="O64" s="11">
        <f t="shared" si="30"/>
        <v>0</v>
      </c>
      <c r="P64" s="11">
        <f t="shared" si="31"/>
        <v>1159672.728</v>
      </c>
      <c r="Q64" s="11">
        <f t="shared" si="32"/>
        <v>1008105.679</v>
      </c>
      <c r="R64" s="11">
        <f t="shared" si="33"/>
        <v>1972962.697</v>
      </c>
      <c r="S64" s="6" t="str">
        <f t="shared" si="34"/>
        <v>Soulshot</v>
      </c>
      <c r="T64" s="11">
        <f t="shared" si="35"/>
        <v>33325.80755</v>
      </c>
      <c r="U64" s="2">
        <f t="shared" si="36"/>
        <v>1.280102978</v>
      </c>
    </row>
    <row r="65">
      <c r="A65" s="6" t="str">
        <f t="shared" ref="A65:D65" si="97">A25</f>
        <v/>
      </c>
      <c r="B65" s="6" t="str">
        <f t="shared" si="97"/>
        <v>Snapshot</v>
      </c>
      <c r="C65" s="6">
        <f t="shared" si="97"/>
        <v>0.5</v>
      </c>
      <c r="D65" s="6">
        <f t="shared" si="97"/>
        <v>22.5</v>
      </c>
      <c r="E65" s="11">
        <f t="shared" ref="E65:F65" si="98">IF(((IF($A25=1,if(E25-1/3*$B$6&lt;(E25*2/3),E25*2/3,E25-1/3*$B$6),if(E25-$B$6&lt;(E25*2/3),E25*2/3,E25-$B$6)))/$B$2*$C$2)*1.5&lt;(((IF($A25=1,if(E25-1/3*$B$6&lt;(E25*2/3),E25*2/3,E25-1/3*$B$6),if(E25-$B$6&lt;(E25*2/3),E25*2/3,E25-$B$6)))/$B$2*$C$2)+IF($A25=1,1/3,1)*$C$6),((IF($A25=1,if(E25-1/3*$B$6&lt;(E25*2/3),E25*2/3,E25-1/3*$B$6),if(E25-$B$6&lt;(E25*2/3),E25*2/3,E25-$B$6)))/$B$2*$C$2)*1.5,((IF($A25=1,if(E25-1/3*$B$6&lt;(E25*2/3),E25*2/3,E25-1/3*$B$6),if(E25-$B$6&lt;(E25*2/3),E25*2/3,E25-$B$6)))/$B$2*$C$2)+IF($A25=1,1/3,1)*$C$6)</f>
        <v>9352.561352</v>
      </c>
      <c r="F65" s="11">
        <f t="shared" si="98"/>
        <v>14433.02249</v>
      </c>
      <c r="G65" s="11">
        <f t="shared" ref="G65:H65" si="99">G25*$C$2/$B$2</f>
        <v>0</v>
      </c>
      <c r="H65" s="11">
        <f t="shared" si="99"/>
        <v>0</v>
      </c>
      <c r="I65" s="6" t="str">
        <f t="shared" ref="I65:K65" si="100">I25</f>
        <v/>
      </c>
      <c r="J65" s="6">
        <f t="shared" si="100"/>
        <v>1</v>
      </c>
      <c r="K65" s="12">
        <f t="shared" si="100"/>
        <v>1</v>
      </c>
      <c r="L65" s="9">
        <f t="shared" si="27"/>
        <v>254672.6548</v>
      </c>
      <c r="M65" s="10">
        <f t="shared" si="28"/>
        <v>393014.9203</v>
      </c>
      <c r="N65" s="9">
        <f t="shared" si="29"/>
        <v>0</v>
      </c>
      <c r="O65" s="11">
        <f t="shared" si="30"/>
        <v>0</v>
      </c>
      <c r="P65" s="11">
        <f t="shared" si="31"/>
        <v>393014.9203</v>
      </c>
      <c r="Q65" s="11">
        <f t="shared" si="32"/>
        <v>338618.3356</v>
      </c>
      <c r="R65" s="11">
        <f t="shared" si="33"/>
        <v>444988.1557</v>
      </c>
      <c r="S65" s="6" t="str">
        <f t="shared" si="34"/>
        <v>Snapshot</v>
      </c>
      <c r="T65" s="11">
        <f t="shared" si="35"/>
        <v>14722.53633</v>
      </c>
      <c r="U65" s="2">
        <f t="shared" si="36"/>
        <v>1.351980103</v>
      </c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  <c r="N84" s="1" t="s">
        <v>369</v>
      </c>
      <c r="O84" s="1" t="s">
        <v>370</v>
      </c>
    </row>
    <row r="85">
      <c r="K85" s="3"/>
      <c r="L85" s="4"/>
      <c r="N85" s="1">
        <v>25.0</v>
      </c>
      <c r="O85" s="1">
        <v>5.21629448338152</v>
      </c>
    </row>
    <row r="86">
      <c r="K86" s="3"/>
      <c r="L86" s="4"/>
      <c r="N86" s="1">
        <v>50.0</v>
      </c>
      <c r="O86" s="1">
        <v>3.85501573599077</v>
      </c>
    </row>
    <row r="87">
      <c r="K87" s="3"/>
      <c r="L87" s="4"/>
      <c r="N87" s="1">
        <v>75.0</v>
      </c>
      <c r="O87" s="1">
        <v>2.49373698860002</v>
      </c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autoFilter ref="$A$7:$U$4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2" width="15.13"/>
  </cols>
  <sheetData>
    <row r="1">
      <c r="A1" s="1" t="s">
        <v>344</v>
      </c>
      <c r="B1" s="2">
        <f>1216.6%+130%</f>
        <v>13.466</v>
      </c>
      <c r="C1" s="2">
        <f>((B1-1.3)/(1+1/12)+90%+25%+24*1.5%+15%)*(13/12)*(1+0.05+0.15)+1.3</f>
        <v>18.0572</v>
      </c>
      <c r="D1" s="1" t="s">
        <v>345</v>
      </c>
      <c r="K1" s="3"/>
      <c r="L1" s="4"/>
    </row>
    <row r="2">
      <c r="A2" s="1" t="s">
        <v>346</v>
      </c>
      <c r="B2" s="2">
        <f>640%+1</f>
        <v>7.4</v>
      </c>
      <c r="C2" s="2">
        <f>((B2-1)/(1+1/12)+0.3757)*(1+1/12)+1+0.8</f>
        <v>8.607008333</v>
      </c>
      <c r="D2" s="2">
        <f>50%+0.5%+0.3%</f>
        <v>0.508</v>
      </c>
      <c r="E2" s="1" t="s">
        <v>347</v>
      </c>
      <c r="K2" s="3"/>
      <c r="L2" s="4"/>
    </row>
    <row r="3">
      <c r="A3" s="1" t="s">
        <v>1</v>
      </c>
      <c r="B3" s="2">
        <f>59.6%+32%</f>
        <v>0.916</v>
      </c>
      <c r="C3" s="49">
        <f t="shared" ref="C3:C5" si="1">B3</f>
        <v>0.916</v>
      </c>
      <c r="K3" s="3"/>
      <c r="L3" s="4"/>
    </row>
    <row r="4">
      <c r="A4" s="1" t="s">
        <v>2</v>
      </c>
      <c r="B4" s="19">
        <v>0.3</v>
      </c>
      <c r="C4" s="49">
        <f t="shared" si="1"/>
        <v>0.3</v>
      </c>
      <c r="K4" s="3"/>
      <c r="L4" s="4"/>
    </row>
    <row r="5">
      <c r="A5" s="1" t="s">
        <v>3</v>
      </c>
      <c r="B5" s="1">
        <v>8.0</v>
      </c>
      <c r="C5" s="6">
        <f t="shared" si="1"/>
        <v>8</v>
      </c>
      <c r="K5" s="3"/>
      <c r="L5" s="4"/>
    </row>
    <row r="6">
      <c r="A6" s="1" t="s">
        <v>348</v>
      </c>
      <c r="B6" s="13">
        <v>10487.0</v>
      </c>
      <c r="C6" s="1">
        <v>10487.0</v>
      </c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371</v>
      </c>
      <c r="C8" s="1">
        <v>0.5</v>
      </c>
      <c r="D8" s="1">
        <v>4.0</v>
      </c>
      <c r="E8" s="1">
        <v>37533.0</v>
      </c>
      <c r="F8" s="1">
        <v>39427.0</v>
      </c>
      <c r="G8" s="1">
        <v>11066.0</v>
      </c>
      <c r="H8" s="1">
        <v>12960.0</v>
      </c>
      <c r="J8" s="1">
        <v>14.0</v>
      </c>
      <c r="K8" s="12">
        <f>1/2.3</f>
        <v>0.4347826087</v>
      </c>
      <c r="L8" s="9">
        <f t="shared" ref="L8:L30" si="3">if(E8*($B$1+$I8)&lt;(F8+1),F8+1,E8*($I8+$B$1))</f>
        <v>505419.378</v>
      </c>
      <c r="M8" s="10">
        <f t="shared" ref="M8:M30" si="4">F8*($B$1+$I8)</f>
        <v>530923.982</v>
      </c>
      <c r="N8" s="9">
        <f t="shared" ref="N8:N12" si="5">if(if(G8*($B$1+$I8)&lt;(H8+1),H8+1,G8*($I8+$B$1))=1,0,if(G8*($B$1+$I8)&lt;(H8+1),H8+1,G8*($I8+$B$1)))</f>
        <v>149014.756</v>
      </c>
      <c r="O8" s="11">
        <f t="shared" ref="O8:O12" si="6">H8*($B$1+$I8)</f>
        <v>174519.36</v>
      </c>
      <c r="P8" s="11">
        <f t="shared" ref="P8:P30" si="7">M8+O8*K8*J8</f>
        <v>1593215.739</v>
      </c>
      <c r="Q8" s="11">
        <f t="shared" ref="Q8:Q30" si="8">((if($A8=1,$B$5,1)*((L8*E8+F8*M8)/(E8+F8)+if(G8&gt;0,(N8*G8+H8*O8)/(G8+H8)*J8*K8,0))))*if($U8=1,1,1+$B$4)</f>
        <v>1962055.76</v>
      </c>
      <c r="R8" s="11">
        <f t="shared" ref="R8:R30" si="9">Q8/(C8+0.5*(1/(1+$B$3)))</f>
        <v>2578394.264</v>
      </c>
      <c r="S8" s="6" t="str">
        <f t="shared" ref="S8:S30" si="10">B8</f>
        <v>Brainburst</v>
      </c>
      <c r="T8" s="11">
        <f t="shared" ref="T8:T13" si="11">$Q8/(($C8+IF($D8&lt;=$J8,if($J8&gt;1,$J8,$D8),$D8)))</f>
        <v>135314.1903</v>
      </c>
      <c r="U8" s="11"/>
      <c r="V8" s="6" t="str">
        <f t="shared" ref="V8:V23" si="12">if(A8=1,MAX(R$11:R$42)/R8," ")</f>
        <v> </v>
      </c>
    </row>
    <row r="9">
      <c r="B9" s="1" t="s">
        <v>372</v>
      </c>
      <c r="C9" s="1">
        <v>0.75</v>
      </c>
      <c r="D9" s="1">
        <v>10.0</v>
      </c>
      <c r="E9" s="11">
        <f>41402*1.24281221922731</f>
        <v>51454.9115</v>
      </c>
      <c r="F9" s="11">
        <f>48653*1.23865048265316</f>
        <v>60264.06193</v>
      </c>
      <c r="G9" s="11">
        <f t="shared" ref="G9:H9" si="2">E9</f>
        <v>51454.9115</v>
      </c>
      <c r="H9" s="11">
        <f t="shared" si="2"/>
        <v>60264.06193</v>
      </c>
      <c r="I9" s="2"/>
      <c r="J9" s="1">
        <v>1.0</v>
      </c>
      <c r="K9" s="7">
        <v>5.0</v>
      </c>
      <c r="L9" s="9">
        <f t="shared" si="3"/>
        <v>692891.8383</v>
      </c>
      <c r="M9" s="10">
        <f t="shared" si="4"/>
        <v>811515.858</v>
      </c>
      <c r="N9" s="9">
        <f t="shared" si="5"/>
        <v>692891.8383</v>
      </c>
      <c r="O9" s="11">
        <f t="shared" si="6"/>
        <v>811515.858</v>
      </c>
      <c r="P9" s="11">
        <f t="shared" si="7"/>
        <v>4869095.148</v>
      </c>
      <c r="Q9" s="11">
        <f t="shared" si="8"/>
        <v>4541283.949</v>
      </c>
      <c r="R9" s="11">
        <f t="shared" si="9"/>
        <v>4492049.585</v>
      </c>
      <c r="S9" s="6" t="str">
        <f t="shared" si="10"/>
        <v>Theorems</v>
      </c>
      <c r="T9" s="11">
        <f t="shared" si="11"/>
        <v>422445.0185</v>
      </c>
      <c r="U9" s="13">
        <v>1.0</v>
      </c>
      <c r="V9" s="6" t="str">
        <f t="shared" si="12"/>
        <v> </v>
      </c>
    </row>
    <row r="10">
      <c r="B10" s="1" t="s">
        <v>373</v>
      </c>
      <c r="C10" s="1">
        <v>1.0</v>
      </c>
      <c r="D10" s="1">
        <v>12.5</v>
      </c>
      <c r="E10" s="1">
        <v>45003.0</v>
      </c>
      <c r="F10" s="1">
        <v>52911.0</v>
      </c>
      <c r="K10" s="3"/>
      <c r="L10" s="9">
        <f t="shared" si="3"/>
        <v>606010.398</v>
      </c>
      <c r="M10" s="10">
        <f t="shared" si="4"/>
        <v>712499.526</v>
      </c>
      <c r="N10" s="9">
        <f t="shared" si="5"/>
        <v>0</v>
      </c>
      <c r="O10" s="11">
        <f t="shared" si="6"/>
        <v>0</v>
      </c>
      <c r="P10" s="11">
        <f t="shared" si="7"/>
        <v>712499.526</v>
      </c>
      <c r="Q10" s="11">
        <f t="shared" si="8"/>
        <v>862621.8199</v>
      </c>
      <c r="R10" s="11">
        <f t="shared" si="9"/>
        <v>684099.0922</v>
      </c>
      <c r="S10" s="6" t="str">
        <f t="shared" si="10"/>
        <v>Speechless</v>
      </c>
      <c r="T10" s="11">
        <f t="shared" si="11"/>
        <v>63897.91258</v>
      </c>
      <c r="U10" s="11"/>
      <c r="V10" s="6" t="str">
        <f t="shared" si="12"/>
        <v> </v>
      </c>
    </row>
    <row r="11">
      <c r="B11" s="1" t="s">
        <v>374</v>
      </c>
      <c r="C11" s="1">
        <v>1.0</v>
      </c>
      <c r="D11" s="1">
        <v>7.5</v>
      </c>
      <c r="E11" s="1">
        <v>24817.0</v>
      </c>
      <c r="F11" s="1">
        <v>29178.0</v>
      </c>
      <c r="G11" s="6">
        <f t="shared" ref="G11:H11" si="13">E11</f>
        <v>24817</v>
      </c>
      <c r="H11" s="6">
        <f t="shared" si="13"/>
        <v>29178</v>
      </c>
      <c r="J11" s="1">
        <v>1.0</v>
      </c>
      <c r="K11" s="7">
        <v>5.0</v>
      </c>
      <c r="L11" s="9">
        <f t="shared" si="3"/>
        <v>334185.722</v>
      </c>
      <c r="M11" s="10">
        <f t="shared" si="4"/>
        <v>392910.948</v>
      </c>
      <c r="N11" s="9">
        <f t="shared" si="5"/>
        <v>334185.722</v>
      </c>
      <c r="O11" s="11">
        <f t="shared" si="6"/>
        <v>392910.948</v>
      </c>
      <c r="P11" s="11">
        <f t="shared" si="7"/>
        <v>2357465.688</v>
      </c>
      <c r="Q11" s="11">
        <f t="shared" si="8"/>
        <v>2195519.145</v>
      </c>
      <c r="R11" s="11">
        <f t="shared" si="9"/>
        <v>1741148.461</v>
      </c>
      <c r="S11" s="6" t="str">
        <f t="shared" si="10"/>
        <v>Prismatic Chaos</v>
      </c>
      <c r="T11" s="11">
        <f t="shared" si="11"/>
        <v>258296.37</v>
      </c>
      <c r="U11" s="13">
        <v>1.0</v>
      </c>
      <c r="V11" s="6" t="str">
        <f t="shared" si="12"/>
        <v> </v>
      </c>
    </row>
    <row r="12">
      <c r="A12" s="1">
        <v>1.0</v>
      </c>
      <c r="B12" s="1" t="s">
        <v>375</v>
      </c>
      <c r="C12" s="1">
        <v>1.0</v>
      </c>
      <c r="D12" s="1">
        <v>0.0</v>
      </c>
      <c r="E12" s="6">
        <f>8148+17419</f>
        <v>25567</v>
      </c>
      <c r="F12" s="6">
        <f>9580+17419</f>
        <v>26999</v>
      </c>
      <c r="G12" s="1">
        <v>4889.0</v>
      </c>
      <c r="H12" s="1">
        <v>5748.0</v>
      </c>
      <c r="J12" s="1">
        <v>6.0</v>
      </c>
      <c r="K12" s="12">
        <f>1/1.1</f>
        <v>0.9090909091</v>
      </c>
      <c r="L12" s="9">
        <f t="shared" si="3"/>
        <v>344285.222</v>
      </c>
      <c r="M12" s="10">
        <f t="shared" si="4"/>
        <v>363568.534</v>
      </c>
      <c r="N12" s="9">
        <f t="shared" si="5"/>
        <v>65835.274</v>
      </c>
      <c r="O12" s="11">
        <f t="shared" si="6"/>
        <v>77402.568</v>
      </c>
      <c r="P12" s="11">
        <f t="shared" si="7"/>
        <v>785764.3595</v>
      </c>
      <c r="Q12" s="11">
        <f t="shared" si="8"/>
        <v>7772812.462</v>
      </c>
      <c r="R12" s="11">
        <f t="shared" si="9"/>
        <v>6164200.612</v>
      </c>
      <c r="S12" s="6" t="str">
        <f t="shared" si="10"/>
        <v>Chromatic Storm</v>
      </c>
      <c r="T12" s="11">
        <f t="shared" si="11"/>
        <v>1110401.78</v>
      </c>
      <c r="U12" s="11"/>
      <c r="V12" s="6">
        <f t="shared" si="12"/>
        <v>2.963220548</v>
      </c>
    </row>
    <row r="13">
      <c r="B13" s="1" t="s">
        <v>376</v>
      </c>
      <c r="C13" s="1">
        <v>0.5</v>
      </c>
      <c r="D13" s="1">
        <v>3.0</v>
      </c>
      <c r="E13" s="1">
        <v>17518.0</v>
      </c>
      <c r="F13" s="1">
        <v>20596.0</v>
      </c>
      <c r="G13" s="1">
        <v>5005.0</v>
      </c>
      <c r="H13" s="1">
        <v>5885.0</v>
      </c>
      <c r="J13" s="1">
        <v>24.0</v>
      </c>
      <c r="K13" s="12">
        <f>1/4</f>
        <v>0.25</v>
      </c>
      <c r="L13" s="9">
        <f t="shared" si="3"/>
        <v>235897.388</v>
      </c>
      <c r="M13" s="10">
        <f t="shared" si="4"/>
        <v>277345.736</v>
      </c>
      <c r="N13" s="9">
        <f>$B$5*(if(if(G13*($B$1+$I13)&lt;(H13+1),H13+1,G13*($I13+$B$1))=1,0,if(G13*($B$1+$I13)&lt;(H13+1),H13+1,G13*($I13+$B$1))))</f>
        <v>539178.64</v>
      </c>
      <c r="O13" s="11">
        <f>$B$5*(H13*($B$1+$I13))</f>
        <v>633979.28</v>
      </c>
      <c r="P13" s="11">
        <f t="shared" si="7"/>
        <v>4081221.416</v>
      </c>
      <c r="Q13" s="11">
        <f t="shared" si="8"/>
        <v>4940976.212</v>
      </c>
      <c r="R13" s="11">
        <f t="shared" si="9"/>
        <v>6493079.851</v>
      </c>
      <c r="S13" s="6" t="str">
        <f t="shared" si="10"/>
        <v>Nightmare</v>
      </c>
      <c r="T13" s="11">
        <f t="shared" si="11"/>
        <v>201672.4985</v>
      </c>
      <c r="U13" s="11"/>
      <c r="V13" s="6" t="str">
        <f t="shared" si="12"/>
        <v> </v>
      </c>
    </row>
    <row r="14">
      <c r="A14" s="1">
        <v>1.0</v>
      </c>
      <c r="B14" s="1" t="s">
        <v>377</v>
      </c>
      <c r="C14" s="1">
        <v>1.25</v>
      </c>
      <c r="D14" s="1">
        <v>10.0</v>
      </c>
      <c r="E14" s="6">
        <f>21344+17832</f>
        <v>39176</v>
      </c>
      <c r="F14" s="6">
        <f>23545+17832</f>
        <v>41377</v>
      </c>
      <c r="G14" s="1">
        <v>12522.0</v>
      </c>
      <c r="H14" s="1">
        <v>14723.0</v>
      </c>
      <c r="I14" s="2"/>
      <c r="J14" s="1">
        <v>5.0</v>
      </c>
      <c r="K14" s="12">
        <f>1/0.7</f>
        <v>1.428571429</v>
      </c>
      <c r="L14" s="9">
        <f t="shared" si="3"/>
        <v>527544.016</v>
      </c>
      <c r="M14" s="10">
        <f t="shared" si="4"/>
        <v>557182.682</v>
      </c>
      <c r="N14" s="9">
        <f t="shared" ref="N14:N30" si="14">if(if(G14*($B$1+$I14)&lt;(H14+1),H14+1,G14*($I14+$B$1))=1,0,if(G14*($B$1+$I14)&lt;(H14+1),H14+1,G14*($I14+$B$1)))</f>
        <v>168621.252</v>
      </c>
      <c r="O14" s="11">
        <f t="shared" ref="O14:O30" si="15">H14*($B$1+$I14)</f>
        <v>198259.918</v>
      </c>
      <c r="P14" s="11">
        <f t="shared" si="7"/>
        <v>1973324.953</v>
      </c>
      <c r="Q14" s="11">
        <f t="shared" si="8"/>
        <v>19360738.73</v>
      </c>
      <c r="R14" s="11">
        <f t="shared" si="9"/>
        <v>12813532.09</v>
      </c>
      <c r="S14" s="6" t="str">
        <f t="shared" si="10"/>
        <v>Chromatic Shower</v>
      </c>
      <c r="T14" s="11">
        <f>$Q14/(($C14+0.5*1/(1+$B$3)+IF($D14&lt;=$J14,if($J14&gt;1,$J14,$D14),$D14)))</f>
        <v>1681939.488</v>
      </c>
      <c r="U14" s="11"/>
      <c r="V14" s="6">
        <f t="shared" si="12"/>
        <v>1.42551529</v>
      </c>
    </row>
    <row r="15">
      <c r="B15" s="1" t="s">
        <v>378</v>
      </c>
      <c r="C15" s="1">
        <v>1.0</v>
      </c>
      <c r="D15" s="1">
        <v>90.0</v>
      </c>
      <c r="E15" s="1">
        <v>9325.0</v>
      </c>
      <c r="F15" s="1">
        <v>12440.0</v>
      </c>
      <c r="G15" s="1">
        <v>9325.0</v>
      </c>
      <c r="H15" s="1">
        <v>12440.0</v>
      </c>
      <c r="J15" s="1">
        <v>17.0</v>
      </c>
      <c r="K15" s="7">
        <v>1.0</v>
      </c>
      <c r="L15" s="9">
        <f t="shared" si="3"/>
        <v>125570.45</v>
      </c>
      <c r="M15" s="10">
        <f t="shared" si="4"/>
        <v>167517.04</v>
      </c>
      <c r="N15" s="9">
        <f t="shared" si="14"/>
        <v>125570.45</v>
      </c>
      <c r="O15" s="11">
        <f t="shared" si="15"/>
        <v>167517.04</v>
      </c>
      <c r="P15" s="11">
        <f t="shared" si="7"/>
        <v>3015306.72</v>
      </c>
      <c r="Q15" s="11">
        <f t="shared" si="8"/>
        <v>2691817.856</v>
      </c>
      <c r="R15" s="11">
        <f t="shared" si="9"/>
        <v>2134736.346</v>
      </c>
      <c r="S15" s="6" t="str">
        <f t="shared" si="10"/>
        <v>Mana Cloak</v>
      </c>
      <c r="T15" s="11">
        <f t="shared" ref="T15:T30" si="16">$Q15/(($C15+IF($D15&lt;=$J15,if($J15&gt;1,$J15,$D15),$D15)))</f>
        <v>29580.416</v>
      </c>
      <c r="U15" s="13">
        <v>1.0</v>
      </c>
      <c r="V15" s="6" t="str">
        <f t="shared" si="12"/>
        <v> </v>
      </c>
    </row>
    <row r="16">
      <c r="A16" s="1">
        <v>1.0</v>
      </c>
      <c r="B16" s="1" t="s">
        <v>357</v>
      </c>
      <c r="C16" s="1">
        <v>0.25</v>
      </c>
      <c r="D16" s="1">
        <v>22.5</v>
      </c>
      <c r="E16" s="1">
        <v>51617.0</v>
      </c>
      <c r="F16" s="1">
        <v>76749.0</v>
      </c>
      <c r="I16" s="2"/>
      <c r="J16" s="1">
        <v>1.0</v>
      </c>
      <c r="K16" s="7">
        <v>1.0</v>
      </c>
      <c r="L16" s="9">
        <f t="shared" si="3"/>
        <v>695074.522</v>
      </c>
      <c r="M16" s="10">
        <f t="shared" si="4"/>
        <v>1033502.034</v>
      </c>
      <c r="N16" s="9">
        <f t="shared" si="14"/>
        <v>0</v>
      </c>
      <c r="O16" s="11">
        <f t="shared" si="15"/>
        <v>0</v>
      </c>
      <c r="P16" s="11">
        <f t="shared" si="7"/>
        <v>1033502.034</v>
      </c>
      <c r="Q16" s="11">
        <f t="shared" si="8"/>
        <v>9333143.167</v>
      </c>
      <c r="R16" s="11">
        <f t="shared" si="9"/>
        <v>18265885.91</v>
      </c>
      <c r="S16" s="6" t="str">
        <f t="shared" si="10"/>
        <v>Seeking Cascade</v>
      </c>
      <c r="T16" s="11">
        <f t="shared" si="16"/>
        <v>410248.0513</v>
      </c>
      <c r="U16" s="11"/>
      <c r="V16" s="6">
        <f t="shared" si="12"/>
        <v>1</v>
      </c>
    </row>
    <row r="17">
      <c r="A17" s="1">
        <v>1.0</v>
      </c>
      <c r="B17" s="1" t="s">
        <v>358</v>
      </c>
      <c r="C17" s="1">
        <v>1.5</v>
      </c>
      <c r="D17" s="1">
        <v>4.0</v>
      </c>
      <c r="E17" s="1">
        <v>8875.0</v>
      </c>
      <c r="F17" s="1">
        <v>11747.0</v>
      </c>
      <c r="J17" s="1">
        <v>1.0</v>
      </c>
      <c r="K17" s="7">
        <v>1.0</v>
      </c>
      <c r="L17" s="9">
        <f t="shared" si="3"/>
        <v>119510.75</v>
      </c>
      <c r="M17" s="10">
        <f t="shared" si="4"/>
        <v>158185.102</v>
      </c>
      <c r="N17" s="9">
        <f t="shared" si="14"/>
        <v>0</v>
      </c>
      <c r="O17" s="11">
        <f t="shared" si="15"/>
        <v>0</v>
      </c>
      <c r="P17" s="11">
        <f t="shared" si="7"/>
        <v>158185.102</v>
      </c>
      <c r="Q17" s="11">
        <f t="shared" si="8"/>
        <v>1472026.298</v>
      </c>
      <c r="R17" s="11">
        <f t="shared" si="9"/>
        <v>835922.462</v>
      </c>
      <c r="S17" s="6" t="str">
        <f t="shared" si="10"/>
        <v>Healing Barrage</v>
      </c>
      <c r="T17" s="11">
        <f t="shared" si="16"/>
        <v>267641.1451</v>
      </c>
      <c r="U17" s="11"/>
      <c r="V17" s="6">
        <f t="shared" si="12"/>
        <v>21.8511725</v>
      </c>
    </row>
    <row r="18">
      <c r="B18" s="1" t="s">
        <v>359</v>
      </c>
      <c r="C18" s="1">
        <v>1.5</v>
      </c>
      <c r="D18" s="1">
        <v>0.0</v>
      </c>
      <c r="E18" s="1">
        <v>12157.0</v>
      </c>
      <c r="F18" s="1">
        <v>18706.0</v>
      </c>
      <c r="J18" s="1">
        <v>1.0</v>
      </c>
      <c r="K18" s="7">
        <v>1.0</v>
      </c>
      <c r="L18" s="9">
        <f t="shared" si="3"/>
        <v>163706.162</v>
      </c>
      <c r="M18" s="10">
        <f t="shared" si="4"/>
        <v>251894.996</v>
      </c>
      <c r="N18" s="9">
        <f t="shared" si="14"/>
        <v>0</v>
      </c>
      <c r="O18" s="11">
        <f t="shared" si="15"/>
        <v>0</v>
      </c>
      <c r="P18" s="11">
        <f t="shared" si="7"/>
        <v>251894.996</v>
      </c>
      <c r="Q18" s="11">
        <f t="shared" si="8"/>
        <v>282304.3997</v>
      </c>
      <c r="R18" s="11">
        <f t="shared" si="9"/>
        <v>160312.7534</v>
      </c>
      <c r="S18" s="6" t="str">
        <f t="shared" si="10"/>
        <v>Vengeful Arrow</v>
      </c>
      <c r="T18" s="11">
        <f t="shared" si="16"/>
        <v>188202.9331</v>
      </c>
      <c r="U18" s="11"/>
      <c r="V18" s="6" t="str">
        <f t="shared" si="12"/>
        <v> </v>
      </c>
    </row>
    <row r="19">
      <c r="A19" s="1">
        <v>1.0</v>
      </c>
      <c r="B19" s="1" t="s">
        <v>360</v>
      </c>
      <c r="C19" s="1">
        <v>1.0</v>
      </c>
      <c r="D19" s="1">
        <v>30.0</v>
      </c>
      <c r="E19" s="1">
        <v>17731.0</v>
      </c>
      <c r="F19" s="1">
        <v>27286.0</v>
      </c>
      <c r="J19" s="1">
        <v>1.0</v>
      </c>
      <c r="K19" s="7">
        <v>1.0</v>
      </c>
      <c r="L19" s="9">
        <f t="shared" si="3"/>
        <v>238765.646</v>
      </c>
      <c r="M19" s="10">
        <f t="shared" si="4"/>
        <v>367433.276</v>
      </c>
      <c r="N19" s="9">
        <f t="shared" si="14"/>
        <v>0</v>
      </c>
      <c r="O19" s="11">
        <f t="shared" si="15"/>
        <v>0</v>
      </c>
      <c r="P19" s="11">
        <f t="shared" si="7"/>
        <v>367433.276</v>
      </c>
      <c r="Q19" s="11">
        <f t="shared" si="8"/>
        <v>3294246.964</v>
      </c>
      <c r="R19" s="11">
        <f t="shared" si="9"/>
        <v>2612490.556</v>
      </c>
      <c r="S19" s="6" t="str">
        <f t="shared" si="10"/>
        <v>Downpour</v>
      </c>
      <c r="T19" s="11">
        <f t="shared" si="16"/>
        <v>106266.0311</v>
      </c>
      <c r="U19" s="11"/>
      <c r="V19" s="6">
        <f t="shared" si="12"/>
        <v>6.991751939</v>
      </c>
    </row>
    <row r="20">
      <c r="B20" s="1" t="s">
        <v>361</v>
      </c>
      <c r="C20" s="1">
        <v>0.5</v>
      </c>
      <c r="D20" s="1">
        <v>5.0</v>
      </c>
      <c r="E20" s="1">
        <v>23861.0</v>
      </c>
      <c r="F20" s="1">
        <v>25677.0</v>
      </c>
      <c r="I20" s="2"/>
      <c r="J20" s="1">
        <v>1.0</v>
      </c>
      <c r="K20" s="7">
        <v>1.0</v>
      </c>
      <c r="L20" s="9">
        <f t="shared" si="3"/>
        <v>321312.226</v>
      </c>
      <c r="M20" s="10">
        <f t="shared" si="4"/>
        <v>345766.482</v>
      </c>
      <c r="N20" s="9">
        <f t="shared" si="14"/>
        <v>0</v>
      </c>
      <c r="O20" s="11">
        <f t="shared" si="15"/>
        <v>0</v>
      </c>
      <c r="P20" s="11">
        <f t="shared" si="7"/>
        <v>345766.482</v>
      </c>
      <c r="Q20" s="11">
        <f t="shared" si="8"/>
        <v>434183.8604</v>
      </c>
      <c r="R20" s="11">
        <f t="shared" si="9"/>
        <v>570573.5779</v>
      </c>
      <c r="S20" s="6" t="str">
        <f t="shared" si="10"/>
        <v>Unc. Wrath</v>
      </c>
      <c r="T20" s="11">
        <f t="shared" si="16"/>
        <v>78942.52008</v>
      </c>
      <c r="U20" s="11"/>
      <c r="V20" s="6" t="str">
        <f t="shared" si="12"/>
        <v> </v>
      </c>
    </row>
    <row r="21">
      <c r="B21" s="1" t="s">
        <v>362</v>
      </c>
      <c r="C21" s="1">
        <v>0.35</v>
      </c>
      <c r="D21" s="1">
        <v>0.0</v>
      </c>
      <c r="E21" s="1">
        <v>9770.0</v>
      </c>
      <c r="F21" s="1">
        <v>16284.0</v>
      </c>
      <c r="G21" s="6">
        <f t="shared" ref="G21:H21" si="17">E21</f>
        <v>9770</v>
      </c>
      <c r="H21" s="6">
        <f t="shared" si="17"/>
        <v>16284</v>
      </c>
      <c r="J21" s="1">
        <v>24.0</v>
      </c>
      <c r="K21" s="12">
        <f>1/4</f>
        <v>0.25</v>
      </c>
      <c r="L21" s="9">
        <f t="shared" si="3"/>
        <v>131562.82</v>
      </c>
      <c r="M21" s="10">
        <f t="shared" si="4"/>
        <v>219280.344</v>
      </c>
      <c r="N21" s="9">
        <f t="shared" si="14"/>
        <v>131562.82</v>
      </c>
      <c r="O21" s="11">
        <f t="shared" si="15"/>
        <v>219280.344</v>
      </c>
      <c r="P21" s="11">
        <f t="shared" si="7"/>
        <v>1534962.408</v>
      </c>
      <c r="Q21" s="11">
        <f t="shared" si="8"/>
        <v>1696122.739</v>
      </c>
      <c r="R21" s="11">
        <f t="shared" si="9"/>
        <v>2776158.524</v>
      </c>
      <c r="S21" s="6" t="str">
        <f t="shared" si="10"/>
        <v>Mist of Poison</v>
      </c>
      <c r="T21" s="11">
        <f t="shared" si="16"/>
        <v>69655.96465</v>
      </c>
      <c r="U21" s="11"/>
      <c r="V21" s="6" t="str">
        <f t="shared" si="12"/>
        <v> </v>
      </c>
    </row>
    <row r="22">
      <c r="B22" s="1" t="s">
        <v>363</v>
      </c>
      <c r="C22" s="1">
        <v>1.5</v>
      </c>
      <c r="D22" s="1">
        <v>4.0</v>
      </c>
      <c r="E22" s="1">
        <v>12661.0</v>
      </c>
      <c r="F22" s="1">
        <v>15321.0</v>
      </c>
      <c r="J22" s="1">
        <v>1.0</v>
      </c>
      <c r="K22" s="7">
        <v>4.0</v>
      </c>
      <c r="L22" s="9">
        <f t="shared" si="3"/>
        <v>170493.026</v>
      </c>
      <c r="M22" s="10">
        <f t="shared" si="4"/>
        <v>206312.586</v>
      </c>
      <c r="N22" s="9">
        <f t="shared" si="14"/>
        <v>0</v>
      </c>
      <c r="O22" s="11">
        <f t="shared" si="15"/>
        <v>0</v>
      </c>
      <c r="P22" s="11">
        <f t="shared" si="7"/>
        <v>206312.586</v>
      </c>
      <c r="Q22" s="11">
        <f t="shared" si="8"/>
        <v>247136.9285</v>
      </c>
      <c r="R22" s="11">
        <f t="shared" si="9"/>
        <v>140342.1325</v>
      </c>
      <c r="S22" s="6" t="str">
        <f t="shared" si="10"/>
        <v>Healing Arrow</v>
      </c>
      <c r="T22" s="11">
        <f t="shared" si="16"/>
        <v>44933.98699</v>
      </c>
      <c r="U22" s="11"/>
      <c r="V22" s="6" t="str">
        <f t="shared" si="12"/>
        <v> </v>
      </c>
    </row>
    <row r="23">
      <c r="B23" s="1" t="s">
        <v>364</v>
      </c>
      <c r="C23" s="1">
        <v>0.0</v>
      </c>
      <c r="D23" s="1">
        <v>45.0</v>
      </c>
      <c r="E23" s="1">
        <v>61889.0</v>
      </c>
      <c r="F23" s="1">
        <v>92555.0</v>
      </c>
      <c r="I23" s="5">
        <v>0.45</v>
      </c>
      <c r="J23" s="1">
        <v>1.0</v>
      </c>
      <c r="K23" s="7">
        <v>1.0</v>
      </c>
      <c r="L23" s="9">
        <f t="shared" si="3"/>
        <v>861247.324</v>
      </c>
      <c r="M23" s="10">
        <f t="shared" si="4"/>
        <v>1287995.38</v>
      </c>
      <c r="N23" s="9">
        <f t="shared" si="14"/>
        <v>0</v>
      </c>
      <c r="O23" s="11">
        <f t="shared" si="15"/>
        <v>0</v>
      </c>
      <c r="P23" s="11">
        <f t="shared" si="7"/>
        <v>1287995.38</v>
      </c>
      <c r="Q23" s="11">
        <f t="shared" si="8"/>
        <v>1452084.849</v>
      </c>
      <c r="R23" s="11">
        <f t="shared" si="9"/>
        <v>5564389.142</v>
      </c>
      <c r="S23" s="6" t="str">
        <f t="shared" si="10"/>
        <v>Eye Shot</v>
      </c>
      <c r="T23" s="11">
        <f t="shared" si="16"/>
        <v>32268.5522</v>
      </c>
      <c r="U23" s="11"/>
      <c r="V23" s="6" t="str">
        <f t="shared" si="12"/>
        <v> </v>
      </c>
    </row>
    <row r="24">
      <c r="B24" s="1" t="s">
        <v>365</v>
      </c>
      <c r="C24" s="1">
        <v>0.25</v>
      </c>
      <c r="D24" s="1">
        <v>30.0</v>
      </c>
      <c r="E24" s="1">
        <v>24750.0</v>
      </c>
      <c r="F24" s="1">
        <v>38086.0</v>
      </c>
      <c r="K24" s="3"/>
      <c r="L24" s="9">
        <f t="shared" si="3"/>
        <v>333283.5</v>
      </c>
      <c r="M24" s="10">
        <f t="shared" si="4"/>
        <v>512866.076</v>
      </c>
      <c r="N24" s="9">
        <f t="shared" si="14"/>
        <v>0</v>
      </c>
      <c r="O24" s="11">
        <f t="shared" si="15"/>
        <v>0</v>
      </c>
      <c r="P24" s="11">
        <f t="shared" si="7"/>
        <v>512866.076</v>
      </c>
      <c r="Q24" s="11">
        <f t="shared" si="8"/>
        <v>574771.1375</v>
      </c>
      <c r="R24" s="11">
        <f t="shared" si="9"/>
        <v>1124884.065</v>
      </c>
      <c r="S24" s="6" t="str">
        <f t="shared" si="10"/>
        <v>Soulshot</v>
      </c>
      <c r="T24" s="11">
        <f t="shared" si="16"/>
        <v>19000.69876</v>
      </c>
      <c r="U24" s="11"/>
    </row>
    <row r="25">
      <c r="B25" s="1" t="s">
        <v>366</v>
      </c>
      <c r="C25" s="1">
        <v>0.5</v>
      </c>
      <c r="D25" s="1">
        <v>22.5</v>
      </c>
      <c r="E25" s="1">
        <v>8041.0</v>
      </c>
      <c r="F25" s="1">
        <v>12409.0</v>
      </c>
      <c r="J25" s="1">
        <v>1.0</v>
      </c>
      <c r="K25" s="7">
        <v>1.0</v>
      </c>
      <c r="L25" s="9">
        <f t="shared" si="3"/>
        <v>108280.106</v>
      </c>
      <c r="M25" s="10">
        <f t="shared" si="4"/>
        <v>167099.594</v>
      </c>
      <c r="N25" s="9">
        <f t="shared" si="14"/>
        <v>0</v>
      </c>
      <c r="O25" s="11">
        <f t="shared" si="15"/>
        <v>0</v>
      </c>
      <c r="P25" s="11">
        <f t="shared" si="7"/>
        <v>167099.594</v>
      </c>
      <c r="Q25" s="11">
        <f t="shared" si="8"/>
        <v>187163.0784</v>
      </c>
      <c r="R25" s="11">
        <f t="shared" si="9"/>
        <v>245956.4185</v>
      </c>
      <c r="S25" s="6" t="str">
        <f t="shared" si="10"/>
        <v>Snapshot</v>
      </c>
      <c r="T25" s="11">
        <f t="shared" si="16"/>
        <v>8137.525146</v>
      </c>
      <c r="U25" s="11"/>
    </row>
    <row r="26">
      <c r="B26" s="1" t="s">
        <v>367</v>
      </c>
      <c r="C26" s="1">
        <v>0.5</v>
      </c>
      <c r="D26" s="1">
        <v>5.0</v>
      </c>
      <c r="E26" s="1">
        <v>29895.0</v>
      </c>
      <c r="F26" s="1">
        <v>33030.0</v>
      </c>
      <c r="I26" s="2"/>
      <c r="K26" s="3"/>
      <c r="L26" s="9">
        <f t="shared" si="3"/>
        <v>402566.07</v>
      </c>
      <c r="M26" s="10">
        <f t="shared" si="4"/>
        <v>444781.98</v>
      </c>
      <c r="N26" s="9">
        <f t="shared" si="14"/>
        <v>0</v>
      </c>
      <c r="O26" s="11">
        <f t="shared" si="15"/>
        <v>0</v>
      </c>
      <c r="P26" s="11">
        <f t="shared" si="7"/>
        <v>444781.98</v>
      </c>
      <c r="Q26" s="11">
        <f t="shared" si="8"/>
        <v>552143.3437</v>
      </c>
      <c r="R26" s="11">
        <f t="shared" si="9"/>
        <v>725587.549</v>
      </c>
      <c r="S26" s="6" t="str">
        <f t="shared" si="10"/>
        <v>Uncontr Wrath</v>
      </c>
      <c r="T26" s="11">
        <f t="shared" si="16"/>
        <v>100389.6988</v>
      </c>
      <c r="U26" s="11"/>
    </row>
    <row r="27">
      <c r="B27" s="1">
        <v>2.0</v>
      </c>
      <c r="C27" s="1">
        <v>0.5</v>
      </c>
      <c r="D27" s="1">
        <v>5.0</v>
      </c>
      <c r="E27" s="6">
        <f>32055*1.20981</f>
        <v>38780.45955</v>
      </c>
      <c r="F27" s="6">
        <f>34708*1.2098</f>
        <v>41989.7384</v>
      </c>
      <c r="I27" s="2"/>
      <c r="K27" s="3"/>
      <c r="L27" s="9">
        <f t="shared" si="3"/>
        <v>522217.6683</v>
      </c>
      <c r="M27" s="10">
        <f t="shared" si="4"/>
        <v>565433.8173</v>
      </c>
      <c r="N27" s="9">
        <f t="shared" si="14"/>
        <v>0</v>
      </c>
      <c r="O27" s="11">
        <f t="shared" si="15"/>
        <v>0</v>
      </c>
      <c r="P27" s="11">
        <f t="shared" si="7"/>
        <v>565433.8173</v>
      </c>
      <c r="Q27" s="11">
        <f t="shared" si="8"/>
        <v>708089.5981</v>
      </c>
      <c r="R27" s="11">
        <f t="shared" si="9"/>
        <v>930521.0356</v>
      </c>
      <c r="S27" s="6">
        <f t="shared" si="10"/>
        <v>2</v>
      </c>
      <c r="T27" s="11">
        <f t="shared" si="16"/>
        <v>128743.5633</v>
      </c>
      <c r="U27" s="11"/>
    </row>
    <row r="28">
      <c r="B28" s="1" t="s">
        <v>362</v>
      </c>
      <c r="C28" s="1">
        <v>0.5</v>
      </c>
      <c r="D28" s="1">
        <v>0.0</v>
      </c>
      <c r="E28" s="1">
        <v>9770.0</v>
      </c>
      <c r="F28" s="1">
        <v>16284.0</v>
      </c>
      <c r="G28" s="6">
        <f t="shared" ref="G28:H28" si="18">E28</f>
        <v>9770</v>
      </c>
      <c r="H28" s="6">
        <f t="shared" si="18"/>
        <v>16284</v>
      </c>
      <c r="J28" s="1">
        <v>24.0</v>
      </c>
      <c r="K28" s="12">
        <f>1/4</f>
        <v>0.25</v>
      </c>
      <c r="L28" s="9">
        <f t="shared" si="3"/>
        <v>131562.82</v>
      </c>
      <c r="M28" s="10">
        <f t="shared" si="4"/>
        <v>219280.344</v>
      </c>
      <c r="N28" s="9">
        <f t="shared" si="14"/>
        <v>131562.82</v>
      </c>
      <c r="O28" s="11">
        <f t="shared" si="15"/>
        <v>219280.344</v>
      </c>
      <c r="P28" s="11">
        <f t="shared" si="7"/>
        <v>1534962.408</v>
      </c>
      <c r="Q28" s="11">
        <f t="shared" si="8"/>
        <v>1696122.739</v>
      </c>
      <c r="R28" s="11">
        <f t="shared" si="9"/>
        <v>2228923.984</v>
      </c>
      <c r="S28" s="6" t="str">
        <f t="shared" si="10"/>
        <v>Mist of Poison</v>
      </c>
      <c r="T28" s="11">
        <f t="shared" si="16"/>
        <v>69229.49956</v>
      </c>
      <c r="U28" s="11"/>
      <c r="V28" s="6" t="str">
        <f t="shared" ref="V28:V30" si="19">if(A28=1,MAX(R$11:R$42)/R28," ")</f>
        <v> </v>
      </c>
    </row>
    <row r="29">
      <c r="B29" s="1" t="s">
        <v>350</v>
      </c>
      <c r="C29" s="1">
        <v>0.5</v>
      </c>
      <c r="D29" s="1">
        <v>0.0</v>
      </c>
      <c r="E29" s="1">
        <v>53828.0</v>
      </c>
      <c r="F29" s="1">
        <v>86396.0</v>
      </c>
      <c r="I29" s="2"/>
      <c r="J29" s="1">
        <v>1.0</v>
      </c>
      <c r="K29" s="7">
        <v>1.0</v>
      </c>
      <c r="L29" s="9">
        <f t="shared" si="3"/>
        <v>724847.848</v>
      </c>
      <c r="M29" s="10">
        <f t="shared" si="4"/>
        <v>1163408.536</v>
      </c>
      <c r="N29" s="9">
        <f t="shared" si="14"/>
        <v>0</v>
      </c>
      <c r="O29" s="11">
        <f t="shared" si="15"/>
        <v>0</v>
      </c>
      <c r="P29" s="11">
        <f t="shared" si="7"/>
        <v>1163408.536</v>
      </c>
      <c r="Q29" s="11">
        <f t="shared" si="8"/>
        <v>1293574.852</v>
      </c>
      <c r="R29" s="11">
        <f t="shared" si="9"/>
        <v>1699924.153</v>
      </c>
      <c r="S29" s="6" t="str">
        <f t="shared" si="10"/>
        <v>Poison Bolt</v>
      </c>
      <c r="T29" s="11">
        <f t="shared" si="16"/>
        <v>2587149.703</v>
      </c>
      <c r="U29" s="11"/>
      <c r="V29" s="6" t="str">
        <f t="shared" si="19"/>
        <v> </v>
      </c>
    </row>
    <row r="30">
      <c r="A30" s="1">
        <v>1.0</v>
      </c>
      <c r="B30" s="1" t="s">
        <v>349</v>
      </c>
      <c r="C30" s="1">
        <v>0.5</v>
      </c>
      <c r="D30" s="1">
        <v>0.0</v>
      </c>
      <c r="E30" s="1">
        <v>17188.0</v>
      </c>
      <c r="F30" s="1">
        <v>28647.0</v>
      </c>
      <c r="K30" s="3"/>
      <c r="L30" s="9">
        <f t="shared" si="3"/>
        <v>231453.608</v>
      </c>
      <c r="M30" s="10">
        <f t="shared" si="4"/>
        <v>385760.502</v>
      </c>
      <c r="N30" s="9">
        <f t="shared" si="14"/>
        <v>0</v>
      </c>
      <c r="O30" s="11">
        <f t="shared" si="15"/>
        <v>0</v>
      </c>
      <c r="P30" s="11">
        <f t="shared" si="7"/>
        <v>385760.502</v>
      </c>
      <c r="Q30" s="11">
        <f t="shared" si="8"/>
        <v>3410116.711</v>
      </c>
      <c r="R30" s="11">
        <f t="shared" si="9"/>
        <v>4481333.071</v>
      </c>
      <c r="S30" s="6" t="str">
        <f t="shared" si="10"/>
        <v>Decimation</v>
      </c>
      <c r="T30" s="11">
        <f t="shared" si="16"/>
        <v>6820233.421</v>
      </c>
      <c r="U30" s="11"/>
      <c r="V30" s="6">
        <f t="shared" si="19"/>
        <v>4.075993822</v>
      </c>
    </row>
    <row r="31">
      <c r="G31" s="6">
        <f>G8/8904</f>
        <v>1.242812219</v>
      </c>
      <c r="H31" s="6">
        <f>H8/10463</f>
        <v>1.238650483</v>
      </c>
      <c r="I31" s="2"/>
      <c r="K31" s="3"/>
      <c r="L31" s="9"/>
      <c r="M31" s="10"/>
      <c r="N31" s="9"/>
      <c r="O31" s="11"/>
      <c r="P31" s="11"/>
      <c r="Q31" s="11"/>
      <c r="R31" s="11"/>
      <c r="T31" s="11"/>
      <c r="U31" s="11"/>
    </row>
    <row r="32">
      <c r="I32" s="2"/>
      <c r="K32" s="3"/>
      <c r="L32" s="9"/>
      <c r="M32" s="10"/>
      <c r="N32" s="9"/>
      <c r="O32" s="11"/>
      <c r="P32" s="11"/>
      <c r="Q32" s="11"/>
      <c r="R32" s="11"/>
      <c r="T32" s="11"/>
      <c r="U32" s="11"/>
    </row>
    <row r="33">
      <c r="F33" s="1">
        <v>1.24281221922731</v>
      </c>
      <c r="G33" s="1">
        <v>1.23865048265316</v>
      </c>
      <c r="K33" s="3"/>
      <c r="L33" s="9"/>
      <c r="M33" s="10"/>
      <c r="N33" s="9"/>
      <c r="O33" s="11"/>
      <c r="P33" s="11"/>
      <c r="Q33" s="11"/>
      <c r="R33" s="11"/>
      <c r="T33" s="11"/>
      <c r="U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  <c r="U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  <c r="U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  <c r="U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  <c r="U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  <c r="U38" s="11"/>
    </row>
    <row r="39">
      <c r="K39" s="3"/>
      <c r="L39" s="9"/>
      <c r="M39" s="10"/>
      <c r="N39" s="9"/>
      <c r="O39" s="46"/>
      <c r="P39" s="11"/>
      <c r="Q39" s="11"/>
      <c r="R39" s="11"/>
      <c r="T39" s="11"/>
      <c r="U39" s="11"/>
    </row>
    <row r="40">
      <c r="K40" s="3"/>
      <c r="L40" s="9"/>
      <c r="M40" s="10"/>
      <c r="N40" s="9"/>
      <c r="O40" s="11"/>
      <c r="P40" s="11"/>
      <c r="Q40" s="11"/>
      <c r="R40" s="11"/>
      <c r="T40" s="11"/>
      <c r="U40" s="11"/>
    </row>
    <row r="41">
      <c r="K41" s="3"/>
      <c r="L41" s="9"/>
      <c r="M41" s="10"/>
      <c r="N41" s="9"/>
      <c r="O41" s="11"/>
      <c r="P41" s="11"/>
      <c r="Q41" s="11"/>
      <c r="R41" s="11"/>
      <c r="T41" s="11"/>
      <c r="U41" s="11"/>
    </row>
    <row r="42">
      <c r="K42" s="3"/>
      <c r="L42" s="9"/>
      <c r="M42" s="10"/>
      <c r="N42" s="9"/>
      <c r="O42" s="11"/>
      <c r="P42" s="11"/>
      <c r="Q42" s="11"/>
      <c r="R42" s="11"/>
      <c r="T42" s="11"/>
      <c r="U42" s="11"/>
    </row>
    <row r="43">
      <c r="K43" s="3"/>
      <c r="L43" s="9"/>
      <c r="M43" s="10"/>
      <c r="N43" s="9"/>
      <c r="O43" s="11"/>
      <c r="P43" s="11"/>
      <c r="Q43" s="11"/>
      <c r="R43" s="11"/>
      <c r="T43" s="11"/>
      <c r="U43" s="11"/>
    </row>
    <row r="44">
      <c r="K44" s="3"/>
      <c r="L44" s="9"/>
      <c r="M44" s="10"/>
      <c r="N44" s="9"/>
      <c r="O44" s="11"/>
      <c r="P44" s="11"/>
      <c r="Q44" s="11"/>
      <c r="R44" s="11"/>
      <c r="T44" s="11">
        <f>SUM(T8:T23)</f>
        <v>5101706.859</v>
      </c>
      <c r="U44" s="13">
        <v>437355.37422036</v>
      </c>
    </row>
    <row r="45">
      <c r="K45" s="3"/>
      <c r="L45" s="9"/>
      <c r="M45" s="10"/>
      <c r="N45" s="9"/>
      <c r="O45" s="11"/>
      <c r="P45" s="11"/>
      <c r="Q45" s="11"/>
      <c r="R45" s="11"/>
      <c r="T45" s="11">
        <f>SUM(T48:T63)</f>
        <v>9322846.443</v>
      </c>
      <c r="U45" s="11">
        <f>T45-T44</f>
        <v>4221139.584</v>
      </c>
    </row>
    <row r="46">
      <c r="U46" s="2">
        <f>Average(U48:U63)</f>
        <v>0.8049215556</v>
      </c>
    </row>
    <row r="47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13</v>
      </c>
      <c r="I47" s="5" t="s">
        <v>14</v>
      </c>
      <c r="J47" s="1" t="s">
        <v>15</v>
      </c>
      <c r="K47" s="7" t="s">
        <v>16</v>
      </c>
      <c r="L47" s="8" t="s">
        <v>17</v>
      </c>
      <c r="M47" s="1" t="s">
        <v>18</v>
      </c>
      <c r="N47" s="1" t="s">
        <v>19</v>
      </c>
      <c r="O47" s="1" t="s">
        <v>20</v>
      </c>
      <c r="P47" s="1" t="s">
        <v>21</v>
      </c>
      <c r="Q47" s="1" t="s">
        <v>22</v>
      </c>
      <c r="R47" s="1" t="s">
        <v>23</v>
      </c>
      <c r="T47" s="1" t="s">
        <v>69</v>
      </c>
      <c r="U47" s="1" t="s">
        <v>368</v>
      </c>
    </row>
    <row r="48">
      <c r="A48" s="6" t="str">
        <f t="shared" ref="A48:D48" si="20">A8</f>
        <v/>
      </c>
      <c r="B48" s="6" t="str">
        <f t="shared" si="20"/>
        <v>Brainburst</v>
      </c>
      <c r="C48" s="6">
        <f t="shared" si="20"/>
        <v>0.5</v>
      </c>
      <c r="D48" s="6">
        <f t="shared" si="20"/>
        <v>4</v>
      </c>
      <c r="E48" s="11">
        <f t="shared" ref="E48:F48" si="21">IF(OR($B48="Construct's Sac",$B48="Mist of Poison"),E8*($C$2/$B$2),(IF(((IF($A8=1,if(E8-1/3*$B$6&lt;(E8*2/3),E8*2/3,E8-1/3*$B$6),if(E8-$B$6&lt;(E8*2/3),E8*2/3,E8-$B$6)))/$B$2*$C$2)*1.5&lt;(((IF($A8=1,if(E8-1/3*$B$6&lt;(E8*2/3),E8*2/3,E8-1/3*$B$6),if(E8-$B$6&lt;(E8*2/3),E8*2/3,E8-$B$6)))/$B$2*$C$2)+IF($A8=1,1/3,1)*$C$6),((IF($A8=1,if(E8-1/3*$B$6&lt;(E8*2/3),E8*2/3,E8-1/3*$B$6),if(E8-$B$6&lt;(E8*2/3),E8*2/3,E8-$B$6)))/$B$2*$C$2)*1.5,((IF($A8=1,if(E8-1/3*$B$6&lt;(E8*2/3),E8*2/3,E8-1/3*$B$6),if(E8-$B$6&lt;(E8*2/3),E8*2/3,E8-$B$6)))/$B$2*$C$2)+IF($A8=1,1/3,1)*$C$6)))</f>
        <v>41944.45235</v>
      </c>
      <c r="F48" s="11">
        <f t="shared" si="21"/>
        <v>44147.38124</v>
      </c>
      <c r="G48" s="11">
        <f t="shared" ref="G48:H48" si="22">G8*$C$2/$B$2</f>
        <v>12870.96679</v>
      </c>
      <c r="H48" s="11">
        <f t="shared" si="22"/>
        <v>15073.89568</v>
      </c>
      <c r="I48" s="6" t="str">
        <f t="shared" ref="I48:K48" si="23">I8</f>
        <v/>
      </c>
      <c r="J48" s="6">
        <f t="shared" si="23"/>
        <v>14</v>
      </c>
      <c r="K48" s="12">
        <f t="shared" si="23"/>
        <v>0.4347826087</v>
      </c>
      <c r="L48" s="9">
        <f t="shared" ref="L48:L65" si="28">(1+$D$2)*if(E48*($C$1+$I48)&lt;(F48+1),F48+1,E48*($I48+$C$1))</f>
        <v>1142158.242</v>
      </c>
      <c r="M48" s="10">
        <f t="shared" ref="M48:M65" si="29">(1+$D$2)*F48*($C$1+$I48)</f>
        <v>1202144.563</v>
      </c>
      <c r="N48" s="9">
        <f t="shared" ref="N48:N65" si="30">(1+$D$2)*(IF($S48="Shatter Rain",$B$5,1))*(if(if(G48*($C$1+$I48)&lt;(H48+1),H48+1,G48*($I48+$C$1))=1,0,if(G48*($C$1+$I48)&lt;(H48+1),H48+1,G48*($I48+$C$1))))</f>
        <v>350479.7411</v>
      </c>
      <c r="O48" s="11">
        <f t="shared" ref="O48:O65" si="31">(1+$D$2)*(IF($S48="Shatter Rain",$B$5,1))*(H48*($C$1+$I48))</f>
        <v>410466.0623</v>
      </c>
      <c r="P48" s="11">
        <f t="shared" ref="P48:P65" si="32">M48+O48*K48*J48</f>
        <v>3700633.638</v>
      </c>
      <c r="Q48" s="11">
        <f t="shared" ref="Q48:Q65" si="33">(if($A48=1,$B$5,1)*((L48*E48+F48*M48)/(E48+F48)+if(G48&gt;0,(N48*G48+H48*O48)/(G48+H48)*J48*K48,0)))</f>
        <v>3503232.875</v>
      </c>
      <c r="R48" s="11">
        <f t="shared" ref="R48:R65" si="34">Q48/(C48+0.5*(1/(1+$C$3)))</f>
        <v>4603699.718</v>
      </c>
      <c r="S48" s="6" t="str">
        <f t="shared" ref="S48:S65" si="35">B48</f>
        <v>Brainburst</v>
      </c>
      <c r="T48" s="11">
        <f t="shared" ref="T48:T65" si="36">$Q48/(($C48+IF($D48&lt;=$J48,if($J48&gt;1,$J48,$D48),$D48)))</f>
        <v>241602.2672</v>
      </c>
      <c r="U48" s="2">
        <f t="shared" ref="U48:U65" si="37">(T48-T8)/T8</f>
        <v>0.7854909867</v>
      </c>
    </row>
    <row r="49">
      <c r="A49" s="6" t="str">
        <f t="shared" ref="A49:D49" si="24">A9</f>
        <v/>
      </c>
      <c r="B49" s="6" t="str">
        <f t="shared" si="24"/>
        <v>Theorems</v>
      </c>
      <c r="C49" s="6">
        <f t="shared" si="24"/>
        <v>0.75</v>
      </c>
      <c r="D49" s="6">
        <f t="shared" si="24"/>
        <v>10</v>
      </c>
      <c r="E49" s="11">
        <f t="shared" ref="E49:F49" si="25">IF(OR($B49="Construct's Sac",$B49="Mist of Poison"),E9*($C$2/$B$2),(IF(((IF($A9=1,if(E9-1/3*$B$6&lt;(E9*2/3),E9*2/3,E9-1/3*$B$6),if(E9-$B$6&lt;(E9*2/3),E9*2/3,E9-$B$6)))/$B$2*$C$2)*1.5&lt;(((IF($A9=1,if(E9-1/3*$B$6&lt;(E9*2/3),E9*2/3,E9-1/3*$B$6),if(E9-$B$6&lt;(E9*2/3),E9*2/3,E9-$B$6)))/$B$2*$C$2)+IF($A9=1,1/3,1)*$C$6),((IF($A9=1,if(E9-1/3*$B$6&lt;(E9*2/3),E9*2/3,E9-1/3*$B$6),if(E9-$B$6&lt;(E9*2/3),E9*2/3,E9-$B$6)))/$B$2*$C$2)*1.5,((IF($A9=1,if(E9-1/3*$B$6&lt;(E9*2/3),E9*2/3,E9-1/3*$B$6),if(E9-$B$6&lt;(E9*2/3),E9*2/3,E9-$B$6)))/$B$2*$C$2)+IF($A9=1,1/3,1)*$C$6)))</f>
        <v>58137.15617</v>
      </c>
      <c r="F49" s="11">
        <f t="shared" si="25"/>
        <v>68383.16039</v>
      </c>
      <c r="G49" s="11">
        <f t="shared" ref="G49:H49" si="26">G9*$C$2/$B$2</f>
        <v>59847.68271</v>
      </c>
      <c r="H49" s="11">
        <f t="shared" si="26"/>
        <v>70093.68693</v>
      </c>
      <c r="I49" s="6" t="str">
        <f t="shared" ref="I49:K49" si="27">I9</f>
        <v/>
      </c>
      <c r="J49" s="6">
        <f t="shared" si="27"/>
        <v>1</v>
      </c>
      <c r="K49" s="12">
        <f t="shared" si="27"/>
        <v>5</v>
      </c>
      <c r="L49" s="9">
        <f t="shared" si="28"/>
        <v>1583089.739</v>
      </c>
      <c r="M49" s="10">
        <f t="shared" si="29"/>
        <v>1862091.073</v>
      </c>
      <c r="N49" s="9">
        <f t="shared" si="30"/>
        <v>1629667.817</v>
      </c>
      <c r="O49" s="11">
        <f t="shared" si="31"/>
        <v>1908669.151</v>
      </c>
      <c r="P49" s="11">
        <f t="shared" si="32"/>
        <v>11405436.83</v>
      </c>
      <c r="Q49" s="11">
        <f t="shared" si="33"/>
        <v>10634728.84</v>
      </c>
      <c r="R49" s="11">
        <f t="shared" si="34"/>
        <v>10519432.35</v>
      </c>
      <c r="S49" s="6" t="str">
        <f t="shared" si="35"/>
        <v>Theorems</v>
      </c>
      <c r="T49" s="11">
        <f t="shared" si="36"/>
        <v>989277.1014</v>
      </c>
      <c r="U49" s="2">
        <f t="shared" si="37"/>
        <v>1.341789009</v>
      </c>
    </row>
    <row r="50">
      <c r="A50" s="6" t="str">
        <f t="shared" ref="A50:D50" si="38">A10</f>
        <v/>
      </c>
      <c r="B50" s="6" t="str">
        <f t="shared" si="38"/>
        <v>Speechless</v>
      </c>
      <c r="C50" s="6">
        <f t="shared" si="38"/>
        <v>1</v>
      </c>
      <c r="D50" s="6">
        <f t="shared" si="38"/>
        <v>12.5</v>
      </c>
      <c r="E50" s="11">
        <f t="shared" ref="E50:F50" si="39">IF(OR($B50="Construct's Sac",$B50="Mist of Poison"),E10*($C$2/$B$2),(IF(((IF($A10=1,if(E10-1/3*$B$6&lt;(E10*2/3),E10*2/3,E10-1/3*$B$6),if(E10-$B$6&lt;(E10*2/3),E10*2/3,E10-$B$6)))/$B$2*$C$2)*1.5&lt;(((IF($A10=1,if(E10-1/3*$B$6&lt;(E10*2/3),E10*2/3,E10-1/3*$B$6),if(E10-$B$6&lt;(E10*2/3),E10*2/3,E10-$B$6)))/$B$2*$C$2)+IF($A10=1,1/3,1)*$C$6),((IF($A10=1,if(E10-1/3*$B$6&lt;(E10*2/3),E10*2/3,E10-1/3*$B$6),if(E10-$B$6&lt;(E10*2/3),E10*2/3,E10-$B$6)))/$B$2*$C$2)*1.5,((IF($A10=1,if(E10-1/3*$B$6&lt;(E10*2/3),E10*2/3,E10-1/3*$B$6),if(E10-$B$6&lt;(E10*2/3),E10*2/3,E10-$B$6)))/$B$2*$C$2)+IF($A10=1,1/3,1)*$C$6)))</f>
        <v>50632.87833</v>
      </c>
      <c r="F50" s="11">
        <f t="shared" si="39"/>
        <v>59830.74615</v>
      </c>
      <c r="G50" s="11">
        <f t="shared" ref="G50:H50" si="40">G10*$C$2/$B$2</f>
        <v>0</v>
      </c>
      <c r="H50" s="11">
        <f t="shared" si="40"/>
        <v>0</v>
      </c>
      <c r="I50" s="6" t="str">
        <f t="shared" ref="I50:K50" si="41">I10</f>
        <v/>
      </c>
      <c r="J50" s="6" t="str">
        <f t="shared" si="41"/>
        <v/>
      </c>
      <c r="K50" s="12" t="str">
        <f t="shared" si="41"/>
        <v/>
      </c>
      <c r="L50" s="9">
        <f t="shared" si="28"/>
        <v>1378746.32</v>
      </c>
      <c r="M50" s="10">
        <f t="shared" si="29"/>
        <v>1629206.63</v>
      </c>
      <c r="N50" s="9">
        <f t="shared" si="30"/>
        <v>0</v>
      </c>
      <c r="O50" s="11">
        <f t="shared" si="31"/>
        <v>0</v>
      </c>
      <c r="P50" s="11">
        <f t="shared" si="32"/>
        <v>1629206.63</v>
      </c>
      <c r="Q50" s="11">
        <f t="shared" si="33"/>
        <v>1514403.893</v>
      </c>
      <c r="R50" s="11">
        <f t="shared" si="34"/>
        <v>1200992.492</v>
      </c>
      <c r="S50" s="6" t="str">
        <f t="shared" si="35"/>
        <v>Speechless</v>
      </c>
      <c r="T50" s="11">
        <f t="shared" si="36"/>
        <v>112178.0662</v>
      </c>
      <c r="U50" s="2">
        <f t="shared" si="37"/>
        <v>0.7555826417</v>
      </c>
    </row>
    <row r="51">
      <c r="A51" s="6" t="str">
        <f t="shared" ref="A51:D51" si="42">A11</f>
        <v/>
      </c>
      <c r="B51" s="6" t="str">
        <f t="shared" si="42"/>
        <v>Prismatic Chaos</v>
      </c>
      <c r="C51" s="6">
        <f t="shared" si="42"/>
        <v>1</v>
      </c>
      <c r="D51" s="6">
        <f t="shared" si="42"/>
        <v>7.5</v>
      </c>
      <c r="E51" s="11">
        <f t="shared" ref="E51:F51" si="43">IF(OR($B51="Construct's Sac",$B51="Mist of Poison"),E11*($C$2/$B$2),(IF(((IF($A11=1,if(E11-1/3*$B$6&lt;(E11*2/3),E11*2/3,E11-1/3*$B$6),if(E11-$B$6&lt;(E11*2/3),E11*2/3,E11-$B$6)))/$B$2*$C$2)*1.5&lt;(((IF($A11=1,if(E11-1/3*$B$6&lt;(E11*2/3),E11*2/3,E11-1/3*$B$6),if(E11-$B$6&lt;(E11*2/3),E11*2/3,E11-$B$6)))/$B$2*$C$2)+IF($A11=1,1/3,1)*$C$6),((IF($A11=1,if(E11-1/3*$B$6&lt;(E11*2/3),E11*2/3,E11-1/3*$B$6),if(E11-$B$6&lt;(E11*2/3),E11*2/3,E11-$B$6)))/$B$2*$C$2)*1.5,((IF($A11=1,if(E11-1/3*$B$6&lt;(E11*2/3),E11*2/3,E11-1/3*$B$6),if(E11-$B$6&lt;(E11*2/3),E11*2/3,E11-$B$6)))/$B$2*$C$2)+IF($A11=1,1/3,1)*$C$6)))</f>
        <v>28864.88187</v>
      </c>
      <c r="F51" s="11">
        <f t="shared" si="43"/>
        <v>33111.80082</v>
      </c>
      <c r="G51" s="11">
        <f t="shared" ref="G51:H51" si="44">G11*$C$2/$B$2</f>
        <v>28864.88187</v>
      </c>
      <c r="H51" s="11">
        <f t="shared" si="44"/>
        <v>33937.20124</v>
      </c>
      <c r="I51" s="6" t="str">
        <f t="shared" ref="I51:K51" si="45">I11</f>
        <v/>
      </c>
      <c r="J51" s="6">
        <f t="shared" si="45"/>
        <v>1</v>
      </c>
      <c r="K51" s="12">
        <f t="shared" si="45"/>
        <v>5</v>
      </c>
      <c r="L51" s="9">
        <f t="shared" si="28"/>
        <v>785998.1688</v>
      </c>
      <c r="M51" s="10">
        <f t="shared" si="29"/>
        <v>901642.866</v>
      </c>
      <c r="N51" s="9">
        <f t="shared" si="30"/>
        <v>785998.1688</v>
      </c>
      <c r="O51" s="11">
        <f t="shared" si="31"/>
        <v>924118.7319</v>
      </c>
      <c r="P51" s="11">
        <f t="shared" si="32"/>
        <v>5522236.526</v>
      </c>
      <c r="Q51" s="11">
        <f t="shared" si="33"/>
        <v>5150963.883</v>
      </c>
      <c r="R51" s="11">
        <f t="shared" si="34"/>
        <v>4084953.145</v>
      </c>
      <c r="S51" s="6" t="str">
        <f t="shared" si="35"/>
        <v>Prismatic Chaos</v>
      </c>
      <c r="T51" s="11">
        <f t="shared" si="36"/>
        <v>605995.7509</v>
      </c>
      <c r="U51" s="2">
        <f t="shared" si="37"/>
        <v>1.346125697</v>
      </c>
    </row>
    <row r="52">
      <c r="A52" s="6">
        <f t="shared" ref="A52:D52" si="46">A12</f>
        <v>1</v>
      </c>
      <c r="B52" s="6" t="str">
        <f t="shared" si="46"/>
        <v>Chromatic Storm</v>
      </c>
      <c r="C52" s="6">
        <f t="shared" si="46"/>
        <v>1</v>
      </c>
      <c r="D52" s="6">
        <f t="shared" si="46"/>
        <v>0</v>
      </c>
      <c r="E52" s="11">
        <f t="shared" ref="E52:F52" si="47">IF(OR($B52="Construct's Sac",$B52="Mist of Poison"),E12*($C$2/$B$2),(IF(((IF($A12=1,if(E12-1/3*$B$6&lt;(E12*2/3),E12*2/3,E12-1/3*$B$6),if(E12-$B$6&lt;(E12*2/3),E12*2/3,E12-$B$6)))/$B$2*$C$2)*1.5&lt;(((IF($A12=1,if(E12-1/3*$B$6&lt;(E12*2/3),E12*2/3,E12-1/3*$B$6),if(E12-$B$6&lt;(E12*2/3),E12*2/3,E12-$B$6)))/$B$2*$C$2)+IF($A12=1,1/3,1)*$C$6),((IF($A12=1,if(E12-1/3*$B$6&lt;(E12*2/3),E12*2/3,E12-1/3*$B$6),if(E12-$B$6&lt;(E12*2/3),E12*2/3,E12-$B$6)))/$B$2*$C$2)*1.5,((IF($A12=1,if(E12-1/3*$B$6&lt;(E12*2/3),E12*2/3,E12-1/3*$B$6),if(E12-$B$6&lt;(E12*2/3),E12*2/3,E12-$B$6)))/$B$2*$C$2)+IF($A12=1,1/3,1)*$C$6)))</f>
        <v>29167.03828</v>
      </c>
      <c r="F52" s="11">
        <f t="shared" si="47"/>
        <v>30832.6107</v>
      </c>
      <c r="G52" s="11">
        <f t="shared" ref="G52:H52" si="48">G12*$C$2/$B$2</f>
        <v>5686.441046</v>
      </c>
      <c r="H52" s="11">
        <f t="shared" si="48"/>
        <v>6685.551878</v>
      </c>
      <c r="I52" s="6" t="str">
        <f t="shared" ref="I52:K52" si="49">I12</f>
        <v/>
      </c>
      <c r="J52" s="6">
        <f t="shared" si="49"/>
        <v>6</v>
      </c>
      <c r="K52" s="12">
        <f t="shared" si="49"/>
        <v>0.9090909091</v>
      </c>
      <c r="L52" s="9">
        <f t="shared" si="28"/>
        <v>794225.9658</v>
      </c>
      <c r="M52" s="10">
        <f t="shared" si="29"/>
        <v>839579.9319</v>
      </c>
      <c r="N52" s="9">
        <f t="shared" si="30"/>
        <v>154843.2545</v>
      </c>
      <c r="O52" s="11">
        <f t="shared" si="31"/>
        <v>182049.2998</v>
      </c>
      <c r="P52" s="11">
        <f t="shared" si="32"/>
        <v>1832576.113</v>
      </c>
      <c r="Q52" s="11">
        <f t="shared" si="33"/>
        <v>13938578.22</v>
      </c>
      <c r="R52" s="11">
        <f t="shared" si="34"/>
        <v>11053938.69</v>
      </c>
      <c r="S52" s="6" t="str">
        <f t="shared" si="35"/>
        <v>Chromatic Storm</v>
      </c>
      <c r="T52" s="11">
        <f t="shared" si="36"/>
        <v>1991225.461</v>
      </c>
      <c r="U52" s="2">
        <f t="shared" si="37"/>
        <v>0.7932477198</v>
      </c>
    </row>
    <row r="53">
      <c r="A53" s="6" t="str">
        <f t="shared" ref="A53:D53" si="50">A13</f>
        <v/>
      </c>
      <c r="B53" s="6" t="str">
        <f t="shared" si="50"/>
        <v>Nightmare</v>
      </c>
      <c r="C53" s="6">
        <f t="shared" si="50"/>
        <v>0.5</v>
      </c>
      <c r="D53" s="6">
        <f t="shared" si="50"/>
        <v>3</v>
      </c>
      <c r="E53" s="11">
        <f t="shared" ref="E53:F53" si="51">IF(OR($B53="Construct's Sac",$B53="Mist of Poison"),E13*($C$2/$B$2),(IF(((IF($A13=1,if(E13-1/3*$B$6&lt;(E13*2/3),E13*2/3,E13-1/3*$B$6),if(E13-$B$6&lt;(E13*2/3),E13*2/3,E13-$B$6)))/$B$2*$C$2)*1.5&lt;(((IF($A13=1,if(E13-1/3*$B$6&lt;(E13*2/3),E13*2/3,E13-1/3*$B$6),if(E13-$B$6&lt;(E13*2/3),E13*2/3,E13-$B$6)))/$B$2*$C$2)+IF($A13=1,1/3,1)*$C$6),((IF($A13=1,if(E13-1/3*$B$6&lt;(E13*2/3),E13*2/3,E13-1/3*$B$6),if(E13-$B$6&lt;(E13*2/3),E13*2/3,E13-$B$6)))/$B$2*$C$2)*1.5,((IF($A13=1,if(E13-1/3*$B$6&lt;(E13*2/3),E13*2/3,E13-1/3*$B$6),if(E13-$B$6&lt;(E13*2/3),E13*2/3,E13-$B$6)))/$B$2*$C$2)+IF($A13=1,1/3,1)*$C$6)))</f>
        <v>20375.34757</v>
      </c>
      <c r="F53" s="11">
        <f t="shared" si="51"/>
        <v>23955.39779</v>
      </c>
      <c r="G53" s="11">
        <f t="shared" ref="G53:H53" si="52">G13*$C$2/$B$2</f>
        <v>5821.361717</v>
      </c>
      <c r="H53" s="11">
        <f t="shared" si="52"/>
        <v>6844.897843</v>
      </c>
      <c r="I53" s="6" t="str">
        <f t="shared" ref="I53:K53" si="53">I13</f>
        <v/>
      </c>
      <c r="J53" s="6">
        <f t="shared" si="53"/>
        <v>24</v>
      </c>
      <c r="K53" s="12">
        <f t="shared" si="53"/>
        <v>0.25</v>
      </c>
      <c r="L53" s="9">
        <f t="shared" si="28"/>
        <v>554825.9629</v>
      </c>
      <c r="M53" s="10">
        <f t="shared" si="29"/>
        <v>652311.6527</v>
      </c>
      <c r="N53" s="9">
        <f t="shared" si="30"/>
        <v>158517.1791</v>
      </c>
      <c r="O53" s="11">
        <f t="shared" si="31"/>
        <v>186388.3315</v>
      </c>
      <c r="P53" s="11">
        <f t="shared" si="32"/>
        <v>1770641.642</v>
      </c>
      <c r="Q53" s="11">
        <f t="shared" si="33"/>
        <v>1648978.344</v>
      </c>
      <c r="R53" s="11">
        <f t="shared" si="34"/>
        <v>2166970.17</v>
      </c>
      <c r="S53" s="6" t="str">
        <f t="shared" si="35"/>
        <v>Nightmare</v>
      </c>
      <c r="T53" s="11">
        <f t="shared" si="36"/>
        <v>67305.23854</v>
      </c>
      <c r="U53" s="2">
        <f t="shared" si="37"/>
        <v>-0.6662646665</v>
      </c>
    </row>
    <row r="54">
      <c r="A54" s="6">
        <f t="shared" ref="A54:D54" si="54">A14</f>
        <v>1</v>
      </c>
      <c r="B54" s="6" t="str">
        <f t="shared" si="54"/>
        <v>Chromatic Shower</v>
      </c>
      <c r="C54" s="6">
        <f t="shared" si="54"/>
        <v>1.25</v>
      </c>
      <c r="D54" s="6">
        <f t="shared" si="54"/>
        <v>10</v>
      </c>
      <c r="E54" s="11">
        <f t="shared" ref="E54:F54" si="55">IF(OR($B54="Construct's Sac",$B54="Mist of Poison"),E14*($C$2/$B$2),(IF(((IF($A14=1,if(E14-1/3*$B$6&lt;(E14*2/3),E14*2/3,E14-1/3*$B$6),if(E14-$B$6&lt;(E14*2/3),E14*2/3,E14-$B$6)))/$B$2*$C$2)*1.5&lt;(((IF($A14=1,if(E14-1/3*$B$6&lt;(E14*2/3),E14*2/3,E14-1/3*$B$6),if(E14-$B$6&lt;(E14*2/3),E14*2/3,E14-$B$6)))/$B$2*$C$2)+IF($A14=1,1/3,1)*$C$6),((IF($A14=1,if(E14-1/3*$B$6&lt;(E14*2/3),E14*2/3,E14-1/3*$B$6),if(E14-$B$6&lt;(E14*2/3),E14*2/3,E14-$B$6)))/$B$2*$C$2)*1.5,((IF($A14=1,if(E14-1/3*$B$6&lt;(E14*2/3),E14*2/3,E14-1/3*$B$6),if(E14-$B$6&lt;(E14*2/3),E14*2/3,E14-$B$6)))/$B$2*$C$2)+IF($A14=1,1/3,1)*$C$6)))</f>
        <v>44995.79185</v>
      </c>
      <c r="F54" s="11">
        <f t="shared" si="55"/>
        <v>47555.79527</v>
      </c>
      <c r="G54" s="11">
        <f t="shared" ref="G54:H54" si="56">G14*$C$2/$B$2</f>
        <v>14564.45383</v>
      </c>
      <c r="H54" s="11">
        <f t="shared" si="56"/>
        <v>17124.45726</v>
      </c>
      <c r="I54" s="6" t="str">
        <f t="shared" ref="I54:K54" si="57">I14</f>
        <v/>
      </c>
      <c r="J54" s="6">
        <f t="shared" si="57"/>
        <v>5</v>
      </c>
      <c r="K54" s="12">
        <f t="shared" si="57"/>
        <v>1.428571429</v>
      </c>
      <c r="L54" s="9">
        <f t="shared" si="28"/>
        <v>1225247.003</v>
      </c>
      <c r="M54" s="10">
        <f t="shared" si="29"/>
        <v>1294956.556</v>
      </c>
      <c r="N54" s="9">
        <f t="shared" si="30"/>
        <v>396593.8296</v>
      </c>
      <c r="O54" s="11">
        <f t="shared" si="31"/>
        <v>466303.3823</v>
      </c>
      <c r="P54" s="11">
        <f t="shared" si="32"/>
        <v>4625695.001</v>
      </c>
      <c r="Q54" s="11">
        <f t="shared" si="33"/>
        <v>34903633.57</v>
      </c>
      <c r="R54" s="11">
        <f t="shared" si="34"/>
        <v>23100297.73</v>
      </c>
      <c r="S54" s="6" t="str">
        <f t="shared" si="35"/>
        <v>Chromatic Shower</v>
      </c>
      <c r="T54" s="11">
        <f t="shared" si="36"/>
        <v>3102545.206</v>
      </c>
      <c r="U54" s="2">
        <f t="shared" si="37"/>
        <v>0.8446235599</v>
      </c>
    </row>
    <row r="55">
      <c r="A55" s="6" t="str">
        <f t="shared" ref="A55:D55" si="58">A15</f>
        <v/>
      </c>
      <c r="B55" s="6" t="str">
        <f t="shared" si="58"/>
        <v>Mana Cloak</v>
      </c>
      <c r="C55" s="6">
        <f t="shared" si="58"/>
        <v>1</v>
      </c>
      <c r="D55" s="6">
        <f t="shared" si="58"/>
        <v>90</v>
      </c>
      <c r="E55" s="11">
        <f t="shared" ref="E55:F55" si="59">IF(OR($B55="Construct's Sac",$B55="Mist of Poison"),E15*($C$2/$B$2),(IF(((IF($A15=1,if(E15-1/3*$B$6&lt;(E15*2/3),E15*2/3,E15-1/3*$B$6),if(E15-$B$6&lt;(E15*2/3),E15*2/3,E15-$B$6)))/$B$2*$C$2)*1.5&lt;(((IF($A15=1,if(E15-1/3*$B$6&lt;(E15*2/3),E15*2/3,E15-1/3*$B$6),if(E15-$B$6&lt;(E15*2/3),E15*2/3,E15-$B$6)))/$B$2*$C$2)+IF($A15=1,1/3,1)*$C$6),((IF($A15=1,if(E15-1/3*$B$6&lt;(E15*2/3),E15*2/3,E15-1/3*$B$6),if(E15-$B$6&lt;(E15*2/3),E15*2/3,E15-$B$6)))/$B$2*$C$2)*1.5,((IF($A15=1,if(E15-1/3*$B$6&lt;(E15*2/3),E15*2/3,E15-1/3*$B$6),if(E15-$B$6&lt;(E15*2/3),E15*2/3,E15-$B$6)))/$B$2*$C$2)+IF($A15=1,1/3,1)*$C$6)))</f>
        <v>10845.99361</v>
      </c>
      <c r="F55" s="11">
        <f t="shared" si="59"/>
        <v>14469.07887</v>
      </c>
      <c r="G55" s="11">
        <f t="shared" ref="G55:H55" si="60">G15*$C$2/$B$2</f>
        <v>10845.99361</v>
      </c>
      <c r="H55" s="11">
        <f t="shared" si="60"/>
        <v>14469.07887</v>
      </c>
      <c r="I55" s="6" t="str">
        <f t="shared" ref="I55:K55" si="61">I15</f>
        <v/>
      </c>
      <c r="J55" s="6">
        <f t="shared" si="61"/>
        <v>17</v>
      </c>
      <c r="K55" s="12">
        <f t="shared" si="61"/>
        <v>1</v>
      </c>
      <c r="L55" s="9">
        <f t="shared" si="28"/>
        <v>295339.1999</v>
      </c>
      <c r="M55" s="10">
        <f t="shared" si="29"/>
        <v>393996.745</v>
      </c>
      <c r="N55" s="9">
        <f t="shared" si="30"/>
        <v>295339.1999</v>
      </c>
      <c r="O55" s="11">
        <f t="shared" si="31"/>
        <v>393996.745</v>
      </c>
      <c r="P55" s="11">
        <f t="shared" si="32"/>
        <v>7091941.409</v>
      </c>
      <c r="Q55" s="11">
        <f t="shared" si="33"/>
        <v>6331102.037</v>
      </c>
      <c r="R55" s="11">
        <f t="shared" si="34"/>
        <v>5020857.41</v>
      </c>
      <c r="S55" s="6" t="str">
        <f t="shared" si="35"/>
        <v>Mana Cloak</v>
      </c>
      <c r="T55" s="11">
        <f t="shared" si="36"/>
        <v>69572.54986</v>
      </c>
      <c r="U55" s="2">
        <f t="shared" si="37"/>
        <v>1.351980103</v>
      </c>
    </row>
    <row r="56">
      <c r="A56" s="6">
        <f t="shared" ref="A56:D56" si="62">A16</f>
        <v>1</v>
      </c>
      <c r="B56" s="6" t="str">
        <f t="shared" si="62"/>
        <v>Seeking Cascade</v>
      </c>
      <c r="C56" s="6">
        <f t="shared" si="62"/>
        <v>0.25</v>
      </c>
      <c r="D56" s="6">
        <f t="shared" si="62"/>
        <v>22.5</v>
      </c>
      <c r="E56" s="11">
        <f t="shared" ref="E56:F56" si="63">IF(OR($B56="Construct's Sac",$B56="Mist of Poison"),E16*($C$2/$B$2),(IF(((IF($A16=1,if(E16-1/3*$B$6&lt;(E16*2/3),E16*2/3,E16-1/3*$B$6),if(E16-$B$6&lt;(E16*2/3),E16*2/3,E16-$B$6)))/$B$2*$C$2)*1.5&lt;(((IF($A16=1,if(E16-1/3*$B$6&lt;(E16*2/3),E16*2/3,E16-1/3*$B$6),if(E16-$B$6&lt;(E16*2/3),E16*2/3,E16-$B$6)))/$B$2*$C$2)+IF($A16=1,1/3,1)*$C$6),((IF($A16=1,if(E16-1/3*$B$6&lt;(E16*2/3),E16*2/3,E16-1/3*$B$6),if(E16-$B$6&lt;(E16*2/3),E16*2/3,E16-$B$6)))/$B$2*$C$2)*1.5,((IF($A16=1,if(E16-1/3*$B$6&lt;(E16*2/3),E16*2/3,E16-1/3*$B$6),if(E16-$B$6&lt;(E16*2/3),E16*2/3,E16-$B$6)))/$B$2*$C$2)+IF($A16=1,1/3,1)*$C$6)))</f>
        <v>59466.03383</v>
      </c>
      <c r="F56" s="11">
        <f t="shared" si="63"/>
        <v>88697.29511</v>
      </c>
      <c r="G56" s="11">
        <f t="shared" ref="G56:H56" si="64">G16*$C$2/$B$2</f>
        <v>0</v>
      </c>
      <c r="H56" s="11">
        <f t="shared" si="64"/>
        <v>0</v>
      </c>
      <c r="I56" s="6" t="str">
        <f t="shared" ref="I56:K56" si="65">I16</f>
        <v/>
      </c>
      <c r="J56" s="6">
        <f t="shared" si="65"/>
        <v>1</v>
      </c>
      <c r="K56" s="12">
        <f t="shared" si="65"/>
        <v>1</v>
      </c>
      <c r="L56" s="9">
        <f t="shared" si="28"/>
        <v>1619275.42</v>
      </c>
      <c r="M56" s="10">
        <f t="shared" si="29"/>
        <v>2415250.194</v>
      </c>
      <c r="N56" s="9">
        <f t="shared" si="30"/>
        <v>0</v>
      </c>
      <c r="O56" s="11">
        <f t="shared" si="31"/>
        <v>0</v>
      </c>
      <c r="P56" s="11">
        <f t="shared" si="32"/>
        <v>2415250.194</v>
      </c>
      <c r="Q56" s="11">
        <f t="shared" si="33"/>
        <v>16766256.45</v>
      </c>
      <c r="R56" s="11">
        <f t="shared" si="34"/>
        <v>32813225.08</v>
      </c>
      <c r="S56" s="6" t="str">
        <f t="shared" si="35"/>
        <v>Seeking Cascade</v>
      </c>
      <c r="T56" s="11">
        <f t="shared" si="36"/>
        <v>736978.3053</v>
      </c>
      <c r="U56" s="2">
        <f t="shared" si="37"/>
        <v>0.7964212213</v>
      </c>
    </row>
    <row r="57">
      <c r="A57" s="6">
        <f t="shared" ref="A57:D57" si="66">A17</f>
        <v>1</v>
      </c>
      <c r="B57" s="6" t="str">
        <f t="shared" si="66"/>
        <v>Healing Barrage</v>
      </c>
      <c r="C57" s="6">
        <f t="shared" si="66"/>
        <v>1.5</v>
      </c>
      <c r="D57" s="6">
        <f t="shared" si="66"/>
        <v>4</v>
      </c>
      <c r="E57" s="11">
        <f t="shared" ref="E57:F57" si="67">IF(OR($B57="Construct's Sac",$B57="Mist of Poison"),E17*($C$2/$B$2),(IF(((IF($A17=1,if(E17-1/3*$B$6&lt;(E17*2/3),E17*2/3,E17-1/3*$B$6),if(E17-$B$6&lt;(E17*2/3),E17*2/3,E17-$B$6)))/$B$2*$C$2)*1.5&lt;(((IF($A17=1,if(E17-1/3*$B$6&lt;(E17*2/3),E17*2/3,E17-1/3*$B$6),if(E17-$B$6&lt;(E17*2/3),E17*2/3,E17-$B$6)))/$B$2*$C$2)+IF($A17=1,1/3,1)*$C$6),((IF($A17=1,if(E17-1/3*$B$6&lt;(E17*2/3),E17*2/3,E17-1/3*$B$6),if(E17-$B$6&lt;(E17*2/3),E17*2/3,E17-$B$6)))/$B$2*$C$2)*1.5,((IF($A17=1,if(E17-1/3*$B$6&lt;(E17*2/3),E17*2/3,E17-1/3*$B$6),if(E17-$B$6&lt;(E17*2/3),E17*2/3,E17-$B$6)))/$B$2*$C$2)+IF($A17=1,1/3,1)*$C$6)))</f>
        <v>10322.59445</v>
      </c>
      <c r="F57" s="11">
        <f t="shared" si="67"/>
        <v>13092.86866</v>
      </c>
      <c r="G57" s="11">
        <f t="shared" ref="G57:H57" si="68">G17*$C$2/$B$2</f>
        <v>0</v>
      </c>
      <c r="H57" s="11">
        <f t="shared" si="68"/>
        <v>0</v>
      </c>
      <c r="I57" s="6" t="str">
        <f t="shared" ref="I57:K57" si="69">I17</f>
        <v/>
      </c>
      <c r="J57" s="6">
        <f t="shared" si="69"/>
        <v>1</v>
      </c>
      <c r="K57" s="12">
        <f t="shared" si="69"/>
        <v>1</v>
      </c>
      <c r="L57" s="9">
        <f t="shared" si="28"/>
        <v>281086.9061</v>
      </c>
      <c r="M57" s="10">
        <f t="shared" si="29"/>
        <v>356522.1864</v>
      </c>
      <c r="N57" s="9">
        <f t="shared" si="30"/>
        <v>0</v>
      </c>
      <c r="O57" s="11">
        <f t="shared" si="31"/>
        <v>0</v>
      </c>
      <c r="P57" s="11">
        <f t="shared" si="32"/>
        <v>356522.1864</v>
      </c>
      <c r="Q57" s="11">
        <f t="shared" si="33"/>
        <v>2586135.243</v>
      </c>
      <c r="R57" s="11">
        <f t="shared" si="34"/>
        <v>1468593.695</v>
      </c>
      <c r="S57" s="6" t="str">
        <f t="shared" si="35"/>
        <v>Healing Barrage</v>
      </c>
      <c r="T57" s="11">
        <f t="shared" si="36"/>
        <v>470206.4078</v>
      </c>
      <c r="U57" s="2">
        <f t="shared" si="37"/>
        <v>0.7568539683</v>
      </c>
    </row>
    <row r="58">
      <c r="A58" s="6" t="str">
        <f t="shared" ref="A58:D58" si="70">A18</f>
        <v/>
      </c>
      <c r="B58" s="6" t="str">
        <f t="shared" si="70"/>
        <v>Vengeful Arrow</v>
      </c>
      <c r="C58" s="6">
        <f t="shared" si="70"/>
        <v>1.5</v>
      </c>
      <c r="D58" s="6">
        <f t="shared" si="70"/>
        <v>0</v>
      </c>
      <c r="E58" s="11">
        <f t="shared" ref="E58:F58" si="71">IF(OR($B58="Construct's Sac",$B58="Mist of Poison"),E18*($C$2/$B$2),(IF(((IF($A18=1,if(E18-1/3*$B$6&lt;(E18*2/3),E18*2/3,E18-1/3*$B$6),if(E18-$B$6&lt;(E18*2/3),E18*2/3,E18-$B$6)))/$B$2*$C$2)*1.5&lt;(((IF($A18=1,if(E18-1/3*$B$6&lt;(E18*2/3),E18*2/3,E18-1/3*$B$6),if(E18-$B$6&lt;(E18*2/3),E18*2/3,E18-$B$6)))/$B$2*$C$2)+IF($A18=1,1/3,1)*$C$6),((IF($A18=1,if(E18-1/3*$B$6&lt;(E18*2/3),E18*2/3,E18-1/3*$B$6),if(E18-$B$6&lt;(E18*2/3),E18*2/3,E18-$B$6)))/$B$2*$C$2)*1.5,((IF($A18=1,if(E18-1/3*$B$6&lt;(E18*2/3),E18*2/3,E18-1/3*$B$6),if(E18-$B$6&lt;(E18*2/3),E18*2/3,E18-$B$6)))/$B$2*$C$2)+IF($A18=1,1/3,1)*$C$6)))</f>
        <v>14139.91896</v>
      </c>
      <c r="F58" s="11">
        <f t="shared" si="71"/>
        <v>21757.12134</v>
      </c>
      <c r="G58" s="11">
        <f t="shared" ref="G58:H58" si="72">G18*$C$2/$B$2</f>
        <v>0</v>
      </c>
      <c r="H58" s="11">
        <f t="shared" si="72"/>
        <v>0</v>
      </c>
      <c r="I58" s="6" t="str">
        <f t="shared" ref="I58:K58" si="73">I18</f>
        <v/>
      </c>
      <c r="J58" s="6">
        <f t="shared" si="73"/>
        <v>1</v>
      </c>
      <c r="K58" s="12">
        <f t="shared" si="73"/>
        <v>1</v>
      </c>
      <c r="L58" s="9">
        <f t="shared" si="28"/>
        <v>385033.6357</v>
      </c>
      <c r="M58" s="10">
        <f t="shared" si="29"/>
        <v>592452.0186</v>
      </c>
      <c r="N58" s="9">
        <f t="shared" si="30"/>
        <v>0</v>
      </c>
      <c r="O58" s="11">
        <f t="shared" si="31"/>
        <v>0</v>
      </c>
      <c r="P58" s="11">
        <f t="shared" si="32"/>
        <v>592452.0186</v>
      </c>
      <c r="Q58" s="11">
        <f t="shared" si="33"/>
        <v>510749.4855</v>
      </c>
      <c r="R58" s="11">
        <f t="shared" si="34"/>
        <v>290040.3124</v>
      </c>
      <c r="S58" s="6" t="str">
        <f t="shared" si="35"/>
        <v>Vengeful Arrow</v>
      </c>
      <c r="T58" s="11">
        <f t="shared" si="36"/>
        <v>340499.657</v>
      </c>
      <c r="U58" s="2">
        <f t="shared" si="37"/>
        <v>0.8092154637</v>
      </c>
    </row>
    <row r="59">
      <c r="A59" s="6">
        <f t="shared" ref="A59:D59" si="74">A19</f>
        <v>1</v>
      </c>
      <c r="B59" s="6" t="str">
        <f t="shared" si="74"/>
        <v>Downpour</v>
      </c>
      <c r="C59" s="6">
        <f t="shared" si="74"/>
        <v>1</v>
      </c>
      <c r="D59" s="6">
        <f t="shared" si="74"/>
        <v>30</v>
      </c>
      <c r="E59" s="11">
        <f t="shared" ref="E59:F59" si="75">IF(OR($B59="Construct's Sac",$B59="Mist of Poison"),E19*($C$2/$B$2),(IF(((IF($A19=1,if(E19-1/3*$B$6&lt;(E19*2/3),E19*2/3,E19-1/3*$B$6),if(E19-$B$6&lt;(E19*2/3),E19*2/3,E19-$B$6)))/$B$2*$C$2)*1.5&lt;(((IF($A19=1,if(E19-1/3*$B$6&lt;(E19*2/3),E19*2/3,E19-1/3*$B$6),if(E19-$B$6&lt;(E19*2/3),E19*2/3,E19-$B$6)))/$B$2*$C$2)+IF($A19=1,1/3,1)*$C$6),((IF($A19=1,if(E19-1/3*$B$6&lt;(E19*2/3),E19*2/3,E19-1/3*$B$6),if(E19-$B$6&lt;(E19*2/3),E19*2/3,E19-$B$6)))/$B$2*$C$2)*1.5,((IF($A19=1,if(E19-1/3*$B$6&lt;(E19*2/3),E19*2/3,E19-1/3*$B$6),if(E19-$B$6&lt;(E19*2/3),E19*2/3,E19-$B$6)))/$B$2*$C$2)+IF($A19=1,1/3,1)*$C$6)))</f>
        <v>20052.91432</v>
      </c>
      <c r="F59" s="11">
        <f t="shared" si="75"/>
        <v>31166.42305</v>
      </c>
      <c r="G59" s="11">
        <f t="shared" ref="G59:H59" si="76">G19*$C$2/$B$2</f>
        <v>0</v>
      </c>
      <c r="H59" s="11">
        <f t="shared" si="76"/>
        <v>0</v>
      </c>
      <c r="I59" s="6" t="str">
        <f t="shared" ref="I59:K59" si="77">I19</f>
        <v/>
      </c>
      <c r="J59" s="6">
        <f t="shared" si="77"/>
        <v>1</v>
      </c>
      <c r="K59" s="12">
        <f t="shared" si="77"/>
        <v>1</v>
      </c>
      <c r="L59" s="9">
        <f t="shared" si="28"/>
        <v>546046.0225</v>
      </c>
      <c r="M59" s="10">
        <f t="shared" si="29"/>
        <v>848669.7282</v>
      </c>
      <c r="N59" s="9">
        <f t="shared" si="30"/>
        <v>0</v>
      </c>
      <c r="O59" s="11">
        <f t="shared" si="31"/>
        <v>0</v>
      </c>
      <c r="P59" s="11">
        <f t="shared" si="32"/>
        <v>848669.7282</v>
      </c>
      <c r="Q59" s="11">
        <f t="shared" si="33"/>
        <v>5841514.678</v>
      </c>
      <c r="R59" s="11">
        <f t="shared" si="34"/>
        <v>4632591.939</v>
      </c>
      <c r="S59" s="6" t="str">
        <f t="shared" si="35"/>
        <v>Downpour</v>
      </c>
      <c r="T59" s="11">
        <f t="shared" si="36"/>
        <v>188435.9574</v>
      </c>
      <c r="U59" s="2">
        <f t="shared" si="37"/>
        <v>0.7732473435</v>
      </c>
    </row>
    <row r="60">
      <c r="A60" s="6" t="str">
        <f t="shared" ref="A60:D60" si="78">A20</f>
        <v/>
      </c>
      <c r="B60" s="6" t="str">
        <f t="shared" si="78"/>
        <v>Unc. Wrath</v>
      </c>
      <c r="C60" s="6">
        <f t="shared" si="78"/>
        <v>0.5</v>
      </c>
      <c r="D60" s="6">
        <f t="shared" si="78"/>
        <v>5</v>
      </c>
      <c r="E60" s="11">
        <f t="shared" ref="E60:F60" si="79">IF(OR($B60="Construct's Sac",$B60="Mist of Poison"),E20*($C$2/$B$2),(IF(((IF($A20=1,if(E20-1/3*$B$6&lt;(E20*2/3),E20*2/3,E20-1/3*$B$6),if(E20-$B$6&lt;(E20*2/3),E20*2/3,E20-$B$6)))/$B$2*$C$2)*1.5&lt;(((IF($A20=1,if(E20-1/3*$B$6&lt;(E20*2/3),E20*2/3,E20-1/3*$B$6),if(E20-$B$6&lt;(E20*2/3),E20*2/3,E20-$B$6)))/$B$2*$C$2)+IF($A20=1,1/3,1)*$C$6),((IF($A20=1,if(E20-1/3*$B$6&lt;(E20*2/3),E20*2/3,E20-1/3*$B$6),if(E20-$B$6&lt;(E20*2/3),E20*2/3,E20-$B$6)))/$B$2*$C$2)*1.5,((IF($A20=1,if(E20-1/3*$B$6&lt;(E20*2/3),E20*2/3,E20-1/3*$B$6),if(E20-$B$6&lt;(E20*2/3),E20*2/3,E20-$B$6)))/$B$2*$C$2)+IF($A20=1,1/3,1)*$C$6)))</f>
        <v>27752.94944</v>
      </c>
      <c r="F60" s="11">
        <f t="shared" si="79"/>
        <v>29865.15581</v>
      </c>
      <c r="G60" s="11">
        <f t="shared" ref="G60:H60" si="80">G20*$C$2/$B$2</f>
        <v>0</v>
      </c>
      <c r="H60" s="11">
        <f t="shared" si="80"/>
        <v>0</v>
      </c>
      <c r="I60" s="6" t="str">
        <f t="shared" ref="I60:K60" si="81">I20</f>
        <v/>
      </c>
      <c r="J60" s="6">
        <f t="shared" si="81"/>
        <v>1</v>
      </c>
      <c r="K60" s="12">
        <f t="shared" si="81"/>
        <v>1</v>
      </c>
      <c r="L60" s="9">
        <f t="shared" si="28"/>
        <v>755719.9624</v>
      </c>
      <c r="M60" s="10">
        <f t="shared" si="29"/>
        <v>813235.8859</v>
      </c>
      <c r="N60" s="9">
        <f t="shared" si="30"/>
        <v>0</v>
      </c>
      <c r="O60" s="11">
        <f t="shared" si="31"/>
        <v>0</v>
      </c>
      <c r="P60" s="11">
        <f t="shared" si="32"/>
        <v>813235.8859</v>
      </c>
      <c r="Q60" s="11">
        <f t="shared" si="33"/>
        <v>785532.1544</v>
      </c>
      <c r="R60" s="11">
        <f t="shared" si="34"/>
        <v>1032290.54</v>
      </c>
      <c r="S60" s="6" t="str">
        <f t="shared" si="35"/>
        <v>Unc. Wrath</v>
      </c>
      <c r="T60" s="11">
        <f t="shared" si="36"/>
        <v>142824.0281</v>
      </c>
      <c r="U60" s="2">
        <f t="shared" si="37"/>
        <v>0.8092154637</v>
      </c>
    </row>
    <row r="61">
      <c r="A61" s="6" t="str">
        <f t="shared" ref="A61:D61" si="82">A21</f>
        <v/>
      </c>
      <c r="B61" s="6" t="str">
        <f t="shared" si="82"/>
        <v>Mist of Poison</v>
      </c>
      <c r="C61" s="6">
        <f t="shared" si="82"/>
        <v>0.35</v>
      </c>
      <c r="D61" s="6">
        <f t="shared" si="82"/>
        <v>0</v>
      </c>
      <c r="E61" s="11">
        <f t="shared" ref="E61:F61" si="83">IF(OR($B61="Construct's Sac",$B61="Mist of Poison"),E21*($C$2/$B$2),(IF(((IF($A21=1,if(E21-1/3*$B$6&lt;(E21*2/3),E21*2/3,E21-1/3*$B$6),if(E21-$B$6&lt;(E21*2/3),E21*2/3,E21-$B$6)))/$B$2*$C$2)*1.5&lt;(((IF($A21=1,if(E21-1/3*$B$6&lt;(E21*2/3),E21*2/3,E21-1/3*$B$6),if(E21-$B$6&lt;(E21*2/3),E21*2/3,E21-$B$6)))/$B$2*$C$2)+IF($A21=1,1/3,1)*$C$6),((IF($A21=1,if(E21-1/3*$B$6&lt;(E21*2/3),E21*2/3,E21-1/3*$B$6),if(E21-$B$6&lt;(E21*2/3),E21*2/3,E21-$B$6)))/$B$2*$C$2)*1.5,((IF($A21=1,if(E21-1/3*$B$6&lt;(E21*2/3),E21*2/3,E21-1/3*$B$6),if(E21-$B$6&lt;(E21*2/3),E21*2/3,E21-$B$6)))/$B$2*$C$2)+IF($A21=1,1/3,1)*$C$6)))</f>
        <v>11363.57722</v>
      </c>
      <c r="F61" s="11">
        <f t="shared" si="83"/>
        <v>18940.07077</v>
      </c>
      <c r="G61" s="11">
        <f t="shared" ref="G61:H61" si="84">G21*$C$2/$B$2</f>
        <v>11363.57722</v>
      </c>
      <c r="H61" s="11">
        <f t="shared" si="84"/>
        <v>18940.07077</v>
      </c>
      <c r="I61" s="6" t="str">
        <f t="shared" ref="I61:K61" si="85">I21</f>
        <v/>
      </c>
      <c r="J61" s="6">
        <f t="shared" si="85"/>
        <v>24</v>
      </c>
      <c r="K61" s="12">
        <f t="shared" si="85"/>
        <v>0.25</v>
      </c>
      <c r="L61" s="9">
        <f t="shared" si="28"/>
        <v>309433.1349</v>
      </c>
      <c r="M61" s="10">
        <f t="shared" si="29"/>
        <v>515743.006</v>
      </c>
      <c r="N61" s="9">
        <f t="shared" si="30"/>
        <v>309433.1349</v>
      </c>
      <c r="O61" s="11">
        <f t="shared" si="31"/>
        <v>515743.006</v>
      </c>
      <c r="P61" s="11">
        <f t="shared" si="32"/>
        <v>3610201.042</v>
      </c>
      <c r="Q61" s="11">
        <f t="shared" si="33"/>
        <v>3068651.488</v>
      </c>
      <c r="R61" s="11">
        <f t="shared" si="34"/>
        <v>5022668.931</v>
      </c>
      <c r="S61" s="6" t="str">
        <f t="shared" si="35"/>
        <v>Mist of Poison</v>
      </c>
      <c r="T61" s="11">
        <f t="shared" si="36"/>
        <v>126022.6484</v>
      </c>
      <c r="U61" s="2">
        <f t="shared" si="37"/>
        <v>0.8092154637</v>
      </c>
    </row>
    <row r="62">
      <c r="A62" s="6" t="str">
        <f t="shared" ref="A62:D62" si="86">A22</f>
        <v/>
      </c>
      <c r="B62" s="6" t="str">
        <f t="shared" si="86"/>
        <v>Healing Arrow</v>
      </c>
      <c r="C62" s="6">
        <f t="shared" si="86"/>
        <v>1.5</v>
      </c>
      <c r="D62" s="6">
        <f t="shared" si="86"/>
        <v>4</v>
      </c>
      <c r="E62" s="11">
        <f t="shared" ref="E62:F62" si="87">IF(OR($B62="Construct's Sac",$B62="Mist of Poison"),E22*($C$2/$B$2),(IF(((IF($A22=1,if(E22-1/3*$B$6&lt;(E22*2/3),E22*2/3,E22-1/3*$B$6),if(E22-$B$6&lt;(E22*2/3),E22*2/3,E22-$B$6)))/$B$2*$C$2)*1.5&lt;(((IF($A22=1,if(E22-1/3*$B$6&lt;(E22*2/3),E22*2/3,E22-1/3*$B$6),if(E22-$B$6&lt;(E22*2/3),E22*2/3,E22-$B$6)))/$B$2*$C$2)+IF($A22=1,1/3,1)*$C$6),((IF($A22=1,if(E22-1/3*$B$6&lt;(E22*2/3),E22*2/3,E22-1/3*$B$6),if(E22-$B$6&lt;(E22*2/3),E22*2/3,E22-$B$6)))/$B$2*$C$2)*1.5,((IF($A22=1,if(E22-1/3*$B$6&lt;(E22*2/3),E22*2/3,E22-1/3*$B$6),if(E22-$B$6&lt;(E22*2/3),E22*2/3,E22-$B$6)))/$B$2*$C$2)+IF($A22=1,1/3,1)*$C$6)))</f>
        <v>14726.12601</v>
      </c>
      <c r="F62" s="11">
        <f t="shared" si="87"/>
        <v>17819.99658</v>
      </c>
      <c r="G62" s="11">
        <f t="shared" ref="G62:H62" si="88">G22*$C$2/$B$2</f>
        <v>0</v>
      </c>
      <c r="H62" s="11">
        <f t="shared" si="88"/>
        <v>0</v>
      </c>
      <c r="I62" s="6" t="str">
        <f t="shared" ref="I62:K62" si="89">I22</f>
        <v/>
      </c>
      <c r="J62" s="6">
        <f t="shared" si="89"/>
        <v>1</v>
      </c>
      <c r="K62" s="12">
        <f t="shared" si="89"/>
        <v>4</v>
      </c>
      <c r="L62" s="9">
        <f t="shared" si="28"/>
        <v>400996.2048</v>
      </c>
      <c r="M62" s="10">
        <f t="shared" si="29"/>
        <v>485243.0972</v>
      </c>
      <c r="N62" s="9">
        <f t="shared" si="30"/>
        <v>0</v>
      </c>
      <c r="O62" s="11">
        <f t="shared" si="31"/>
        <v>0</v>
      </c>
      <c r="P62" s="11">
        <f t="shared" si="32"/>
        <v>485243.0972</v>
      </c>
      <c r="Q62" s="11">
        <f t="shared" si="33"/>
        <v>447123.9526</v>
      </c>
      <c r="R62" s="11">
        <f t="shared" si="34"/>
        <v>253909.1563</v>
      </c>
      <c r="S62" s="6" t="str">
        <f t="shared" si="35"/>
        <v>Healing Arrow</v>
      </c>
      <c r="T62" s="11">
        <f t="shared" si="36"/>
        <v>81295.26411</v>
      </c>
      <c r="U62" s="2">
        <f t="shared" si="37"/>
        <v>0.8092154637</v>
      </c>
    </row>
    <row r="63">
      <c r="A63" s="6" t="str">
        <f t="shared" ref="A63:D63" si="90">A23</f>
        <v/>
      </c>
      <c r="B63" s="6" t="str">
        <f t="shared" si="90"/>
        <v>Eye Shot</v>
      </c>
      <c r="C63" s="6">
        <f t="shared" si="90"/>
        <v>0</v>
      </c>
      <c r="D63" s="6">
        <f t="shared" si="90"/>
        <v>45</v>
      </c>
      <c r="E63" s="11">
        <f t="shared" ref="E63:F63" si="91">IF(OR($B63="Construct's Sac",$B63="Mist of Poison"),E23*($C$2/$B$2),(IF(((IF($A23=1,if(E23-1/3*$B$6&lt;(E23*2/3),E23*2/3,E23-1/3*$B$6),if(E23-$B$6&lt;(E23*2/3),E23*2/3,E23-$B$6)))/$B$2*$C$2)*1.5&lt;(((IF($A23=1,if(E23-1/3*$B$6&lt;(E23*2/3),E23*2/3,E23-1/3*$B$6),if(E23-$B$6&lt;(E23*2/3),E23*2/3,E23-$B$6)))/$B$2*$C$2)+IF($A23=1,1/3,1)*$C$6),((IF($A23=1,if(E23-1/3*$B$6&lt;(E23*2/3),E23*2/3,E23-1/3*$B$6),if(E23-$B$6&lt;(E23*2/3),E23*2/3,E23-$B$6)))/$B$2*$C$2)*1.5,((IF($A23=1,if(E23-1/3*$B$6&lt;(E23*2/3),E23*2/3,E23-1/3*$B$6),if(E23-$B$6&lt;(E23*2/3),E23*2/3,E23-$B$6)))/$B$2*$C$2)+IF($A23=1,1/3,1)*$C$6)))</f>
        <v>70273.14086</v>
      </c>
      <c r="F63" s="11">
        <f t="shared" si="91"/>
        <v>105941.0486</v>
      </c>
      <c r="G63" s="11">
        <f t="shared" ref="G63:H63" si="92">G23*$C$2/$B$2</f>
        <v>0</v>
      </c>
      <c r="H63" s="11">
        <f t="shared" si="92"/>
        <v>0</v>
      </c>
      <c r="I63" s="49">
        <f t="shared" ref="I63:K63" si="93">I23</f>
        <v>0.45</v>
      </c>
      <c r="J63" s="6">
        <f t="shared" si="93"/>
        <v>1</v>
      </c>
      <c r="K63" s="12">
        <f t="shared" si="93"/>
        <v>1</v>
      </c>
      <c r="L63" s="9">
        <f t="shared" si="28"/>
        <v>1961243.081</v>
      </c>
      <c r="M63" s="10">
        <f t="shared" si="29"/>
        <v>2956693.64</v>
      </c>
      <c r="N63" s="9">
        <f t="shared" si="30"/>
        <v>0</v>
      </c>
      <c r="O63" s="11">
        <f t="shared" si="31"/>
        <v>0</v>
      </c>
      <c r="P63" s="11">
        <f t="shared" si="32"/>
        <v>2956693.64</v>
      </c>
      <c r="Q63" s="11">
        <f t="shared" si="33"/>
        <v>2559714.047</v>
      </c>
      <c r="R63" s="11">
        <f t="shared" si="34"/>
        <v>9808824.227</v>
      </c>
      <c r="S63" s="6" t="str">
        <f t="shared" si="35"/>
        <v>Eye Shot</v>
      </c>
      <c r="T63" s="11">
        <f t="shared" si="36"/>
        <v>56882.53437</v>
      </c>
      <c r="U63" s="2">
        <f t="shared" si="37"/>
        <v>0.7627854517</v>
      </c>
    </row>
    <row r="64">
      <c r="A64" s="6" t="str">
        <f t="shared" ref="A64:D64" si="94">A24</f>
        <v/>
      </c>
      <c r="B64" s="6" t="str">
        <f t="shared" si="94"/>
        <v>Soulshot</v>
      </c>
      <c r="C64" s="6">
        <f t="shared" si="94"/>
        <v>0.25</v>
      </c>
      <c r="D64" s="6">
        <f t="shared" si="94"/>
        <v>30</v>
      </c>
      <c r="E64" s="11">
        <f t="shared" ref="E64:F64" si="95">IF(((IF($A24=1,if(E24-1/3*$B$6&lt;(E24*2/3),E24*2/3,E24-1/3*$B$6),if(E24-$B$6&lt;(E24*2/3),E24*2/3,E24-$B$6)))/$B$2*$C$2)*1.5&lt;(((IF($A24=1,if(E24-1/3*$B$6&lt;(E24*2/3),E24*2/3,E24-1/3*$B$6),if(E24-$B$6&lt;(E24*2/3),E24*2/3,E24-$B$6)))/$B$2*$C$2)+IF($A24=1,1/3,1)*$C$6),((IF($A24=1,if(E24-1/3*$B$6&lt;(E24*2/3),E24*2/3,E24-1/3*$B$6),if(E24-$B$6&lt;(E24*2/3),E24*2/3,E24-$B$6)))/$B$2*$C$2)*1.5,((IF($A24=1,if(E24-1/3*$B$6&lt;(E24*2/3),E24*2/3,E24-1/3*$B$6),if(E24-$B$6&lt;(E24*2/3),E24*2/3,E24-$B$6)))/$B$2*$C$2)+IF($A24=1,1/3,1)*$C$6)</f>
        <v>28786.95355</v>
      </c>
      <c r="F64" s="11">
        <f t="shared" si="95"/>
        <v>42587.65176</v>
      </c>
      <c r="G64" s="11">
        <f t="shared" ref="G64:H64" si="96">G24*$C$2/$B$2</f>
        <v>0</v>
      </c>
      <c r="H64" s="11">
        <f t="shared" si="96"/>
        <v>0</v>
      </c>
      <c r="I64" s="6" t="str">
        <f t="shared" ref="I64:K64" si="97">I24</f>
        <v/>
      </c>
      <c r="J64" s="6" t="str">
        <f t="shared" si="97"/>
        <v/>
      </c>
      <c r="K64" s="12" t="str">
        <f t="shared" si="97"/>
        <v/>
      </c>
      <c r="L64" s="9">
        <f t="shared" si="28"/>
        <v>783876.1606</v>
      </c>
      <c r="M64" s="10">
        <f t="shared" si="29"/>
        <v>1159672.728</v>
      </c>
      <c r="N64" s="9">
        <f t="shared" si="30"/>
        <v>0</v>
      </c>
      <c r="O64" s="11">
        <f t="shared" si="31"/>
        <v>0</v>
      </c>
      <c r="P64" s="11">
        <f t="shared" si="32"/>
        <v>1159672.728</v>
      </c>
      <c r="Q64" s="11">
        <f t="shared" si="33"/>
        <v>1008105.679</v>
      </c>
      <c r="R64" s="11">
        <f t="shared" si="34"/>
        <v>1972962.697</v>
      </c>
      <c r="S64" s="6" t="str">
        <f t="shared" si="35"/>
        <v>Soulshot</v>
      </c>
      <c r="T64" s="11">
        <f t="shared" si="36"/>
        <v>33325.80755</v>
      </c>
      <c r="U64" s="2">
        <f t="shared" si="37"/>
        <v>0.7539253675</v>
      </c>
    </row>
    <row r="65">
      <c r="A65" s="6" t="str">
        <f t="shared" ref="A65:D65" si="98">A25</f>
        <v/>
      </c>
      <c r="B65" s="6" t="str">
        <f t="shared" si="98"/>
        <v>Snapshot</v>
      </c>
      <c r="C65" s="6">
        <f t="shared" si="98"/>
        <v>0.5</v>
      </c>
      <c r="D65" s="6">
        <f t="shared" si="98"/>
        <v>22.5</v>
      </c>
      <c r="E65" s="11">
        <f t="shared" ref="E65:F65" si="99">IF(((IF($A25=1,if(E25-1/3*$B$6&lt;(E25*2/3),E25*2/3,E25-1/3*$B$6),if(E25-$B$6&lt;(E25*2/3),E25*2/3,E25-$B$6)))/$B$2*$C$2)*1.5&lt;(((IF($A25=1,if(E25-1/3*$B$6&lt;(E25*2/3),E25*2/3,E25-1/3*$B$6),if(E25-$B$6&lt;(E25*2/3),E25*2/3,E25-$B$6)))/$B$2*$C$2)+IF($A25=1,1/3,1)*$C$6),((IF($A25=1,if(E25-1/3*$B$6&lt;(E25*2/3),E25*2/3,E25-1/3*$B$6),if(E25-$B$6&lt;(E25*2/3),E25*2/3,E25-$B$6)))/$B$2*$C$2)*1.5,((IF($A25=1,if(E25-1/3*$B$6&lt;(E25*2/3),E25*2/3,E25-1/3*$B$6),if(E25-$B$6&lt;(E25*2/3),E25*2/3,E25-$B$6)))/$B$2*$C$2)+IF($A25=1,1/3,1)*$C$6)</f>
        <v>9352.561352</v>
      </c>
      <c r="F65" s="11">
        <f t="shared" si="99"/>
        <v>14433.02249</v>
      </c>
      <c r="G65" s="11">
        <f t="shared" ref="G65:H65" si="100">G25*$C$2/$B$2</f>
        <v>0</v>
      </c>
      <c r="H65" s="11">
        <f t="shared" si="100"/>
        <v>0</v>
      </c>
      <c r="I65" s="6" t="str">
        <f t="shared" ref="I65:K65" si="101">I25</f>
        <v/>
      </c>
      <c r="J65" s="6">
        <f t="shared" si="101"/>
        <v>1</v>
      </c>
      <c r="K65" s="12">
        <f t="shared" si="101"/>
        <v>1</v>
      </c>
      <c r="L65" s="9">
        <f t="shared" si="28"/>
        <v>254672.6548</v>
      </c>
      <c r="M65" s="10">
        <f t="shared" si="29"/>
        <v>393014.9203</v>
      </c>
      <c r="N65" s="9">
        <f t="shared" si="30"/>
        <v>0</v>
      </c>
      <c r="O65" s="11">
        <f t="shared" si="31"/>
        <v>0</v>
      </c>
      <c r="P65" s="11">
        <f t="shared" si="32"/>
        <v>393014.9203</v>
      </c>
      <c r="Q65" s="11">
        <f t="shared" si="33"/>
        <v>338618.3356</v>
      </c>
      <c r="R65" s="11">
        <f t="shared" si="34"/>
        <v>444988.1557</v>
      </c>
      <c r="S65" s="6" t="str">
        <f t="shared" si="35"/>
        <v>Snapshot</v>
      </c>
      <c r="T65" s="11">
        <f t="shared" si="36"/>
        <v>14722.53633</v>
      </c>
      <c r="U65" s="2">
        <f t="shared" si="37"/>
        <v>0.8092154637</v>
      </c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  <c r="N84" s="1" t="s">
        <v>369</v>
      </c>
      <c r="O84" s="1" t="s">
        <v>370</v>
      </c>
    </row>
    <row r="85">
      <c r="K85" s="3"/>
      <c r="L85" s="4"/>
      <c r="N85" s="1">
        <v>25.0</v>
      </c>
      <c r="O85" s="1">
        <v>5.21629448338152</v>
      </c>
    </row>
    <row r="86">
      <c r="K86" s="3"/>
      <c r="L86" s="4"/>
      <c r="N86" s="1">
        <v>50.0</v>
      </c>
      <c r="O86" s="1">
        <v>3.85501573599077</v>
      </c>
    </row>
    <row r="87">
      <c r="K87" s="3"/>
      <c r="L87" s="4"/>
      <c r="N87" s="1">
        <v>75.0</v>
      </c>
      <c r="O87" s="1">
        <v>2.49373698860002</v>
      </c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autoFilter ref="$A$7:$U$4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2" width="15.13"/>
  </cols>
  <sheetData>
    <row r="1">
      <c r="A1" s="1" t="s">
        <v>344</v>
      </c>
      <c r="B1" s="2">
        <f>731%+150%</f>
        <v>8.81</v>
      </c>
      <c r="C1" s="2">
        <f>((B1-1.3)/(1+1/12)+90%+25%+24*1.5%+15%)*(13/12)*(1+0.05+0.15)+1.3</f>
        <v>12.47</v>
      </c>
      <c r="D1" s="1" t="s">
        <v>345</v>
      </c>
      <c r="K1" s="3"/>
      <c r="L1" s="4"/>
    </row>
    <row r="2">
      <c r="A2" s="1" t="s">
        <v>346</v>
      </c>
      <c r="B2" s="2">
        <f>640%+1</f>
        <v>7.4</v>
      </c>
      <c r="C2" s="2">
        <f>((B2-1)/(1+1/12)+0.3757)*(1+1/12)+1+0.8</f>
        <v>8.607008333</v>
      </c>
      <c r="D2" s="2">
        <f>50%+0.5%+0.3%</f>
        <v>0.508</v>
      </c>
      <c r="E2" s="1" t="s">
        <v>347</v>
      </c>
      <c r="K2" s="3"/>
      <c r="L2" s="4"/>
    </row>
    <row r="3">
      <c r="A3" s="1" t="s">
        <v>1</v>
      </c>
      <c r="B3" s="5">
        <v>0.66</v>
      </c>
      <c r="C3" s="49">
        <f t="shared" ref="C3:C5" si="1">B3</f>
        <v>0.66</v>
      </c>
      <c r="K3" s="3"/>
      <c r="L3" s="4"/>
    </row>
    <row r="4">
      <c r="A4" s="1" t="s">
        <v>2</v>
      </c>
      <c r="B4" s="1">
        <v>0.0</v>
      </c>
      <c r="C4" s="6">
        <f t="shared" si="1"/>
        <v>0</v>
      </c>
      <c r="K4" s="3"/>
      <c r="L4" s="4"/>
    </row>
    <row r="5">
      <c r="A5" s="1" t="s">
        <v>3</v>
      </c>
      <c r="B5" s="1">
        <v>1.0</v>
      </c>
      <c r="C5" s="6">
        <f t="shared" si="1"/>
        <v>1</v>
      </c>
      <c r="K5" s="3"/>
      <c r="L5" s="4"/>
    </row>
    <row r="6">
      <c r="A6" s="1" t="s">
        <v>348</v>
      </c>
      <c r="B6" s="13">
        <v>10487.0</v>
      </c>
      <c r="C6" s="1">
        <v>10487.0</v>
      </c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379</v>
      </c>
      <c r="C8" s="1">
        <v>0.5</v>
      </c>
      <c r="D8" s="1">
        <v>4.0</v>
      </c>
      <c r="E8" s="11">
        <f>32899+38474</f>
        <v>71373</v>
      </c>
      <c r="F8" s="11">
        <f>33048+39525</f>
        <v>72573</v>
      </c>
      <c r="G8" s="11">
        <f>921+6517</f>
        <v>7438</v>
      </c>
      <c r="H8" s="11">
        <f>1071+7573</f>
        <v>8644</v>
      </c>
      <c r="I8" s="2"/>
      <c r="J8" s="1">
        <v>22.4</v>
      </c>
      <c r="K8" s="12">
        <f>1/1.7</f>
        <v>0.5882352941</v>
      </c>
      <c r="L8" s="9">
        <f t="shared" ref="L8:L20" si="2">if(E8*($B$1+$I8)&lt;(F8+1),F8+1,E8*($I8+$B$1))</f>
        <v>628796.13</v>
      </c>
      <c r="M8" s="10">
        <f t="shared" ref="M8:M20" si="3">F8*($B$1+$I8)</f>
        <v>639368.13</v>
      </c>
      <c r="N8" s="9">
        <f t="shared" ref="N8:N20" si="4">if(if(G8*($B$1+$I8)&lt;(H8+1),H8+1,G8*($I8+$B$1))=1,0,if(G8*($B$1+$I8)&lt;(H8+1),H8+1,G8*($I8+$B$1)))</f>
        <v>65528.78</v>
      </c>
      <c r="O8" s="11">
        <f t="shared" ref="O8:O20" si="5">H8*($B$1+$I8)</f>
        <v>76153.64</v>
      </c>
      <c r="P8" s="11">
        <f t="shared" ref="P8:P20" si="6">M8+O8*K8*J8</f>
        <v>1642804.328</v>
      </c>
      <c r="Q8" s="11">
        <f t="shared" ref="Q8:Q20" si="7">((if($A8=1,$B$5,1)*((L8*E8+F8*M8)/(E8+F8)+if(G8&gt;0,(N8*G8+H8*O8)/(G8+H8)*J8*K8,0))))*if($U8=1,1,1+$B$4)</f>
        <v>1572812.594</v>
      </c>
      <c r="R8" s="11">
        <f t="shared" ref="R8:R20" si="8">Q8/(C8+0.5*(1/(1+$B$3)))</f>
        <v>1963059.328</v>
      </c>
      <c r="S8" s="6" t="str">
        <f t="shared" ref="S8:S20" si="9">B8</f>
        <v>Bloodcoil</v>
      </c>
      <c r="T8" s="11">
        <f t="shared" ref="T8:T20" si="10">$Q8/(($C8+IF($D8&lt;=$J8,if($J8&gt;1,$J8,$D8),$D8)))</f>
        <v>68681.77268</v>
      </c>
      <c r="U8" s="11"/>
      <c r="V8" s="6" t="str">
        <f t="shared" ref="V8:V10" si="11">if(A8=1,MAX(R$11:R$42)/R8," ")</f>
        <v> </v>
      </c>
    </row>
    <row r="9">
      <c r="B9" s="1" t="s">
        <v>380</v>
      </c>
      <c r="C9" s="1">
        <v>0.25</v>
      </c>
      <c r="D9" s="1">
        <v>7.5</v>
      </c>
      <c r="E9" s="1">
        <v>33074.0</v>
      </c>
      <c r="F9" s="1">
        <v>39219.0</v>
      </c>
      <c r="G9" s="1">
        <v>11225.0</v>
      </c>
      <c r="H9" s="1">
        <v>17370.0</v>
      </c>
      <c r="J9" s="1">
        <v>1.0</v>
      </c>
      <c r="K9" s="7">
        <v>4.0</v>
      </c>
      <c r="L9" s="9">
        <f t="shared" si="2"/>
        <v>291381.94</v>
      </c>
      <c r="M9" s="10">
        <f t="shared" si="3"/>
        <v>345519.39</v>
      </c>
      <c r="N9" s="9">
        <f t="shared" si="4"/>
        <v>98892.25</v>
      </c>
      <c r="O9" s="11">
        <f t="shared" si="5"/>
        <v>153029.7</v>
      </c>
      <c r="P9" s="11">
        <f t="shared" si="6"/>
        <v>957638.19</v>
      </c>
      <c r="Q9" s="11">
        <f t="shared" si="7"/>
        <v>847863.4702</v>
      </c>
      <c r="R9" s="11">
        <f t="shared" si="8"/>
        <v>1538200.394</v>
      </c>
      <c r="S9" s="6" t="str">
        <f t="shared" si="9"/>
        <v>Death Grip 5</v>
      </c>
      <c r="T9" s="11">
        <f t="shared" si="10"/>
        <v>109401.7381</v>
      </c>
      <c r="U9" s="11"/>
      <c r="V9" s="6" t="str">
        <f t="shared" si="11"/>
        <v> </v>
      </c>
    </row>
    <row r="10">
      <c r="B10" s="1" t="s">
        <v>381</v>
      </c>
      <c r="C10" s="1">
        <v>0.5</v>
      </c>
      <c r="D10" s="1">
        <v>4.0</v>
      </c>
      <c r="E10" s="11">
        <f>32899+38474</f>
        <v>71373</v>
      </c>
      <c r="F10" s="11">
        <f>33048+39525</f>
        <v>72573</v>
      </c>
      <c r="G10" s="11">
        <f>921+6517</f>
        <v>7438</v>
      </c>
      <c r="H10" s="11">
        <f>1071+7573</f>
        <v>8644</v>
      </c>
      <c r="I10" s="2"/>
      <c r="J10" s="1">
        <v>8.0</v>
      </c>
      <c r="K10" s="12">
        <f>1/1.7</f>
        <v>0.5882352941</v>
      </c>
      <c r="L10" s="9">
        <f t="shared" si="2"/>
        <v>628796.13</v>
      </c>
      <c r="M10" s="10">
        <f t="shared" si="3"/>
        <v>639368.13</v>
      </c>
      <c r="N10" s="9">
        <f t="shared" si="4"/>
        <v>65528.78</v>
      </c>
      <c r="O10" s="11">
        <f t="shared" si="5"/>
        <v>76153.64</v>
      </c>
      <c r="P10" s="11">
        <f t="shared" si="6"/>
        <v>997738.2006</v>
      </c>
      <c r="Q10" s="11">
        <f t="shared" si="7"/>
        <v>969371.3386</v>
      </c>
      <c r="R10" s="11">
        <f t="shared" si="8"/>
        <v>1209892.047</v>
      </c>
      <c r="S10" s="6" t="str">
        <f t="shared" si="9"/>
        <v>Bloodcoil Spam</v>
      </c>
      <c r="T10" s="11">
        <f t="shared" si="10"/>
        <v>114043.6869</v>
      </c>
      <c r="U10" s="11"/>
      <c r="V10" s="6" t="str">
        <f t="shared" si="11"/>
        <v> </v>
      </c>
    </row>
    <row r="11">
      <c r="A11" s="1">
        <v>1.0</v>
      </c>
      <c r="B11" s="1" t="s">
        <v>382</v>
      </c>
      <c r="C11" s="1">
        <v>0.25</v>
      </c>
      <c r="D11" s="1">
        <v>30.0</v>
      </c>
      <c r="E11" s="1">
        <v>52727.0</v>
      </c>
      <c r="F11" s="1">
        <v>75899.0</v>
      </c>
      <c r="I11" s="2"/>
      <c r="K11" s="3"/>
      <c r="L11" s="9">
        <f t="shared" si="2"/>
        <v>464524.87</v>
      </c>
      <c r="M11" s="10">
        <f t="shared" si="3"/>
        <v>668670.19</v>
      </c>
      <c r="N11" s="9">
        <f t="shared" si="4"/>
        <v>0</v>
      </c>
      <c r="O11" s="11">
        <f t="shared" si="5"/>
        <v>0</v>
      </c>
      <c r="P11" s="11">
        <f t="shared" si="6"/>
        <v>668670.19</v>
      </c>
      <c r="Q11" s="11">
        <f t="shared" si="7"/>
        <v>584985.9404</v>
      </c>
      <c r="R11" s="11">
        <f t="shared" si="8"/>
        <v>1061285.968</v>
      </c>
      <c r="S11" s="6" t="str">
        <f t="shared" si="9"/>
        <v>Theurgist's Det</v>
      </c>
      <c r="T11" s="11">
        <f t="shared" si="10"/>
        <v>19338.3782</v>
      </c>
      <c r="U11" s="11"/>
    </row>
    <row r="12">
      <c r="B12" s="1" t="s">
        <v>383</v>
      </c>
      <c r="C12" s="1">
        <v>0.25</v>
      </c>
      <c r="D12" s="1">
        <v>7.5</v>
      </c>
      <c r="E12" s="1">
        <v>33074.0</v>
      </c>
      <c r="F12" s="1">
        <v>39219.0</v>
      </c>
      <c r="G12" s="1">
        <v>11225.0</v>
      </c>
      <c r="H12" s="1">
        <v>17370.0</v>
      </c>
      <c r="J12" s="1">
        <v>1.0</v>
      </c>
      <c r="K12" s="7">
        <v>2.0</v>
      </c>
      <c r="L12" s="9">
        <f t="shared" si="2"/>
        <v>291381.94</v>
      </c>
      <c r="M12" s="10">
        <f t="shared" si="3"/>
        <v>345519.39</v>
      </c>
      <c r="N12" s="9">
        <f t="shared" si="4"/>
        <v>98892.25</v>
      </c>
      <c r="O12" s="11">
        <f t="shared" si="5"/>
        <v>153029.7</v>
      </c>
      <c r="P12" s="11">
        <f t="shared" si="6"/>
        <v>651578.79</v>
      </c>
      <c r="Q12" s="11">
        <f t="shared" si="7"/>
        <v>584307.5062</v>
      </c>
      <c r="R12" s="11">
        <f t="shared" si="8"/>
        <v>1060055.148</v>
      </c>
      <c r="S12" s="6" t="str">
        <f t="shared" si="9"/>
        <v>Death Grip 2</v>
      </c>
      <c r="T12" s="11">
        <f t="shared" si="10"/>
        <v>75394.51693</v>
      </c>
      <c r="U12" s="11"/>
    </row>
    <row r="13">
      <c r="B13" s="1" t="s">
        <v>384</v>
      </c>
      <c r="C13" s="1">
        <v>0.25</v>
      </c>
      <c r="D13" s="1">
        <v>30.0</v>
      </c>
      <c r="E13" s="1">
        <v>45448.0</v>
      </c>
      <c r="F13" s="1">
        <v>70326.0</v>
      </c>
      <c r="K13" s="3"/>
      <c r="L13" s="9">
        <f t="shared" si="2"/>
        <v>400396.88</v>
      </c>
      <c r="M13" s="10">
        <f t="shared" si="3"/>
        <v>619572.06</v>
      </c>
      <c r="N13" s="9">
        <f t="shared" si="4"/>
        <v>0</v>
      </c>
      <c r="O13" s="11">
        <f t="shared" si="5"/>
        <v>0</v>
      </c>
      <c r="P13" s="11">
        <f t="shared" si="6"/>
        <v>619572.06</v>
      </c>
      <c r="Q13" s="11">
        <f t="shared" si="7"/>
        <v>533533.1084</v>
      </c>
      <c r="R13" s="11">
        <f t="shared" si="8"/>
        <v>967939.847</v>
      </c>
      <c r="S13" s="6" t="str">
        <f t="shared" si="9"/>
        <v>Arcane Bewilderment</v>
      </c>
      <c r="T13" s="11">
        <f t="shared" si="10"/>
        <v>17637.45813</v>
      </c>
      <c r="U13" s="11"/>
    </row>
    <row r="14">
      <c r="B14" s="1" t="s">
        <v>385</v>
      </c>
      <c r="C14" s="1">
        <v>1.0</v>
      </c>
      <c r="D14" s="1">
        <v>1.5</v>
      </c>
      <c r="E14" s="6">
        <f>13036+16610</f>
        <v>29646</v>
      </c>
      <c r="F14" s="6">
        <f>16234+20762</f>
        <v>36996</v>
      </c>
      <c r="G14" s="6">
        <f>684+4259</f>
        <v>4943</v>
      </c>
      <c r="H14" s="6">
        <f>896+5324</f>
        <v>6220</v>
      </c>
      <c r="J14" s="1">
        <v>1.1</v>
      </c>
      <c r="K14" s="12">
        <f>1/0.1</f>
        <v>10</v>
      </c>
      <c r="L14" s="9">
        <f t="shared" si="2"/>
        <v>261181.26</v>
      </c>
      <c r="M14" s="10">
        <f t="shared" si="3"/>
        <v>325934.76</v>
      </c>
      <c r="N14" s="9">
        <f t="shared" si="4"/>
        <v>43547.83</v>
      </c>
      <c r="O14" s="11">
        <f t="shared" si="5"/>
        <v>54798.2</v>
      </c>
      <c r="P14" s="11">
        <f t="shared" si="6"/>
        <v>928714.96</v>
      </c>
      <c r="Q14" s="11">
        <f t="shared" si="7"/>
        <v>845110.5041</v>
      </c>
      <c r="R14" s="11">
        <f t="shared" si="8"/>
        <v>649483.0726</v>
      </c>
      <c r="S14" s="6" t="str">
        <f t="shared" si="9"/>
        <v>Soulrot</v>
      </c>
      <c r="T14" s="11">
        <f t="shared" si="10"/>
        <v>338044.2016</v>
      </c>
      <c r="U14" s="11"/>
    </row>
    <row r="15">
      <c r="B15" s="1" t="s">
        <v>386</v>
      </c>
      <c r="C15" s="1">
        <v>1.0</v>
      </c>
      <c r="D15" s="1">
        <v>4.5</v>
      </c>
      <c r="E15" s="6">
        <f>53031+37041</f>
        <v>90072</v>
      </c>
      <c r="F15" s="6">
        <f>E15</f>
        <v>90072</v>
      </c>
      <c r="I15" s="2"/>
      <c r="K15" s="3"/>
      <c r="L15" s="9">
        <f t="shared" si="2"/>
        <v>793534.32</v>
      </c>
      <c r="M15" s="10">
        <f t="shared" si="3"/>
        <v>793534.32</v>
      </c>
      <c r="N15" s="9">
        <f t="shared" si="4"/>
        <v>0</v>
      </c>
      <c r="O15" s="11">
        <f t="shared" si="5"/>
        <v>0</v>
      </c>
      <c r="P15" s="11">
        <f t="shared" si="6"/>
        <v>793534.32</v>
      </c>
      <c r="Q15" s="11">
        <f t="shared" si="7"/>
        <v>793534.32</v>
      </c>
      <c r="R15" s="11">
        <f t="shared" si="8"/>
        <v>609845.82</v>
      </c>
      <c r="S15" s="6" t="str">
        <f t="shared" si="9"/>
        <v>Lifetap</v>
      </c>
      <c r="T15" s="11">
        <f t="shared" si="10"/>
        <v>144278.9673</v>
      </c>
      <c r="U15" s="11"/>
    </row>
    <row r="16">
      <c r="B16" s="1" t="s">
        <v>387</v>
      </c>
      <c r="C16" s="1">
        <v>0.25</v>
      </c>
      <c r="D16" s="1">
        <v>7.5</v>
      </c>
      <c r="E16" s="1">
        <v>33074.0</v>
      </c>
      <c r="F16" s="1">
        <v>39219.0</v>
      </c>
      <c r="G16" s="1">
        <v>11225.0</v>
      </c>
      <c r="H16" s="1">
        <v>17370.0</v>
      </c>
      <c r="J16" s="1">
        <v>1.0</v>
      </c>
      <c r="K16" s="7">
        <v>0.0</v>
      </c>
      <c r="L16" s="9">
        <f t="shared" si="2"/>
        <v>291381.94</v>
      </c>
      <c r="M16" s="10">
        <f t="shared" si="3"/>
        <v>345519.39</v>
      </c>
      <c r="N16" s="9">
        <f t="shared" si="4"/>
        <v>98892.25</v>
      </c>
      <c r="O16" s="11">
        <f t="shared" si="5"/>
        <v>153029.7</v>
      </c>
      <c r="P16" s="11">
        <f t="shared" si="6"/>
        <v>345519.39</v>
      </c>
      <c r="Q16" s="11">
        <f t="shared" si="7"/>
        <v>320751.5422</v>
      </c>
      <c r="R16" s="11">
        <f t="shared" si="8"/>
        <v>581909.9017</v>
      </c>
      <c r="S16" s="6" t="str">
        <f t="shared" si="9"/>
        <v>Death Grip 0</v>
      </c>
      <c r="T16" s="11">
        <f t="shared" si="10"/>
        <v>41387.29577</v>
      </c>
      <c r="U16" s="11"/>
    </row>
    <row r="17">
      <c r="B17" s="1" t="s">
        <v>388</v>
      </c>
      <c r="C17" s="1">
        <v>1.0</v>
      </c>
      <c r="D17" s="1">
        <v>6.0</v>
      </c>
      <c r="E17" s="6">
        <f>704+5206</f>
        <v>5910</v>
      </c>
      <c r="F17" s="6">
        <f>819+6993</f>
        <v>7812</v>
      </c>
      <c r="G17" s="6">
        <f t="shared" ref="G17:H17" si="12">E17</f>
        <v>5910</v>
      </c>
      <c r="H17" s="6">
        <f t="shared" si="12"/>
        <v>7812</v>
      </c>
      <c r="J17" s="1">
        <v>21.6</v>
      </c>
      <c r="K17" s="12">
        <f>1/2.1</f>
        <v>0.4761904762</v>
      </c>
      <c r="L17" s="9">
        <f t="shared" si="2"/>
        <v>52067.1</v>
      </c>
      <c r="M17" s="10">
        <f t="shared" si="3"/>
        <v>68823.72</v>
      </c>
      <c r="N17" s="9">
        <f t="shared" si="4"/>
        <v>52067.1</v>
      </c>
      <c r="O17" s="11">
        <f t="shared" si="5"/>
        <v>68823.72</v>
      </c>
      <c r="P17" s="11">
        <f t="shared" si="6"/>
        <v>776724.84</v>
      </c>
      <c r="Q17" s="11">
        <f t="shared" si="7"/>
        <v>695275.881</v>
      </c>
      <c r="R17" s="11">
        <f t="shared" si="8"/>
        <v>534332.39</v>
      </c>
      <c r="S17" s="6" t="str">
        <f t="shared" si="9"/>
        <v>Vampire Bats</v>
      </c>
      <c r="T17" s="11">
        <f t="shared" si="10"/>
        <v>30764.41951</v>
      </c>
      <c r="U17" s="11"/>
      <c r="V17" s="6" t="str">
        <f>if(A17=1,MAX(R$11:R$42)/R17," ")</f>
        <v> </v>
      </c>
    </row>
    <row r="18">
      <c r="A18" s="1">
        <v>1.0</v>
      </c>
      <c r="B18" s="1" t="s">
        <v>389</v>
      </c>
      <c r="C18" s="1">
        <v>1.5</v>
      </c>
      <c r="D18" s="1">
        <v>4.5</v>
      </c>
      <c r="E18" s="6">
        <f>5250+9073</f>
        <v>14323</v>
      </c>
      <c r="F18" s="6">
        <f>6101+10543</f>
        <v>16644</v>
      </c>
      <c r="G18" s="6">
        <f>791+4613</f>
        <v>5404</v>
      </c>
      <c r="H18" s="6">
        <f>919+5361</f>
        <v>6280</v>
      </c>
      <c r="J18" s="1">
        <v>5.8</v>
      </c>
      <c r="K18" s="12">
        <f>1/0.7</f>
        <v>1.428571429</v>
      </c>
      <c r="L18" s="9">
        <f t="shared" si="2"/>
        <v>126185.63</v>
      </c>
      <c r="M18" s="10">
        <f t="shared" si="3"/>
        <v>146633.64</v>
      </c>
      <c r="N18" s="9">
        <f t="shared" si="4"/>
        <v>47609.24</v>
      </c>
      <c r="O18" s="11">
        <f t="shared" si="5"/>
        <v>55326.8</v>
      </c>
      <c r="P18" s="11">
        <f t="shared" si="6"/>
        <v>605055.6971</v>
      </c>
      <c r="Q18" s="11">
        <f t="shared" si="7"/>
        <v>566022.3757</v>
      </c>
      <c r="R18" s="11">
        <f t="shared" si="8"/>
        <v>314246.5363</v>
      </c>
      <c r="S18" s="6" t="str">
        <f t="shared" si="9"/>
        <v>Pandemic</v>
      </c>
      <c r="T18" s="11">
        <f t="shared" si="10"/>
        <v>77537.31173</v>
      </c>
      <c r="U18" s="11"/>
    </row>
    <row r="19">
      <c r="A19" s="1">
        <v>1.0</v>
      </c>
      <c r="B19" s="1" t="s">
        <v>390</v>
      </c>
      <c r="C19" s="1">
        <v>1.0</v>
      </c>
      <c r="D19" s="1">
        <v>12.5</v>
      </c>
      <c r="E19" s="1">
        <v>43244.0</v>
      </c>
      <c r="F19" s="1">
        <v>43244.0</v>
      </c>
      <c r="K19" s="3"/>
      <c r="L19" s="9">
        <f t="shared" si="2"/>
        <v>380979.64</v>
      </c>
      <c r="M19" s="10">
        <f t="shared" si="3"/>
        <v>380979.64</v>
      </c>
      <c r="N19" s="9">
        <f t="shared" si="4"/>
        <v>0</v>
      </c>
      <c r="O19" s="11">
        <f t="shared" si="5"/>
        <v>0</v>
      </c>
      <c r="P19" s="11">
        <f t="shared" si="6"/>
        <v>380979.64</v>
      </c>
      <c r="Q19" s="11">
        <f t="shared" si="7"/>
        <v>380979.64</v>
      </c>
      <c r="R19" s="11">
        <f t="shared" si="8"/>
        <v>292789.9085</v>
      </c>
      <c r="S19" s="6" t="str">
        <f t="shared" si="9"/>
        <v>Bloodcloud</v>
      </c>
      <c r="T19" s="11">
        <f t="shared" si="10"/>
        <v>28220.71407</v>
      </c>
      <c r="U19" s="11"/>
    </row>
    <row r="20">
      <c r="B20" s="1" t="s">
        <v>391</v>
      </c>
      <c r="C20" s="1">
        <v>0.25</v>
      </c>
      <c r="D20" s="1">
        <v>15.0</v>
      </c>
      <c r="E20" s="1">
        <v>14143.0</v>
      </c>
      <c r="F20" s="1">
        <v>18998.0</v>
      </c>
      <c r="K20" s="3"/>
      <c r="L20" s="9">
        <f t="shared" si="2"/>
        <v>124599.83</v>
      </c>
      <c r="M20" s="10">
        <f t="shared" si="3"/>
        <v>167372.38</v>
      </c>
      <c r="N20" s="9">
        <f t="shared" si="4"/>
        <v>0</v>
      </c>
      <c r="O20" s="11">
        <f t="shared" si="5"/>
        <v>0</v>
      </c>
      <c r="P20" s="11">
        <f t="shared" si="6"/>
        <v>167372.38</v>
      </c>
      <c r="Q20" s="11">
        <f t="shared" si="7"/>
        <v>149119.0933</v>
      </c>
      <c r="R20" s="11">
        <f t="shared" si="8"/>
        <v>270532.9999</v>
      </c>
      <c r="S20" s="6" t="str">
        <f t="shared" si="9"/>
        <v>Animated Dagger</v>
      </c>
      <c r="T20" s="11">
        <f t="shared" si="10"/>
        <v>9778.3012</v>
      </c>
      <c r="U20" s="11"/>
    </row>
    <row r="21">
      <c r="K21" s="3"/>
      <c r="L21" s="9"/>
      <c r="M21" s="10"/>
      <c r="N21" s="9"/>
      <c r="O21" s="11"/>
      <c r="P21" s="11"/>
      <c r="Q21" s="11"/>
      <c r="R21" s="11"/>
      <c r="T21" s="11"/>
      <c r="U21" s="11"/>
    </row>
    <row r="22">
      <c r="K22" s="3"/>
      <c r="L22" s="9"/>
      <c r="M22" s="10"/>
      <c r="N22" s="9"/>
      <c r="O22" s="11"/>
      <c r="P22" s="11"/>
      <c r="Q22" s="11"/>
      <c r="R22" s="11"/>
      <c r="T22" s="11"/>
      <c r="U22" s="11"/>
    </row>
    <row r="23">
      <c r="I23" s="2"/>
      <c r="K23" s="3"/>
      <c r="L23" s="9"/>
      <c r="M23" s="10"/>
      <c r="N23" s="9"/>
      <c r="O23" s="11"/>
      <c r="P23" s="11"/>
      <c r="Q23" s="11"/>
      <c r="R23" s="11"/>
      <c r="T23" s="11"/>
      <c r="U23" s="11"/>
    </row>
    <row r="24">
      <c r="K24" s="3"/>
      <c r="L24" s="9"/>
      <c r="M24" s="10"/>
      <c r="N24" s="9"/>
      <c r="O24" s="11"/>
      <c r="P24" s="11"/>
      <c r="Q24" s="11"/>
      <c r="R24" s="11"/>
      <c r="T24" s="11"/>
      <c r="U24" s="11"/>
    </row>
    <row r="25">
      <c r="K25" s="3"/>
      <c r="L25" s="9"/>
      <c r="M25" s="10"/>
      <c r="N25" s="9"/>
      <c r="O25" s="11"/>
      <c r="P25" s="11"/>
      <c r="Q25" s="11"/>
      <c r="R25" s="11"/>
      <c r="T25" s="11"/>
      <c r="U25" s="11"/>
    </row>
    <row r="26">
      <c r="I26" s="2"/>
      <c r="K26" s="3"/>
      <c r="L26" s="9"/>
      <c r="M26" s="10"/>
      <c r="N26" s="9"/>
      <c r="O26" s="11"/>
      <c r="P26" s="11"/>
      <c r="Q26" s="11"/>
      <c r="R26" s="11"/>
      <c r="T26" s="11"/>
      <c r="U26" s="11"/>
    </row>
    <row r="27">
      <c r="I27" s="2"/>
      <c r="K27" s="3"/>
      <c r="L27" s="9"/>
      <c r="M27" s="10"/>
      <c r="N27" s="9"/>
      <c r="O27" s="11"/>
      <c r="P27" s="11"/>
      <c r="Q27" s="11"/>
      <c r="R27" s="11"/>
      <c r="T27" s="11"/>
      <c r="U27" s="11"/>
    </row>
    <row r="28">
      <c r="K28" s="3"/>
      <c r="L28" s="9"/>
      <c r="M28" s="10"/>
      <c r="N28" s="9"/>
      <c r="O28" s="11"/>
      <c r="P28" s="11"/>
      <c r="Q28" s="11"/>
      <c r="R28" s="11"/>
      <c r="T28" s="11"/>
      <c r="U28" s="11"/>
    </row>
    <row r="29">
      <c r="I29" s="2"/>
      <c r="K29" s="3"/>
      <c r="L29" s="9"/>
      <c r="M29" s="10"/>
      <c r="N29" s="9"/>
      <c r="O29" s="11"/>
      <c r="P29" s="11"/>
      <c r="Q29" s="11"/>
      <c r="R29" s="11"/>
      <c r="T29" s="11"/>
      <c r="U29" s="11"/>
    </row>
    <row r="30">
      <c r="K30" s="3"/>
      <c r="L30" s="9"/>
      <c r="M30" s="10"/>
      <c r="N30" s="9"/>
      <c r="O30" s="11"/>
      <c r="P30" s="11"/>
      <c r="Q30" s="11"/>
      <c r="R30" s="11"/>
      <c r="T30" s="11"/>
      <c r="U30" s="11"/>
    </row>
    <row r="31">
      <c r="I31" s="2"/>
      <c r="K31" s="3"/>
      <c r="L31" s="9"/>
      <c r="M31" s="10"/>
      <c r="N31" s="9"/>
      <c r="O31" s="11"/>
      <c r="P31" s="11"/>
      <c r="Q31" s="11"/>
      <c r="R31" s="11"/>
      <c r="T31" s="11"/>
      <c r="U31" s="11"/>
    </row>
    <row r="32">
      <c r="I32" s="2"/>
      <c r="K32" s="3"/>
      <c r="L32" s="9"/>
      <c r="M32" s="10"/>
      <c r="N32" s="9"/>
      <c r="O32" s="11"/>
      <c r="P32" s="11"/>
      <c r="Q32" s="11"/>
      <c r="R32" s="11"/>
      <c r="T32" s="11"/>
      <c r="U32" s="11"/>
    </row>
    <row r="33">
      <c r="K33" s="3"/>
      <c r="L33" s="9"/>
      <c r="M33" s="10"/>
      <c r="N33" s="9"/>
      <c r="O33" s="11"/>
      <c r="P33" s="11"/>
      <c r="Q33" s="11"/>
      <c r="R33" s="11"/>
      <c r="T33" s="11"/>
      <c r="U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  <c r="U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  <c r="U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  <c r="U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  <c r="U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  <c r="U38" s="11"/>
    </row>
    <row r="39">
      <c r="K39" s="3"/>
      <c r="L39" s="9"/>
      <c r="M39" s="10"/>
      <c r="N39" s="9"/>
      <c r="O39" s="46"/>
      <c r="P39" s="11"/>
      <c r="Q39" s="11"/>
      <c r="R39" s="11"/>
      <c r="T39" s="11"/>
      <c r="U39" s="11"/>
    </row>
    <row r="40">
      <c r="K40" s="3"/>
      <c r="L40" s="9"/>
      <c r="M40" s="10"/>
      <c r="N40" s="9"/>
      <c r="O40" s="11"/>
      <c r="P40" s="11"/>
      <c r="Q40" s="11"/>
      <c r="R40" s="11"/>
      <c r="T40" s="11"/>
      <c r="U40" s="11"/>
    </row>
    <row r="41">
      <c r="K41" s="3"/>
      <c r="L41" s="9"/>
      <c r="M41" s="10"/>
      <c r="N41" s="9"/>
      <c r="O41" s="11"/>
      <c r="P41" s="11"/>
      <c r="Q41" s="11"/>
      <c r="R41" s="11"/>
      <c r="T41" s="11"/>
      <c r="U41" s="11"/>
    </row>
    <row r="42">
      <c r="K42" s="3"/>
      <c r="L42" s="9"/>
      <c r="M42" s="10"/>
      <c r="N42" s="9"/>
      <c r="O42" s="11"/>
      <c r="P42" s="11"/>
      <c r="Q42" s="11"/>
      <c r="R42" s="11"/>
      <c r="T42" s="11"/>
      <c r="U42" s="11"/>
    </row>
    <row r="43">
      <c r="K43" s="3"/>
      <c r="L43" s="9"/>
      <c r="M43" s="10"/>
      <c r="N43" s="9"/>
      <c r="O43" s="11"/>
      <c r="P43" s="11"/>
      <c r="Q43" s="11"/>
      <c r="R43" s="11"/>
      <c r="T43" s="11"/>
      <c r="U43" s="11"/>
    </row>
    <row r="44">
      <c r="K44" s="3"/>
      <c r="L44" s="9"/>
      <c r="M44" s="10"/>
      <c r="N44" s="9"/>
      <c r="O44" s="11"/>
      <c r="P44" s="11"/>
      <c r="Q44" s="11"/>
      <c r="R44" s="11"/>
      <c r="T44" s="11">
        <f>SUM(T8:T23)</f>
        <v>1074508.762</v>
      </c>
      <c r="U44" s="13">
        <v>437355.37422036</v>
      </c>
    </row>
    <row r="45">
      <c r="K45" s="3"/>
      <c r="L45" s="9"/>
      <c r="M45" s="10"/>
      <c r="N45" s="9"/>
      <c r="O45" s="11"/>
      <c r="P45" s="11"/>
      <c r="Q45" s="11"/>
      <c r="R45" s="11"/>
      <c r="T45" s="11" t="str">
        <f>SUM(T48:T63)</f>
        <v>#DIV/0!</v>
      </c>
      <c r="U45" s="11" t="str">
        <f>T45-T44</f>
        <v>#DIV/0!</v>
      </c>
    </row>
    <row r="46">
      <c r="U46" s="53" t="str">
        <f>Average(U48:U63)</f>
        <v>#DIV/0!</v>
      </c>
    </row>
    <row r="47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13</v>
      </c>
      <c r="I47" s="5" t="s">
        <v>14</v>
      </c>
      <c r="J47" s="1" t="s">
        <v>15</v>
      </c>
      <c r="K47" s="7" t="s">
        <v>16</v>
      </c>
      <c r="L47" s="8" t="s">
        <v>17</v>
      </c>
      <c r="M47" s="1" t="s">
        <v>18</v>
      </c>
      <c r="N47" s="1" t="s">
        <v>19</v>
      </c>
      <c r="O47" s="1" t="s">
        <v>20</v>
      </c>
      <c r="P47" s="1" t="s">
        <v>21</v>
      </c>
      <c r="Q47" s="1" t="s">
        <v>22</v>
      </c>
      <c r="R47" s="1" t="s">
        <v>23</v>
      </c>
      <c r="T47" s="1" t="s">
        <v>69</v>
      </c>
      <c r="U47" s="1" t="s">
        <v>368</v>
      </c>
    </row>
    <row r="48">
      <c r="A48" s="6" t="str">
        <f t="shared" ref="A48:D48" si="13">A8</f>
        <v/>
      </c>
      <c r="B48" s="6" t="str">
        <f t="shared" si="13"/>
        <v>Bloodcoil</v>
      </c>
      <c r="C48" s="6">
        <f t="shared" si="13"/>
        <v>0.5</v>
      </c>
      <c r="D48" s="6">
        <f t="shared" si="13"/>
        <v>4</v>
      </c>
      <c r="E48" s="11">
        <f t="shared" ref="E48:F48" si="14">IF(OR($B48="Construct's Sac",$B48="Mist of Poison"),E8*($C$2/$B$2),(IF(((IF($A8=1,if(E8-1/3*$B$6&lt;(E8*2/3),E8*2/3,E8-1/3*$B$6),if(E8-$B$6&lt;(E8*2/3),E8*2/3,E8-$B$6)))/$B$2*$C$2)*1.5&lt;(((IF($A8=1,if(E8-1/3*$B$6&lt;(E8*2/3),E8*2/3,E8-1/3*$B$6),if(E8-$B$6&lt;(E8*2/3),E8*2/3,E8-$B$6)))/$B$2*$C$2)+IF($A8=1,1/3,1)*$C$6),((IF($A8=1,if(E8-1/3*$B$6&lt;(E8*2/3),E8*2/3,E8-1/3*$B$6),if(E8-$B$6&lt;(E8*2/3),E8*2/3,E8-$B$6)))/$B$2*$C$2)*1.5,((IF($A8=1,if(E8-1/3*$B$6&lt;(E8*2/3),E8*2/3,E8-1/3*$B$6),if(E8-$B$6&lt;(E8*2/3),E8*2/3,E8-$B$6)))/$B$2*$C$2)+IF($A8=1,1/3,1)*$C$6)))</f>
        <v>81304.06884</v>
      </c>
      <c r="F48" s="11">
        <f t="shared" si="14"/>
        <v>82699.79992</v>
      </c>
      <c r="G48" s="11">
        <f t="shared" ref="G48:H48" si="15">G8*$C$2/$B$2</f>
        <v>8651.206484</v>
      </c>
      <c r="H48" s="11">
        <f t="shared" si="15"/>
        <v>10053.91622</v>
      </c>
      <c r="I48" s="6" t="str">
        <f t="shared" ref="I48:K48" si="16">I8</f>
        <v/>
      </c>
      <c r="J48" s="6">
        <f t="shared" si="16"/>
        <v>22.4</v>
      </c>
      <c r="K48" s="12">
        <f t="shared" si="16"/>
        <v>0.5882352941</v>
      </c>
      <c r="L48" s="9">
        <f t="shared" ref="L48:L65" si="21">(1+$D$2)*if(E48*($C$1+$I48)&lt;(F48+1),F48+1,E48*($I48+$C$1))</f>
        <v>1528903.501</v>
      </c>
      <c r="M48" s="10">
        <f t="shared" ref="M48:M65" si="22">(1+$D$2)*F48*($C$1+$I48)</f>
        <v>1555149.889</v>
      </c>
      <c r="N48" s="9">
        <f t="shared" ref="N48:N65" si="23">(1+$D$2)*(IF($S48="Shatter Rain",$B$5,1))*(if(if(G48*($C$1+$I48)&lt;(H48+1),H48+1,G48*($I48+$C$1))=1,0,if(G48*($C$1+$I48)&lt;(H48+1),H48+1,G48*($I48+$C$1))))</f>
        <v>162683.8616</v>
      </c>
      <c r="O48" s="11">
        <f t="shared" ref="O48:O65" si="24">(1+$D$2)*(IF($S48="Shatter Rain",$B$5,1))*(H48*($C$1+$I48))</f>
        <v>189061.4816</v>
      </c>
      <c r="P48" s="11">
        <f t="shared" ref="P48:P65" si="25">M48+O48*K48*J48</f>
        <v>4046312.941</v>
      </c>
      <c r="Q48" s="11">
        <f t="shared" ref="Q48:Q65" si="26">(if($A48=1,$B$5,1)*((L48*E48+F48*M48)/(E48+F48)+if(G48&gt;0,(N48*G48+H48*O48)/(G48+H48)*J48*K48,0)))</f>
        <v>3872551.49</v>
      </c>
      <c r="R48" s="11">
        <f t="shared" ref="R48:R65" si="27">Q48/(C48+0.5*(1/(1+$C$3)))</f>
        <v>4833410.13</v>
      </c>
      <c r="S48" s="6" t="str">
        <f t="shared" ref="S48:S65" si="28">B48</f>
        <v>Bloodcoil</v>
      </c>
      <c r="T48" s="11">
        <f t="shared" ref="T48:T65" si="29">$Q48/(($C48+IF($D48&lt;=$J48,if($J48&gt;1,$J48,$D48),$D48)))</f>
        <v>169107.052</v>
      </c>
      <c r="U48" s="2">
        <f t="shared" ref="U48:U65" si="30">(T48-T8)/T8</f>
        <v>1.462182401</v>
      </c>
    </row>
    <row r="49">
      <c r="A49" s="6" t="str">
        <f t="shared" ref="A49:D49" si="17">A9</f>
        <v/>
      </c>
      <c r="B49" s="6" t="str">
        <f t="shared" si="17"/>
        <v>Death Grip 5</v>
      </c>
      <c r="C49" s="6">
        <f t="shared" si="17"/>
        <v>0.25</v>
      </c>
      <c r="D49" s="6">
        <f t="shared" si="17"/>
        <v>7.5</v>
      </c>
      <c r="E49" s="11">
        <f t="shared" ref="E49:F49" si="18">IF(OR($B49="Construct's Sac",$B49="Mist of Poison"),E9*($C$2/$B$2),(IF(((IF($A9=1,if(E9-1/3*$B$6&lt;(E9*2/3),E9*2/3,E9-1/3*$B$6),if(E9-$B$6&lt;(E9*2/3),E9*2/3,E9-$B$6)))/$B$2*$C$2)*1.5&lt;(((IF($A9=1,if(E9-1/3*$B$6&lt;(E9*2/3),E9*2/3,E9-1/3*$B$6),if(E9-$B$6&lt;(E9*2/3),E9*2/3,E9-$B$6)))/$B$2*$C$2)+IF($A9=1,1/3,1)*$C$6),((IF($A9=1,if(E9-1/3*$B$6&lt;(E9*2/3),E9*2/3,E9-1/3*$B$6),if(E9-$B$6&lt;(E9*2/3),E9*2/3,E9-$B$6)))/$B$2*$C$2)*1.5,((IF($A9=1,if(E9-1/3*$B$6&lt;(E9*2/3),E9*2/3,E9-1/3*$B$6),if(E9-$B$6&lt;(E9*2/3),E9*2/3,E9-$B$6)))/$B$2*$C$2)+IF($A9=1,1/3,1)*$C$6)))</f>
        <v>36758.14827</v>
      </c>
      <c r="F49" s="11">
        <f t="shared" si="18"/>
        <v>43905.45452</v>
      </c>
      <c r="G49" s="11">
        <f t="shared" ref="G49:H49" si="19">G9*$C$2/$B$2</f>
        <v>13055.90115</v>
      </c>
      <c r="H49" s="11">
        <f t="shared" si="19"/>
        <v>20203.2074</v>
      </c>
      <c r="I49" s="6" t="str">
        <f t="shared" ref="I49:K49" si="20">I9</f>
        <v/>
      </c>
      <c r="J49" s="6">
        <f t="shared" si="20"/>
        <v>1</v>
      </c>
      <c r="K49" s="12">
        <f t="shared" si="20"/>
        <v>4</v>
      </c>
      <c r="L49" s="9">
        <f t="shared" si="21"/>
        <v>691228.1563</v>
      </c>
      <c r="M49" s="10">
        <f t="shared" si="22"/>
        <v>825631.5349</v>
      </c>
      <c r="N49" s="9">
        <f t="shared" si="23"/>
        <v>245513.0878</v>
      </c>
      <c r="O49" s="11">
        <f t="shared" si="24"/>
        <v>379916.4664</v>
      </c>
      <c r="P49" s="11">
        <f t="shared" si="25"/>
        <v>2345297.4</v>
      </c>
      <c r="Q49" s="11">
        <f t="shared" si="26"/>
        <v>2073009.406</v>
      </c>
      <c r="R49" s="11">
        <f t="shared" si="27"/>
        <v>3760869.523</v>
      </c>
      <c r="S49" s="6" t="str">
        <f t="shared" si="28"/>
        <v>Death Grip 5</v>
      </c>
      <c r="T49" s="11">
        <f t="shared" si="29"/>
        <v>267485.0846</v>
      </c>
      <c r="U49" s="2">
        <f t="shared" si="30"/>
        <v>1.44498021</v>
      </c>
    </row>
    <row r="50">
      <c r="A50" s="6" t="str">
        <f t="shared" ref="A50:D50" si="31">A10</f>
        <v/>
      </c>
      <c r="B50" s="6" t="str">
        <f t="shared" si="31"/>
        <v>Bloodcoil Spam</v>
      </c>
      <c r="C50" s="6">
        <f t="shared" si="31"/>
        <v>0.5</v>
      </c>
      <c r="D50" s="6">
        <f t="shared" si="31"/>
        <v>4</v>
      </c>
      <c r="E50" s="11">
        <f t="shared" ref="E50:F50" si="32">IF(OR($B50="Construct's Sac",$B50="Mist of Poison"),E10*($C$2/$B$2),(IF(((IF($A10=1,if(E10-1/3*$B$6&lt;(E10*2/3),E10*2/3,E10-1/3*$B$6),if(E10-$B$6&lt;(E10*2/3),E10*2/3,E10-$B$6)))/$B$2*$C$2)*1.5&lt;(((IF($A10=1,if(E10-1/3*$B$6&lt;(E10*2/3),E10*2/3,E10-1/3*$B$6),if(E10-$B$6&lt;(E10*2/3),E10*2/3,E10-$B$6)))/$B$2*$C$2)+IF($A10=1,1/3,1)*$C$6),((IF($A10=1,if(E10-1/3*$B$6&lt;(E10*2/3),E10*2/3,E10-1/3*$B$6),if(E10-$B$6&lt;(E10*2/3),E10*2/3,E10-$B$6)))/$B$2*$C$2)*1.5,((IF($A10=1,if(E10-1/3*$B$6&lt;(E10*2/3),E10*2/3,E10-1/3*$B$6),if(E10-$B$6&lt;(E10*2/3),E10*2/3,E10-$B$6)))/$B$2*$C$2)+IF($A10=1,1/3,1)*$C$6)))</f>
        <v>81304.06884</v>
      </c>
      <c r="F50" s="11">
        <f t="shared" si="32"/>
        <v>82699.79992</v>
      </c>
      <c r="G50" s="11">
        <f t="shared" ref="G50:H50" si="33">G10*$C$2/$B$2</f>
        <v>8651.206484</v>
      </c>
      <c r="H50" s="11">
        <f t="shared" si="33"/>
        <v>10053.91622</v>
      </c>
      <c r="I50" s="6" t="str">
        <f t="shared" ref="I50:K50" si="34">I10</f>
        <v/>
      </c>
      <c r="J50" s="6">
        <f t="shared" si="34"/>
        <v>8</v>
      </c>
      <c r="K50" s="12">
        <f t="shared" si="34"/>
        <v>0.5882352941</v>
      </c>
      <c r="L50" s="9">
        <f t="shared" si="21"/>
        <v>1528903.501</v>
      </c>
      <c r="M50" s="10">
        <f t="shared" si="22"/>
        <v>1555149.889</v>
      </c>
      <c r="N50" s="9">
        <f t="shared" si="23"/>
        <v>162683.8616</v>
      </c>
      <c r="O50" s="11">
        <f t="shared" si="24"/>
        <v>189061.4816</v>
      </c>
      <c r="P50" s="11">
        <f t="shared" si="25"/>
        <v>2444850.979</v>
      </c>
      <c r="Q50" s="11">
        <f t="shared" si="26"/>
        <v>2374428.775</v>
      </c>
      <c r="R50" s="11">
        <f t="shared" si="27"/>
        <v>2963572.757</v>
      </c>
      <c r="S50" s="6" t="str">
        <f t="shared" si="28"/>
        <v>Bloodcoil Spam</v>
      </c>
      <c r="T50" s="11">
        <f t="shared" si="29"/>
        <v>279344.5618</v>
      </c>
      <c r="U50" s="2">
        <f t="shared" si="30"/>
        <v>1.449452218</v>
      </c>
    </row>
    <row r="51">
      <c r="A51" s="6">
        <f t="shared" ref="A51:D51" si="35">A11</f>
        <v>1</v>
      </c>
      <c r="B51" s="6" t="str">
        <f t="shared" si="35"/>
        <v>Theurgist's Det</v>
      </c>
      <c r="C51" s="6">
        <f t="shared" si="35"/>
        <v>0.25</v>
      </c>
      <c r="D51" s="6">
        <f t="shared" si="35"/>
        <v>30</v>
      </c>
      <c r="E51" s="11">
        <f t="shared" ref="E51:F51" si="36">IF(OR($B51="Construct's Sac",$B51="Mist of Poison"),E11*($C$2/$B$2),(IF(((IF($A11=1,if(E11-1/3*$B$6&lt;(E11*2/3),E11*2/3,E11-1/3*$B$6),if(E11-$B$6&lt;(E11*2/3),E11*2/3,E11-$B$6)))/$B$2*$C$2)*1.5&lt;(((IF($A11=1,if(E11-1/3*$B$6&lt;(E11*2/3),E11*2/3,E11-1/3*$B$6),if(E11-$B$6&lt;(E11*2/3),E11*2/3,E11-$B$6)))/$B$2*$C$2)+IF($A11=1,1/3,1)*$C$6),((IF($A11=1,if(E11-1/3*$B$6&lt;(E11*2/3),E11*2/3,E11-1/3*$B$6),if(E11-$B$6&lt;(E11*2/3),E11*2/3,E11-$B$6)))/$B$2*$C$2)*1.5,((IF($A11=1,if(E11-1/3*$B$6&lt;(E11*2/3),E11*2/3,E11-1/3*$B$6),if(E11-$B$6&lt;(E11*2/3),E11*2/3,E11-$B$6)))/$B$2*$C$2)+IF($A11=1,1/3,1)*$C$6)))</f>
        <v>60757.08508</v>
      </c>
      <c r="F51" s="11">
        <f t="shared" si="36"/>
        <v>87708.65226</v>
      </c>
      <c r="G51" s="11">
        <f t="shared" ref="G51:H51" si="37">G11*$C$2/$B$2</f>
        <v>0</v>
      </c>
      <c r="H51" s="11">
        <f t="shared" si="37"/>
        <v>0</v>
      </c>
      <c r="I51" s="6" t="str">
        <f t="shared" ref="I51:K51" si="38">I11</f>
        <v/>
      </c>
      <c r="J51" s="6" t="str">
        <f t="shared" si="38"/>
        <v/>
      </c>
      <c r="K51" s="12" t="str">
        <f t="shared" si="38"/>
        <v/>
      </c>
      <c r="L51" s="9">
        <f t="shared" si="21"/>
        <v>1142522.403</v>
      </c>
      <c r="M51" s="10">
        <f t="shared" si="22"/>
        <v>1649340.156</v>
      </c>
      <c r="N51" s="9">
        <f t="shared" si="23"/>
        <v>0</v>
      </c>
      <c r="O51" s="11">
        <f t="shared" si="24"/>
        <v>0</v>
      </c>
      <c r="P51" s="11">
        <f t="shared" si="25"/>
        <v>1649340.156</v>
      </c>
      <c r="Q51" s="11">
        <f t="shared" si="26"/>
        <v>1441933.586</v>
      </c>
      <c r="R51" s="11">
        <f t="shared" si="27"/>
        <v>2615966.943</v>
      </c>
      <c r="S51" s="6" t="str">
        <f t="shared" si="28"/>
        <v>Theurgist's Det</v>
      </c>
      <c r="T51" s="11">
        <f t="shared" si="29"/>
        <v>47667.22598</v>
      </c>
      <c r="U51" s="2">
        <f t="shared" si="30"/>
        <v>1.464902977</v>
      </c>
    </row>
    <row r="52">
      <c r="A52" s="6" t="str">
        <f t="shared" ref="A52:D52" si="39">A12</f>
        <v/>
      </c>
      <c r="B52" s="6" t="str">
        <f t="shared" si="39"/>
        <v>Death Grip 2</v>
      </c>
      <c r="C52" s="6">
        <f t="shared" si="39"/>
        <v>0.25</v>
      </c>
      <c r="D52" s="6">
        <f t="shared" si="39"/>
        <v>7.5</v>
      </c>
      <c r="E52" s="11">
        <f t="shared" ref="E52:F52" si="40">IF(OR($B52="Construct's Sac",$B52="Mist of Poison"),E12*($C$2/$B$2),(IF(((IF($A12=1,if(E12-1/3*$B$6&lt;(E12*2/3),E12*2/3,E12-1/3*$B$6),if(E12-$B$6&lt;(E12*2/3),E12*2/3,E12-$B$6)))/$B$2*$C$2)*1.5&lt;(((IF($A12=1,if(E12-1/3*$B$6&lt;(E12*2/3),E12*2/3,E12-1/3*$B$6),if(E12-$B$6&lt;(E12*2/3),E12*2/3,E12-$B$6)))/$B$2*$C$2)+IF($A12=1,1/3,1)*$C$6),((IF($A12=1,if(E12-1/3*$B$6&lt;(E12*2/3),E12*2/3,E12-1/3*$B$6),if(E12-$B$6&lt;(E12*2/3),E12*2/3,E12-$B$6)))/$B$2*$C$2)*1.5,((IF($A12=1,if(E12-1/3*$B$6&lt;(E12*2/3),E12*2/3,E12-1/3*$B$6),if(E12-$B$6&lt;(E12*2/3),E12*2/3,E12-$B$6)))/$B$2*$C$2)+IF($A12=1,1/3,1)*$C$6)))</f>
        <v>36758.14827</v>
      </c>
      <c r="F52" s="11">
        <f t="shared" si="40"/>
        <v>43905.45452</v>
      </c>
      <c r="G52" s="11">
        <f t="shared" ref="G52:H52" si="41">G12*$C$2/$B$2</f>
        <v>13055.90115</v>
      </c>
      <c r="H52" s="11">
        <f t="shared" si="41"/>
        <v>20203.2074</v>
      </c>
      <c r="I52" s="6" t="str">
        <f t="shared" ref="I52:K52" si="42">I12</f>
        <v/>
      </c>
      <c r="J52" s="6">
        <f t="shared" si="42"/>
        <v>1</v>
      </c>
      <c r="K52" s="12">
        <f t="shared" si="42"/>
        <v>2</v>
      </c>
      <c r="L52" s="9">
        <f t="shared" si="21"/>
        <v>691228.1563</v>
      </c>
      <c r="M52" s="10">
        <f t="shared" si="22"/>
        <v>825631.5349</v>
      </c>
      <c r="N52" s="9">
        <f t="shared" si="23"/>
        <v>245513.0878</v>
      </c>
      <c r="O52" s="11">
        <f t="shared" si="24"/>
        <v>379916.4664</v>
      </c>
      <c r="P52" s="11">
        <f t="shared" si="25"/>
        <v>1585464.468</v>
      </c>
      <c r="Q52" s="11">
        <f t="shared" si="26"/>
        <v>1418696.873</v>
      </c>
      <c r="R52" s="11">
        <f t="shared" si="27"/>
        <v>2573810.721</v>
      </c>
      <c r="S52" s="6" t="str">
        <f t="shared" si="28"/>
        <v>Death Grip 2</v>
      </c>
      <c r="T52" s="11">
        <f t="shared" si="29"/>
        <v>183057.6611</v>
      </c>
      <c r="U52" s="2">
        <f t="shared" si="30"/>
        <v>1.427997002</v>
      </c>
    </row>
    <row r="53">
      <c r="A53" s="6" t="str">
        <f t="shared" ref="A53:D53" si="43">A13</f>
        <v/>
      </c>
      <c r="B53" s="6" t="str">
        <f t="shared" si="43"/>
        <v>Arcane Bewilderment</v>
      </c>
      <c r="C53" s="6">
        <f t="shared" si="43"/>
        <v>0.25</v>
      </c>
      <c r="D53" s="6">
        <f t="shared" si="43"/>
        <v>30</v>
      </c>
      <c r="E53" s="11">
        <f t="shared" ref="E53:F53" si="44">IF(OR($B53="Construct's Sac",$B53="Mist of Poison"),E13*($C$2/$B$2),(IF(((IF($A13=1,if(E13-1/3*$B$6&lt;(E13*2/3),E13*2/3,E13-1/3*$B$6),if(E13-$B$6&lt;(E13*2/3),E13*2/3,E13-$B$6)))/$B$2*$C$2)*1.5&lt;(((IF($A13=1,if(E13-1/3*$B$6&lt;(E13*2/3),E13*2/3,E13-1/3*$B$6),if(E13-$B$6&lt;(E13*2/3),E13*2/3,E13-$B$6)))/$B$2*$C$2)+IF($A13=1,1/3,1)*$C$6),((IF($A13=1,if(E13-1/3*$B$6&lt;(E13*2/3),E13*2/3,E13-1/3*$B$6),if(E13-$B$6&lt;(E13*2/3),E13*2/3,E13-$B$6)))/$B$2*$C$2)*1.5,((IF($A13=1,if(E13-1/3*$B$6&lt;(E13*2/3),E13*2/3,E13-1/3*$B$6),if(E13-$B$6&lt;(E13*2/3),E13*2/3,E13-$B$6)))/$B$2*$C$2)+IF($A13=1,1/3,1)*$C$6)))</f>
        <v>51150.46194</v>
      </c>
      <c r="F53" s="11">
        <f t="shared" si="44"/>
        <v>80086.29347</v>
      </c>
      <c r="G53" s="11">
        <f t="shared" ref="G53:H53" si="45">G13*$C$2/$B$2</f>
        <v>0</v>
      </c>
      <c r="H53" s="11">
        <f t="shared" si="45"/>
        <v>0</v>
      </c>
      <c r="I53" s="6" t="str">
        <f t="shared" ref="I53:K53" si="46">I13</f>
        <v/>
      </c>
      <c r="J53" s="6" t="str">
        <f t="shared" si="46"/>
        <v/>
      </c>
      <c r="K53" s="12" t="str">
        <f t="shared" si="46"/>
        <v/>
      </c>
      <c r="L53" s="9">
        <f t="shared" si="21"/>
        <v>961872.1606</v>
      </c>
      <c r="M53" s="10">
        <f t="shared" si="22"/>
        <v>1506003.528</v>
      </c>
      <c r="N53" s="9">
        <f t="shared" si="23"/>
        <v>0</v>
      </c>
      <c r="O53" s="11">
        <f t="shared" si="24"/>
        <v>0</v>
      </c>
      <c r="P53" s="11">
        <f t="shared" si="25"/>
        <v>1506003.528</v>
      </c>
      <c r="Q53" s="11">
        <f t="shared" si="26"/>
        <v>1293924.445</v>
      </c>
      <c r="R53" s="11">
        <f t="shared" si="27"/>
        <v>2347447.626</v>
      </c>
      <c r="S53" s="6" t="str">
        <f t="shared" si="28"/>
        <v>Arcane Bewilderment</v>
      </c>
      <c r="T53" s="11">
        <f t="shared" si="29"/>
        <v>42774.3618</v>
      </c>
      <c r="U53" s="2">
        <f t="shared" si="30"/>
        <v>1.425199906</v>
      </c>
    </row>
    <row r="54">
      <c r="A54" s="6" t="str">
        <f t="shared" ref="A54:D54" si="47">A14</f>
        <v/>
      </c>
      <c r="B54" s="6" t="str">
        <f t="shared" si="47"/>
        <v>Soulrot</v>
      </c>
      <c r="C54" s="6">
        <f t="shared" si="47"/>
        <v>1</v>
      </c>
      <c r="D54" s="6">
        <f t="shared" si="47"/>
        <v>1.5</v>
      </c>
      <c r="E54" s="11">
        <f t="shared" ref="E54:F54" si="48">IF(OR($B54="Construct's Sac",$B54="Mist of Poison"),E14*($C$2/$B$2),(IF(((IF($A14=1,if(E14-1/3*$B$6&lt;(E14*2/3),E14*2/3,E14-1/3*$B$6),if(E14-$B$6&lt;(E14*2/3),E14*2/3,E14-$B$6)))/$B$2*$C$2)*1.5&lt;(((IF($A14=1,if(E14-1/3*$B$6&lt;(E14*2/3),E14*2/3,E14-1/3*$B$6),if(E14-$B$6&lt;(E14*2/3),E14*2/3,E14-$B$6)))/$B$2*$C$2)+IF($A14=1,1/3,1)*$C$6),((IF($A14=1,if(E14-1/3*$B$6&lt;(E14*2/3),E14*2/3,E14-1/3*$B$6),if(E14-$B$6&lt;(E14*2/3),E14*2/3,E14-$B$6)))/$B$2*$C$2)*1.5,((IF($A14=1,if(E14-1/3*$B$6&lt;(E14*2/3),E14*2/3,E14-1/3*$B$6),if(E14-$B$6&lt;(E14*2/3),E14*2/3,E14-$B$6)))/$B$2*$C$2)+IF($A14=1,1/3,1)*$C$6)))</f>
        <v>33474.69091</v>
      </c>
      <c r="F54" s="11">
        <f t="shared" si="48"/>
        <v>41319.86269</v>
      </c>
      <c r="G54" s="11">
        <f t="shared" ref="G54:H54" si="49">G14*$C$2/$B$2</f>
        <v>5749.248945</v>
      </c>
      <c r="H54" s="11">
        <f t="shared" si="49"/>
        <v>7234.539437</v>
      </c>
      <c r="I54" s="6" t="str">
        <f t="shared" ref="I54:K54" si="50">I14</f>
        <v/>
      </c>
      <c r="J54" s="6">
        <f t="shared" si="50"/>
        <v>1.1</v>
      </c>
      <c r="K54" s="12">
        <f t="shared" si="50"/>
        <v>10</v>
      </c>
      <c r="L54" s="9">
        <f t="shared" si="21"/>
        <v>629483.5286</v>
      </c>
      <c r="M54" s="10">
        <f t="shared" si="22"/>
        <v>777010.1011</v>
      </c>
      <c r="N54" s="9">
        <f t="shared" si="23"/>
        <v>108113.2466</v>
      </c>
      <c r="O54" s="11">
        <f t="shared" si="24"/>
        <v>136043.7778</v>
      </c>
      <c r="P54" s="11">
        <f t="shared" si="25"/>
        <v>2273491.657</v>
      </c>
      <c r="Q54" s="11">
        <f t="shared" si="26"/>
        <v>2071420.692</v>
      </c>
      <c r="R54" s="11">
        <f t="shared" si="27"/>
        <v>1591925.162</v>
      </c>
      <c r="S54" s="6" t="str">
        <f t="shared" si="28"/>
        <v>Soulrot</v>
      </c>
      <c r="T54" s="11">
        <f t="shared" si="29"/>
        <v>828568.2769</v>
      </c>
      <c r="U54" s="2">
        <f t="shared" si="30"/>
        <v>1.451064899</v>
      </c>
    </row>
    <row r="55">
      <c r="A55" s="6" t="str">
        <f t="shared" ref="A55:D55" si="51">A15</f>
        <v/>
      </c>
      <c r="B55" s="6" t="str">
        <f t="shared" si="51"/>
        <v>Lifetap</v>
      </c>
      <c r="C55" s="6">
        <f t="shared" si="51"/>
        <v>1</v>
      </c>
      <c r="D55" s="6">
        <f t="shared" si="51"/>
        <v>4.5</v>
      </c>
      <c r="E55" s="11">
        <f t="shared" ref="E55:F55" si="52">IF(OR($B55="Construct's Sac",$B55="Mist of Poison"),E15*($C$2/$B$2),(IF(((IF($A15=1,if(E15-1/3*$B$6&lt;(E15*2/3),E15*2/3,E15-1/3*$B$6),if(E15-$B$6&lt;(E15*2/3),E15*2/3,E15-$B$6)))/$B$2*$C$2)*1.5&lt;(((IF($A15=1,if(E15-1/3*$B$6&lt;(E15*2/3),E15*2/3,E15-1/3*$B$6),if(E15-$B$6&lt;(E15*2/3),E15*2/3,E15-$B$6)))/$B$2*$C$2)+IF($A15=1,1/3,1)*$C$6),((IF($A15=1,if(E15-1/3*$B$6&lt;(E15*2/3),E15*2/3,E15-1/3*$B$6),if(E15-$B$6&lt;(E15*2/3),E15*2/3,E15-$B$6)))/$B$2*$C$2)*1.5,((IF($A15=1,if(E15-1/3*$B$6&lt;(E15*2/3),E15*2/3,E15-1/3*$B$6),if(E15-$B$6&lt;(E15*2/3),E15*2/3,E15-$B$6)))/$B$2*$C$2)+IF($A15=1,1/3,1)*$C$6)))</f>
        <v>103053.0484</v>
      </c>
      <c r="F55" s="11">
        <f t="shared" si="52"/>
        <v>103053.0484</v>
      </c>
      <c r="G55" s="11">
        <f t="shared" ref="G55:H55" si="53">G15*$C$2/$B$2</f>
        <v>0</v>
      </c>
      <c r="H55" s="11">
        <f t="shared" si="53"/>
        <v>0</v>
      </c>
      <c r="I55" s="6" t="str">
        <f t="shared" ref="I55:K55" si="54">I15</f>
        <v/>
      </c>
      <c r="J55" s="6" t="str">
        <f t="shared" si="54"/>
        <v/>
      </c>
      <c r="K55" s="12" t="str">
        <f t="shared" si="54"/>
        <v/>
      </c>
      <c r="L55" s="9">
        <f t="shared" si="21"/>
        <v>1937887.843</v>
      </c>
      <c r="M55" s="10">
        <f t="shared" si="22"/>
        <v>1937887.843</v>
      </c>
      <c r="N55" s="9">
        <f t="shared" si="23"/>
        <v>0</v>
      </c>
      <c r="O55" s="11">
        <f t="shared" si="24"/>
        <v>0</v>
      </c>
      <c r="P55" s="11">
        <f t="shared" si="25"/>
        <v>1937887.843</v>
      </c>
      <c r="Q55" s="11">
        <f t="shared" si="26"/>
        <v>1937887.843</v>
      </c>
      <c r="R55" s="11">
        <f t="shared" si="27"/>
        <v>1489302.694</v>
      </c>
      <c r="S55" s="6" t="str">
        <f t="shared" si="28"/>
        <v>Lifetap</v>
      </c>
      <c r="T55" s="11">
        <f t="shared" si="29"/>
        <v>352343.2441</v>
      </c>
      <c r="U55" s="2">
        <f t="shared" si="30"/>
        <v>1.442097076</v>
      </c>
    </row>
    <row r="56">
      <c r="A56" s="6" t="str">
        <f t="shared" ref="A56:D56" si="55">A16</f>
        <v/>
      </c>
      <c r="B56" s="6" t="str">
        <f t="shared" si="55"/>
        <v>Death Grip 0</v>
      </c>
      <c r="C56" s="6">
        <f t="shared" si="55"/>
        <v>0.25</v>
      </c>
      <c r="D56" s="6">
        <f t="shared" si="55"/>
        <v>7.5</v>
      </c>
      <c r="E56" s="11">
        <f t="shared" ref="E56:F56" si="56">IF(OR($B56="Construct's Sac",$B56="Mist of Poison"),E16*($C$2/$B$2),(IF(((IF($A16=1,if(E16-1/3*$B$6&lt;(E16*2/3),E16*2/3,E16-1/3*$B$6),if(E16-$B$6&lt;(E16*2/3),E16*2/3,E16-$B$6)))/$B$2*$C$2)*1.5&lt;(((IF($A16=1,if(E16-1/3*$B$6&lt;(E16*2/3),E16*2/3,E16-1/3*$B$6),if(E16-$B$6&lt;(E16*2/3),E16*2/3,E16-$B$6)))/$B$2*$C$2)+IF($A16=1,1/3,1)*$C$6),((IF($A16=1,if(E16-1/3*$B$6&lt;(E16*2/3),E16*2/3,E16-1/3*$B$6),if(E16-$B$6&lt;(E16*2/3),E16*2/3,E16-$B$6)))/$B$2*$C$2)*1.5,((IF($A16=1,if(E16-1/3*$B$6&lt;(E16*2/3),E16*2/3,E16-1/3*$B$6),if(E16-$B$6&lt;(E16*2/3),E16*2/3,E16-$B$6)))/$B$2*$C$2)+IF($A16=1,1/3,1)*$C$6)))</f>
        <v>36758.14827</v>
      </c>
      <c r="F56" s="11">
        <f t="shared" si="56"/>
        <v>43905.45452</v>
      </c>
      <c r="G56" s="11">
        <f t="shared" ref="G56:H56" si="57">G16*$C$2/$B$2</f>
        <v>13055.90115</v>
      </c>
      <c r="H56" s="11">
        <f t="shared" si="57"/>
        <v>20203.2074</v>
      </c>
      <c r="I56" s="6" t="str">
        <f t="shared" ref="I56:K56" si="58">I16</f>
        <v/>
      </c>
      <c r="J56" s="6">
        <f t="shared" si="58"/>
        <v>1</v>
      </c>
      <c r="K56" s="12">
        <f t="shared" si="58"/>
        <v>0</v>
      </c>
      <c r="L56" s="9">
        <f t="shared" si="21"/>
        <v>691228.1563</v>
      </c>
      <c r="M56" s="10">
        <f t="shared" si="22"/>
        <v>825631.5349</v>
      </c>
      <c r="N56" s="9">
        <f t="shared" si="23"/>
        <v>245513.0878</v>
      </c>
      <c r="O56" s="11">
        <f t="shared" si="24"/>
        <v>379916.4664</v>
      </c>
      <c r="P56" s="11">
        <f t="shared" si="25"/>
        <v>825631.5349</v>
      </c>
      <c r="Q56" s="11">
        <f t="shared" si="26"/>
        <v>764384.341</v>
      </c>
      <c r="R56" s="11">
        <f t="shared" si="27"/>
        <v>1386751.919</v>
      </c>
      <c r="S56" s="6" t="str">
        <f t="shared" si="28"/>
        <v>Death Grip 0</v>
      </c>
      <c r="T56" s="11">
        <f t="shared" si="29"/>
        <v>98630.23755</v>
      </c>
      <c r="U56" s="2">
        <f t="shared" si="30"/>
        <v>1.38310418</v>
      </c>
    </row>
    <row r="57">
      <c r="A57" s="6" t="str">
        <f t="shared" ref="A57:D57" si="59">A17</f>
        <v/>
      </c>
      <c r="B57" s="6" t="str">
        <f t="shared" si="59"/>
        <v>Vampire Bats</v>
      </c>
      <c r="C57" s="6">
        <f t="shared" si="59"/>
        <v>1</v>
      </c>
      <c r="D57" s="6">
        <f t="shared" si="59"/>
        <v>6</v>
      </c>
      <c r="E57" s="11">
        <f t="shared" ref="E57:F57" si="60">IF(OR($B57="Construct's Sac",$B57="Mist of Poison"),E17*($C$2/$B$2),(IF(((IF($A17=1,if(E17-1/3*$B$6&lt;(E17*2/3),E17*2/3,E17-1/3*$B$6),if(E17-$B$6&lt;(E17*2/3),E17*2/3,E17-$B$6)))/$B$2*$C$2)*1.5&lt;(((IF($A17=1,if(E17-1/3*$B$6&lt;(E17*2/3),E17*2/3,E17-1/3*$B$6),if(E17-$B$6&lt;(E17*2/3),E17*2/3,E17-$B$6)))/$B$2*$C$2)+IF($A17=1,1/3,1)*$C$6),((IF($A17=1,if(E17-1/3*$B$6&lt;(E17*2/3),E17*2/3,E17-1/3*$B$6),if(E17-$B$6&lt;(E17*2/3),E17*2/3,E17-$B$6)))/$B$2*$C$2)*1.5,((IF($A17=1,if(E17-1/3*$B$6&lt;(E17*2/3),E17*2/3,E17-1/3*$B$6),if(E17-$B$6&lt;(E17*2/3),E17*2/3,E17-$B$6)))/$B$2*$C$2)+IF($A17=1,1/3,1)*$C$6)))</f>
        <v>6873.975574</v>
      </c>
      <c r="F57" s="11">
        <f t="shared" si="60"/>
        <v>9086.209338</v>
      </c>
      <c r="G57" s="11">
        <f t="shared" ref="G57:H57" si="61">G17*$C$2/$B$2</f>
        <v>6873.975574</v>
      </c>
      <c r="H57" s="11">
        <f t="shared" si="61"/>
        <v>9086.209338</v>
      </c>
      <c r="I57" s="6" t="str">
        <f t="shared" ref="I57:K57" si="62">I17</f>
        <v/>
      </c>
      <c r="J57" s="6">
        <f t="shared" si="62"/>
        <v>21.6</v>
      </c>
      <c r="K57" s="12">
        <f t="shared" si="62"/>
        <v>0.4761904762</v>
      </c>
      <c r="L57" s="9">
        <f t="shared" si="21"/>
        <v>129263.4609</v>
      </c>
      <c r="M57" s="10">
        <f t="shared" si="22"/>
        <v>170863.9859</v>
      </c>
      <c r="N57" s="9">
        <f t="shared" si="23"/>
        <v>129263.4609</v>
      </c>
      <c r="O57" s="11">
        <f t="shared" si="24"/>
        <v>170863.9859</v>
      </c>
      <c r="P57" s="11">
        <f t="shared" si="25"/>
        <v>1928322.127</v>
      </c>
      <c r="Q57" s="11">
        <f t="shared" si="26"/>
        <v>1726114.315</v>
      </c>
      <c r="R57" s="11">
        <f t="shared" si="27"/>
        <v>1326550.816</v>
      </c>
      <c r="S57" s="6" t="str">
        <f t="shared" si="28"/>
        <v>Vampire Bats</v>
      </c>
      <c r="T57" s="11">
        <f t="shared" si="29"/>
        <v>76376.73962</v>
      </c>
      <c r="U57" s="2">
        <f t="shared" si="30"/>
        <v>1.482632236</v>
      </c>
    </row>
    <row r="58">
      <c r="A58" s="6">
        <f t="shared" ref="A58:D58" si="63">A18</f>
        <v>1</v>
      </c>
      <c r="B58" s="6" t="str">
        <f t="shared" si="63"/>
        <v>Pandemic</v>
      </c>
      <c r="C58" s="6">
        <f t="shared" si="63"/>
        <v>1.5</v>
      </c>
      <c r="D58" s="6">
        <f t="shared" si="63"/>
        <v>4.5</v>
      </c>
      <c r="E58" s="11">
        <f t="shared" ref="E58:F58" si="64">IF(OR($B58="Construct's Sac",$B58="Mist of Poison"),E18*($C$2/$B$2),(IF(((IF($A18=1,if(E18-1/3*$B$6&lt;(E18*2/3),E18*2/3,E18-1/3*$B$6),if(E18-$B$6&lt;(E18*2/3),E18*2/3,E18-$B$6)))/$B$2*$C$2)*1.5&lt;(((IF($A18=1,if(E18-1/3*$B$6&lt;(E18*2/3),E18*2/3,E18-1/3*$B$6),if(E18-$B$6&lt;(E18*2/3),E18*2/3,E18-$B$6)))/$B$2*$C$2)+IF($A18=1,1/3,1)*$C$6),((IF($A18=1,if(E18-1/3*$B$6&lt;(E18*2/3),E18*2/3,E18-1/3*$B$6),if(E18-$B$6&lt;(E18*2/3),E18*2/3,E18-$B$6)))/$B$2*$C$2)*1.5,((IF($A18=1,if(E18-1/3*$B$6&lt;(E18*2/3),E18*2/3,E18-1/3*$B$6),if(E18-$B$6&lt;(E18*2/3),E18*2/3,E18-$B$6)))/$B$2*$C$2)+IF($A18=1,1/3,1)*$C$6)))</f>
        <v>16089.03805</v>
      </c>
      <c r="F58" s="11">
        <f t="shared" si="64"/>
        <v>18788.61458</v>
      </c>
      <c r="G58" s="11">
        <f t="shared" ref="G58:H58" si="65">G18*$C$2/$B$2</f>
        <v>6285.442302</v>
      </c>
      <c r="H58" s="11">
        <f t="shared" si="65"/>
        <v>7304.325991</v>
      </c>
      <c r="I58" s="6" t="str">
        <f t="shared" ref="I58:K58" si="66">I18</f>
        <v/>
      </c>
      <c r="J58" s="6">
        <f t="shared" si="66"/>
        <v>5.8</v>
      </c>
      <c r="K58" s="12">
        <f t="shared" si="66"/>
        <v>1.428571429</v>
      </c>
      <c r="L58" s="9">
        <f t="shared" si="21"/>
        <v>302550.4991</v>
      </c>
      <c r="M58" s="10">
        <f t="shared" si="22"/>
        <v>353315.3879</v>
      </c>
      <c r="N58" s="9">
        <f t="shared" si="23"/>
        <v>118196.234</v>
      </c>
      <c r="O58" s="11">
        <f t="shared" si="24"/>
        <v>137356.0972</v>
      </c>
      <c r="P58" s="11">
        <f t="shared" si="25"/>
        <v>1491408.765</v>
      </c>
      <c r="Q58" s="11">
        <f t="shared" si="26"/>
        <v>1394565.584</v>
      </c>
      <c r="R58" s="11">
        <f t="shared" si="27"/>
        <v>774240.4247</v>
      </c>
      <c r="S58" s="6" t="str">
        <f t="shared" si="28"/>
        <v>Pandemic</v>
      </c>
      <c r="T58" s="11">
        <f t="shared" si="29"/>
        <v>191036.3814</v>
      </c>
      <c r="U58" s="2">
        <f t="shared" si="30"/>
        <v>1.463799391</v>
      </c>
    </row>
    <row r="59">
      <c r="A59" s="6">
        <f t="shared" ref="A59:D59" si="67">A19</f>
        <v>1</v>
      </c>
      <c r="B59" s="6" t="str">
        <f t="shared" si="67"/>
        <v>Bloodcloud</v>
      </c>
      <c r="C59" s="6">
        <f t="shared" si="67"/>
        <v>1</v>
      </c>
      <c r="D59" s="6">
        <f t="shared" si="67"/>
        <v>12.5</v>
      </c>
      <c r="E59" s="11">
        <f t="shared" ref="E59:F59" si="68">IF(OR($B59="Construct's Sac",$B59="Mist of Poison"),E19*($C$2/$B$2),(IF(((IF($A19=1,if(E19-1/3*$B$6&lt;(E19*2/3),E19*2/3,E19-1/3*$B$6),if(E19-$B$6&lt;(E19*2/3),E19*2/3,E19-$B$6)))/$B$2*$C$2)*1.5&lt;(((IF($A19=1,if(E19-1/3*$B$6&lt;(E19*2/3),E19*2/3,E19-1/3*$B$6),if(E19-$B$6&lt;(E19*2/3),E19*2/3,E19-$B$6)))/$B$2*$C$2)+IF($A19=1,1/3,1)*$C$6),((IF($A19=1,if(E19-1/3*$B$6&lt;(E19*2/3),E19*2/3,E19-1/3*$B$6),if(E19-$B$6&lt;(E19*2/3),E19*2/3,E19-$B$6)))/$B$2*$C$2)*1.5,((IF($A19=1,if(E19-1/3*$B$6&lt;(E19*2/3),E19*2/3,E19-1/3*$B$6),if(E19-$B$6&lt;(E19*2/3),E19*2/3,E19-$B$6)))/$B$2*$C$2)+IF($A19=1,1/3,1)*$C$6)))</f>
        <v>49727.32021</v>
      </c>
      <c r="F59" s="11">
        <f t="shared" si="68"/>
        <v>49727.32021</v>
      </c>
      <c r="G59" s="11">
        <f t="shared" ref="G59:H59" si="69">G19*$C$2/$B$2</f>
        <v>0</v>
      </c>
      <c r="H59" s="11">
        <f t="shared" si="69"/>
        <v>0</v>
      </c>
      <c r="I59" s="6" t="str">
        <f t="shared" ref="I59:K59" si="70">I19</f>
        <v/>
      </c>
      <c r="J59" s="6" t="str">
        <f t="shared" si="70"/>
        <v/>
      </c>
      <c r="K59" s="12" t="str">
        <f t="shared" si="70"/>
        <v/>
      </c>
      <c r="L59" s="9">
        <f t="shared" si="21"/>
        <v>935110.322</v>
      </c>
      <c r="M59" s="10">
        <f t="shared" si="22"/>
        <v>935110.322</v>
      </c>
      <c r="N59" s="9">
        <f t="shared" si="23"/>
        <v>0</v>
      </c>
      <c r="O59" s="11">
        <f t="shared" si="24"/>
        <v>0</v>
      </c>
      <c r="P59" s="11">
        <f t="shared" si="25"/>
        <v>935110.322</v>
      </c>
      <c r="Q59" s="11">
        <f t="shared" si="26"/>
        <v>935110.322</v>
      </c>
      <c r="R59" s="11">
        <f t="shared" si="27"/>
        <v>718649.5993</v>
      </c>
      <c r="S59" s="6" t="str">
        <f t="shared" si="28"/>
        <v>Bloodcloud</v>
      </c>
      <c r="T59" s="11">
        <f t="shared" si="29"/>
        <v>69267.43126</v>
      </c>
      <c r="U59" s="2">
        <f t="shared" si="30"/>
        <v>1.454488964</v>
      </c>
    </row>
    <row r="60">
      <c r="A60" s="6" t="str">
        <f t="shared" ref="A60:D60" si="71">A20</f>
        <v/>
      </c>
      <c r="B60" s="6" t="str">
        <f t="shared" si="71"/>
        <v>Animated Dagger</v>
      </c>
      <c r="C60" s="6">
        <f t="shared" si="71"/>
        <v>0.25</v>
      </c>
      <c r="D60" s="6">
        <f t="shared" si="71"/>
        <v>15</v>
      </c>
      <c r="E60" s="11">
        <f t="shared" ref="E60:F60" si="72">IF(OR($B60="Construct's Sac",$B60="Mist of Poison"),E20*($C$2/$B$2),(IF(((IF($A20=1,if(E20-1/3*$B$6&lt;(E20*2/3),E20*2/3,E20-1/3*$B$6),if(E20-$B$6&lt;(E20*2/3),E20*2/3,E20-$B$6)))/$B$2*$C$2)*1.5&lt;(((IF($A20=1,if(E20-1/3*$B$6&lt;(E20*2/3),E20*2/3,E20-1/3*$B$6),if(E20-$B$6&lt;(E20*2/3),E20*2/3,E20-$B$6)))/$B$2*$C$2)+IF($A20=1,1/3,1)*$C$6),((IF($A20=1,if(E20-1/3*$B$6&lt;(E20*2/3),E20*2/3,E20-1/3*$B$6),if(E20-$B$6&lt;(E20*2/3),E20*2/3,E20-$B$6)))/$B$2*$C$2)*1.5,((IF($A20=1,if(E20-1/3*$B$6&lt;(E20*2/3),E20*2/3,E20-1/3*$B$6),if(E20-$B$6&lt;(E20*2/3),E20*2/3,E20-$B$6)))/$B$2*$C$2)+IF($A20=1,1/3,1)*$C$6)))</f>
        <v>16449.8539</v>
      </c>
      <c r="F60" s="11">
        <f t="shared" si="72"/>
        <v>22096.74923</v>
      </c>
      <c r="G60" s="11">
        <f t="shared" ref="G60:H60" si="73">G20*$C$2/$B$2</f>
        <v>0</v>
      </c>
      <c r="H60" s="11">
        <f t="shared" si="73"/>
        <v>0</v>
      </c>
      <c r="I60" s="6" t="str">
        <f t="shared" ref="I60:K60" si="74">I20</f>
        <v/>
      </c>
      <c r="J60" s="6" t="str">
        <f t="shared" si="74"/>
        <v/>
      </c>
      <c r="K60" s="12" t="str">
        <f t="shared" si="74"/>
        <v/>
      </c>
      <c r="L60" s="9">
        <f t="shared" si="21"/>
        <v>309335.5546</v>
      </c>
      <c r="M60" s="10">
        <f t="shared" si="22"/>
        <v>415524.0661</v>
      </c>
      <c r="N60" s="9">
        <f t="shared" si="23"/>
        <v>0</v>
      </c>
      <c r="O60" s="11">
        <f t="shared" si="24"/>
        <v>0</v>
      </c>
      <c r="P60" s="11">
        <f t="shared" si="25"/>
        <v>415524.0661</v>
      </c>
      <c r="Q60" s="11">
        <f t="shared" si="26"/>
        <v>370207.8681</v>
      </c>
      <c r="R60" s="11">
        <f t="shared" si="27"/>
        <v>671633.9465</v>
      </c>
      <c r="S60" s="6" t="str">
        <f t="shared" si="28"/>
        <v>Animated Dagger</v>
      </c>
      <c r="T60" s="11">
        <f t="shared" si="29"/>
        <v>24275.92578</v>
      </c>
      <c r="U60" s="2">
        <f t="shared" si="30"/>
        <v>1.482632236</v>
      </c>
    </row>
    <row r="61">
      <c r="A61" s="6" t="str">
        <f t="shared" ref="A61:D61" si="75">A21</f>
        <v/>
      </c>
      <c r="B61" s="6" t="str">
        <f t="shared" si="75"/>
        <v/>
      </c>
      <c r="C61" s="6" t="str">
        <f t="shared" si="75"/>
        <v/>
      </c>
      <c r="D61" s="6" t="str">
        <f t="shared" si="75"/>
        <v/>
      </c>
      <c r="E61" s="11">
        <f t="shared" ref="E61:F61" si="76">IF(OR($B61="Construct's Sac",$B61="Mist of Poison"),E21*($C$2/$B$2),(IF(((IF($A21=1,if(E21-1/3*$B$6&lt;(E21*2/3),E21*2/3,E21-1/3*$B$6),if(E21-$B$6&lt;(E21*2/3),E21*2/3,E21-$B$6)))/$B$2*$C$2)*1.5&lt;(((IF($A21=1,if(E21-1/3*$B$6&lt;(E21*2/3),E21*2/3,E21-1/3*$B$6),if(E21-$B$6&lt;(E21*2/3),E21*2/3,E21-$B$6)))/$B$2*$C$2)+IF($A21=1,1/3,1)*$C$6),((IF($A21=1,if(E21-1/3*$B$6&lt;(E21*2/3),E21*2/3,E21-1/3*$B$6),if(E21-$B$6&lt;(E21*2/3),E21*2/3,E21-$B$6)))/$B$2*$C$2)*1.5,((IF($A21=1,if(E21-1/3*$B$6&lt;(E21*2/3),E21*2/3,E21-1/3*$B$6),if(E21-$B$6&lt;(E21*2/3),E21*2/3,E21-$B$6)))/$B$2*$C$2)+IF($A21=1,1/3,1)*$C$6)))</f>
        <v>0</v>
      </c>
      <c r="F61" s="11">
        <f t="shared" si="76"/>
        <v>0</v>
      </c>
      <c r="G61" s="11">
        <f t="shared" ref="G61:H61" si="77">G21*$C$2/$B$2</f>
        <v>0</v>
      </c>
      <c r="H61" s="11">
        <f t="shared" si="77"/>
        <v>0</v>
      </c>
      <c r="I61" s="6" t="str">
        <f t="shared" ref="I61:K61" si="78">I21</f>
        <v/>
      </c>
      <c r="J61" s="6" t="str">
        <f t="shared" si="78"/>
        <v/>
      </c>
      <c r="K61" s="12" t="str">
        <f t="shared" si="78"/>
        <v/>
      </c>
      <c r="L61" s="9">
        <f t="shared" si="21"/>
        <v>1.508</v>
      </c>
      <c r="M61" s="10">
        <f t="shared" si="22"/>
        <v>0</v>
      </c>
      <c r="N61" s="9">
        <f t="shared" si="23"/>
        <v>0</v>
      </c>
      <c r="O61" s="11">
        <f t="shared" si="24"/>
        <v>0</v>
      </c>
      <c r="P61" s="11">
        <f t="shared" si="25"/>
        <v>0</v>
      </c>
      <c r="Q61" s="11" t="str">
        <f t="shared" si="26"/>
        <v>#DIV/0!</v>
      </c>
      <c r="R61" s="11" t="str">
        <f t="shared" si="27"/>
        <v>#DIV/0!</v>
      </c>
      <c r="S61" s="6" t="str">
        <f t="shared" si="28"/>
        <v/>
      </c>
      <c r="T61" s="11" t="str">
        <f t="shared" si="29"/>
        <v>#DIV/0!</v>
      </c>
      <c r="U61" s="53" t="str">
        <f t="shared" si="30"/>
        <v>#DIV/0!</v>
      </c>
    </row>
    <row r="62">
      <c r="A62" s="6" t="str">
        <f t="shared" ref="A62:D62" si="79">A22</f>
        <v/>
      </c>
      <c r="B62" s="6" t="str">
        <f t="shared" si="79"/>
        <v/>
      </c>
      <c r="C62" s="6" t="str">
        <f t="shared" si="79"/>
        <v/>
      </c>
      <c r="D62" s="6" t="str">
        <f t="shared" si="79"/>
        <v/>
      </c>
      <c r="E62" s="11">
        <f t="shared" ref="E62:F62" si="80">IF(OR($B62="Construct's Sac",$B62="Mist of Poison"),E22*($C$2/$B$2),(IF(((IF($A22=1,if(E22-1/3*$B$6&lt;(E22*2/3),E22*2/3,E22-1/3*$B$6),if(E22-$B$6&lt;(E22*2/3),E22*2/3,E22-$B$6)))/$B$2*$C$2)*1.5&lt;(((IF($A22=1,if(E22-1/3*$B$6&lt;(E22*2/3),E22*2/3,E22-1/3*$B$6),if(E22-$B$6&lt;(E22*2/3),E22*2/3,E22-$B$6)))/$B$2*$C$2)+IF($A22=1,1/3,1)*$C$6),((IF($A22=1,if(E22-1/3*$B$6&lt;(E22*2/3),E22*2/3,E22-1/3*$B$6),if(E22-$B$6&lt;(E22*2/3),E22*2/3,E22-$B$6)))/$B$2*$C$2)*1.5,((IF($A22=1,if(E22-1/3*$B$6&lt;(E22*2/3),E22*2/3,E22-1/3*$B$6),if(E22-$B$6&lt;(E22*2/3),E22*2/3,E22-$B$6)))/$B$2*$C$2)+IF($A22=1,1/3,1)*$C$6)))</f>
        <v>0</v>
      </c>
      <c r="F62" s="11">
        <f t="shared" si="80"/>
        <v>0</v>
      </c>
      <c r="G62" s="11">
        <f t="shared" ref="G62:H62" si="81">G22*$C$2/$B$2</f>
        <v>0</v>
      </c>
      <c r="H62" s="11">
        <f t="shared" si="81"/>
        <v>0</v>
      </c>
      <c r="I62" s="6" t="str">
        <f t="shared" ref="I62:K62" si="82">I22</f>
        <v/>
      </c>
      <c r="J62" s="6" t="str">
        <f t="shared" si="82"/>
        <v/>
      </c>
      <c r="K62" s="12" t="str">
        <f t="shared" si="82"/>
        <v/>
      </c>
      <c r="L62" s="9">
        <f t="shared" si="21"/>
        <v>1.508</v>
      </c>
      <c r="M62" s="10">
        <f t="shared" si="22"/>
        <v>0</v>
      </c>
      <c r="N62" s="9">
        <f t="shared" si="23"/>
        <v>0</v>
      </c>
      <c r="O62" s="11">
        <f t="shared" si="24"/>
        <v>0</v>
      </c>
      <c r="P62" s="11">
        <f t="shared" si="25"/>
        <v>0</v>
      </c>
      <c r="Q62" s="11" t="str">
        <f t="shared" si="26"/>
        <v>#DIV/0!</v>
      </c>
      <c r="R62" s="11" t="str">
        <f t="shared" si="27"/>
        <v>#DIV/0!</v>
      </c>
      <c r="S62" s="6" t="str">
        <f t="shared" si="28"/>
        <v/>
      </c>
      <c r="T62" s="11" t="str">
        <f t="shared" si="29"/>
        <v>#DIV/0!</v>
      </c>
      <c r="U62" s="53" t="str">
        <f t="shared" si="30"/>
        <v>#DIV/0!</v>
      </c>
    </row>
    <row r="63">
      <c r="A63" s="6" t="str">
        <f t="shared" ref="A63:D63" si="83">A23</f>
        <v/>
      </c>
      <c r="B63" s="6" t="str">
        <f t="shared" si="83"/>
        <v/>
      </c>
      <c r="C63" s="6" t="str">
        <f t="shared" si="83"/>
        <v/>
      </c>
      <c r="D63" s="6" t="str">
        <f t="shared" si="83"/>
        <v/>
      </c>
      <c r="E63" s="11">
        <f t="shared" ref="E63:F63" si="84">IF(OR($B63="Construct's Sac",$B63="Mist of Poison"),E23*($C$2/$B$2),(IF(((IF($A23=1,if(E23-1/3*$B$6&lt;(E23*2/3),E23*2/3,E23-1/3*$B$6),if(E23-$B$6&lt;(E23*2/3),E23*2/3,E23-$B$6)))/$B$2*$C$2)*1.5&lt;(((IF($A23=1,if(E23-1/3*$B$6&lt;(E23*2/3),E23*2/3,E23-1/3*$B$6),if(E23-$B$6&lt;(E23*2/3),E23*2/3,E23-$B$6)))/$B$2*$C$2)+IF($A23=1,1/3,1)*$C$6),((IF($A23=1,if(E23-1/3*$B$6&lt;(E23*2/3),E23*2/3,E23-1/3*$B$6),if(E23-$B$6&lt;(E23*2/3),E23*2/3,E23-$B$6)))/$B$2*$C$2)*1.5,((IF($A23=1,if(E23-1/3*$B$6&lt;(E23*2/3),E23*2/3,E23-1/3*$B$6),if(E23-$B$6&lt;(E23*2/3),E23*2/3,E23-$B$6)))/$B$2*$C$2)+IF($A23=1,1/3,1)*$C$6)))</f>
        <v>0</v>
      </c>
      <c r="F63" s="11">
        <f t="shared" si="84"/>
        <v>0</v>
      </c>
      <c r="G63" s="11">
        <f t="shared" ref="G63:H63" si="85">G23*$C$2/$B$2</f>
        <v>0</v>
      </c>
      <c r="H63" s="11">
        <f t="shared" si="85"/>
        <v>0</v>
      </c>
      <c r="I63" s="6" t="str">
        <f t="shared" ref="I63:K63" si="86">I23</f>
        <v/>
      </c>
      <c r="J63" s="6" t="str">
        <f t="shared" si="86"/>
        <v/>
      </c>
      <c r="K63" s="12" t="str">
        <f t="shared" si="86"/>
        <v/>
      </c>
      <c r="L63" s="9">
        <f t="shared" si="21"/>
        <v>1.508</v>
      </c>
      <c r="M63" s="10">
        <f t="shared" si="22"/>
        <v>0</v>
      </c>
      <c r="N63" s="9">
        <f t="shared" si="23"/>
        <v>0</v>
      </c>
      <c r="O63" s="11">
        <f t="shared" si="24"/>
        <v>0</v>
      </c>
      <c r="P63" s="11">
        <f t="shared" si="25"/>
        <v>0</v>
      </c>
      <c r="Q63" s="11" t="str">
        <f t="shared" si="26"/>
        <v>#DIV/0!</v>
      </c>
      <c r="R63" s="11" t="str">
        <f t="shared" si="27"/>
        <v>#DIV/0!</v>
      </c>
      <c r="S63" s="6" t="str">
        <f t="shared" si="28"/>
        <v/>
      </c>
      <c r="T63" s="11" t="str">
        <f t="shared" si="29"/>
        <v>#DIV/0!</v>
      </c>
      <c r="U63" s="53" t="str">
        <f t="shared" si="30"/>
        <v>#DIV/0!</v>
      </c>
    </row>
    <row r="64">
      <c r="A64" s="6" t="str">
        <f t="shared" ref="A64:D64" si="87">A24</f>
        <v/>
      </c>
      <c r="B64" s="6" t="str">
        <f t="shared" si="87"/>
        <v/>
      </c>
      <c r="C64" s="6" t="str">
        <f t="shared" si="87"/>
        <v/>
      </c>
      <c r="D64" s="6" t="str">
        <f t="shared" si="87"/>
        <v/>
      </c>
      <c r="E64" s="11">
        <f t="shared" ref="E64:F64" si="88">IF(((IF($A24=1,if(E24-1/3*$B$6&lt;(E24*2/3),E24*2/3,E24-1/3*$B$6),if(E24-$B$6&lt;(E24*2/3),E24*2/3,E24-$B$6)))/$B$2*$C$2)*1.5&lt;(((IF($A24=1,if(E24-1/3*$B$6&lt;(E24*2/3),E24*2/3,E24-1/3*$B$6),if(E24-$B$6&lt;(E24*2/3),E24*2/3,E24-$B$6)))/$B$2*$C$2)+IF($A24=1,1/3,1)*$C$6),((IF($A24=1,if(E24-1/3*$B$6&lt;(E24*2/3),E24*2/3,E24-1/3*$B$6),if(E24-$B$6&lt;(E24*2/3),E24*2/3,E24-$B$6)))/$B$2*$C$2)*1.5,((IF($A24=1,if(E24-1/3*$B$6&lt;(E24*2/3),E24*2/3,E24-1/3*$B$6),if(E24-$B$6&lt;(E24*2/3),E24*2/3,E24-$B$6)))/$B$2*$C$2)+IF($A24=1,1/3,1)*$C$6)</f>
        <v>0</v>
      </c>
      <c r="F64" s="11">
        <f t="shared" si="88"/>
        <v>0</v>
      </c>
      <c r="G64" s="11">
        <f t="shared" ref="G64:H64" si="89">G24*$C$2/$B$2</f>
        <v>0</v>
      </c>
      <c r="H64" s="11">
        <f t="shared" si="89"/>
        <v>0</v>
      </c>
      <c r="I64" s="6" t="str">
        <f t="shared" ref="I64:K64" si="90">I24</f>
        <v/>
      </c>
      <c r="J64" s="6" t="str">
        <f t="shared" si="90"/>
        <v/>
      </c>
      <c r="K64" s="12" t="str">
        <f t="shared" si="90"/>
        <v/>
      </c>
      <c r="L64" s="9">
        <f t="shared" si="21"/>
        <v>1.508</v>
      </c>
      <c r="M64" s="10">
        <f t="shared" si="22"/>
        <v>0</v>
      </c>
      <c r="N64" s="9">
        <f t="shared" si="23"/>
        <v>0</v>
      </c>
      <c r="O64" s="11">
        <f t="shared" si="24"/>
        <v>0</v>
      </c>
      <c r="P64" s="11">
        <f t="shared" si="25"/>
        <v>0</v>
      </c>
      <c r="Q64" s="11" t="str">
        <f t="shared" si="26"/>
        <v>#DIV/0!</v>
      </c>
      <c r="R64" s="11" t="str">
        <f t="shared" si="27"/>
        <v>#DIV/0!</v>
      </c>
      <c r="S64" s="6" t="str">
        <f t="shared" si="28"/>
        <v/>
      </c>
      <c r="T64" s="11" t="str">
        <f t="shared" si="29"/>
        <v>#DIV/0!</v>
      </c>
      <c r="U64" s="53" t="str">
        <f t="shared" si="30"/>
        <v>#DIV/0!</v>
      </c>
    </row>
    <row r="65">
      <c r="A65" s="6" t="str">
        <f t="shared" ref="A65:D65" si="91">A25</f>
        <v/>
      </c>
      <c r="B65" s="6" t="str">
        <f t="shared" si="91"/>
        <v/>
      </c>
      <c r="C65" s="6" t="str">
        <f t="shared" si="91"/>
        <v/>
      </c>
      <c r="D65" s="6" t="str">
        <f t="shared" si="91"/>
        <v/>
      </c>
      <c r="E65" s="11">
        <f t="shared" ref="E65:F65" si="92">IF(((IF($A25=1,if(E25-1/3*$B$6&lt;(E25*2/3),E25*2/3,E25-1/3*$B$6),if(E25-$B$6&lt;(E25*2/3),E25*2/3,E25-$B$6)))/$B$2*$C$2)*1.5&lt;(((IF($A25=1,if(E25-1/3*$B$6&lt;(E25*2/3),E25*2/3,E25-1/3*$B$6),if(E25-$B$6&lt;(E25*2/3),E25*2/3,E25-$B$6)))/$B$2*$C$2)+IF($A25=1,1/3,1)*$C$6),((IF($A25=1,if(E25-1/3*$B$6&lt;(E25*2/3),E25*2/3,E25-1/3*$B$6),if(E25-$B$6&lt;(E25*2/3),E25*2/3,E25-$B$6)))/$B$2*$C$2)*1.5,((IF($A25=1,if(E25-1/3*$B$6&lt;(E25*2/3),E25*2/3,E25-1/3*$B$6),if(E25-$B$6&lt;(E25*2/3),E25*2/3,E25-$B$6)))/$B$2*$C$2)+IF($A25=1,1/3,1)*$C$6)</f>
        <v>0</v>
      </c>
      <c r="F65" s="11">
        <f t="shared" si="92"/>
        <v>0</v>
      </c>
      <c r="G65" s="11">
        <f t="shared" ref="G65:H65" si="93">G25*$C$2/$B$2</f>
        <v>0</v>
      </c>
      <c r="H65" s="11">
        <f t="shared" si="93"/>
        <v>0</v>
      </c>
      <c r="I65" s="6" t="str">
        <f t="shared" ref="I65:K65" si="94">I25</f>
        <v/>
      </c>
      <c r="J65" s="6" t="str">
        <f t="shared" si="94"/>
        <v/>
      </c>
      <c r="K65" s="12" t="str">
        <f t="shared" si="94"/>
        <v/>
      </c>
      <c r="L65" s="9">
        <f t="shared" si="21"/>
        <v>1.508</v>
      </c>
      <c r="M65" s="10">
        <f t="shared" si="22"/>
        <v>0</v>
      </c>
      <c r="N65" s="9">
        <f t="shared" si="23"/>
        <v>0</v>
      </c>
      <c r="O65" s="11">
        <f t="shared" si="24"/>
        <v>0</v>
      </c>
      <c r="P65" s="11">
        <f t="shared" si="25"/>
        <v>0</v>
      </c>
      <c r="Q65" s="11" t="str">
        <f t="shared" si="26"/>
        <v>#DIV/0!</v>
      </c>
      <c r="R65" s="11" t="str">
        <f t="shared" si="27"/>
        <v>#DIV/0!</v>
      </c>
      <c r="S65" s="6" t="str">
        <f t="shared" si="28"/>
        <v/>
      </c>
      <c r="T65" s="11" t="str">
        <f t="shared" si="29"/>
        <v>#DIV/0!</v>
      </c>
      <c r="U65" s="53" t="str">
        <f t="shared" si="30"/>
        <v>#DIV/0!</v>
      </c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  <c r="N84" s="1" t="s">
        <v>369</v>
      </c>
      <c r="O84" s="1" t="s">
        <v>370</v>
      </c>
    </row>
    <row r="85">
      <c r="K85" s="3"/>
      <c r="L85" s="4"/>
      <c r="N85" s="1">
        <v>25.0</v>
      </c>
      <c r="O85" s="1">
        <v>5.21629448338152</v>
      </c>
    </row>
    <row r="86">
      <c r="K86" s="3"/>
      <c r="L86" s="4"/>
      <c r="N86" s="1">
        <v>50.0</v>
      </c>
      <c r="O86" s="1">
        <v>3.85501573599077</v>
      </c>
    </row>
    <row r="87">
      <c r="K87" s="3"/>
      <c r="L87" s="4"/>
      <c r="N87" s="1">
        <v>75.0</v>
      </c>
      <c r="O87" s="1">
        <v>2.49373698860002</v>
      </c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autoFilter ref="$A$7:$U$4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2" width="15.13"/>
  </cols>
  <sheetData>
    <row r="1">
      <c r="A1" s="1" t="s">
        <v>344</v>
      </c>
      <c r="B1" s="2">
        <f>1216.6%+130%</f>
        <v>13.466</v>
      </c>
      <c r="C1" s="2">
        <f>((B1-1.3)/(1+1/12)+90%+25%+24*1.5%+15%)*(13/12)*(1+0.05+0.15)+1.3</f>
        <v>18.0572</v>
      </c>
      <c r="D1" s="1" t="s">
        <v>345</v>
      </c>
      <c r="K1" s="3"/>
      <c r="L1" s="4"/>
    </row>
    <row r="2">
      <c r="A2" s="1" t="s">
        <v>346</v>
      </c>
      <c r="B2" s="2">
        <f>640%+1</f>
        <v>7.4</v>
      </c>
      <c r="C2" s="2">
        <f>((B2-1)/(1+1/12)+0.3757)*(1+1/12)+1+0.8</f>
        <v>8.607008333</v>
      </c>
      <c r="D2" s="2">
        <f>50%+0.5%+0.3%</f>
        <v>0.508</v>
      </c>
      <c r="E2" s="1" t="s">
        <v>347</v>
      </c>
      <c r="K2" s="3"/>
      <c r="L2" s="4"/>
    </row>
    <row r="3">
      <c r="A3" s="1" t="s">
        <v>1</v>
      </c>
      <c r="B3" s="2">
        <f>59.6%+32%</f>
        <v>0.916</v>
      </c>
      <c r="C3" s="49">
        <f t="shared" ref="C3:C5" si="1">B3</f>
        <v>0.916</v>
      </c>
      <c r="K3" s="3"/>
      <c r="L3" s="4"/>
    </row>
    <row r="4">
      <c r="A4" s="1" t="s">
        <v>2</v>
      </c>
      <c r="B4" s="19">
        <v>0.3</v>
      </c>
      <c r="C4" s="49">
        <f t="shared" si="1"/>
        <v>0.3</v>
      </c>
      <c r="K4" s="3"/>
      <c r="L4" s="4"/>
    </row>
    <row r="5">
      <c r="A5" s="1" t="s">
        <v>3</v>
      </c>
      <c r="B5" s="1">
        <v>8.0</v>
      </c>
      <c r="C5" s="6">
        <f t="shared" si="1"/>
        <v>8</v>
      </c>
      <c r="K5" s="3"/>
      <c r="L5" s="4"/>
    </row>
    <row r="6">
      <c r="A6" s="1" t="s">
        <v>348</v>
      </c>
      <c r="B6" s="13">
        <v>10487.0</v>
      </c>
      <c r="C6" s="1">
        <v>10487.0</v>
      </c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371</v>
      </c>
      <c r="C8" s="1">
        <v>0.5</v>
      </c>
      <c r="D8" s="1">
        <v>4.0</v>
      </c>
      <c r="E8" s="1">
        <v>37533.0</v>
      </c>
      <c r="F8" s="1">
        <v>39427.0</v>
      </c>
      <c r="G8" s="1">
        <v>11066.0</v>
      </c>
      <c r="H8" s="1">
        <v>12960.0</v>
      </c>
      <c r="J8" s="1">
        <v>14.0</v>
      </c>
      <c r="K8" s="12">
        <f>1/2.3</f>
        <v>0.4347826087</v>
      </c>
      <c r="L8" s="9">
        <f t="shared" ref="L8:L36" si="3">if(E8*($B$1+$I8)&lt;(F8+1),F8+1,E8*($I8+$B$1))</f>
        <v>505419.378</v>
      </c>
      <c r="M8" s="10">
        <f t="shared" ref="M8:M36" si="4">F8*($B$1+$I8)</f>
        <v>530923.982</v>
      </c>
      <c r="N8" s="9">
        <f t="shared" ref="N8:N12" si="5">if(if(G8*($B$1+$I8)&lt;(H8+1),H8+1,G8*($I8+$B$1))=1,0,if(G8*($B$1+$I8)&lt;(H8+1),H8+1,G8*($I8+$B$1)))</f>
        <v>149014.756</v>
      </c>
      <c r="O8" s="11">
        <f t="shared" ref="O8:O12" si="6">H8*($B$1+$I8)</f>
        <v>174519.36</v>
      </c>
      <c r="P8" s="11">
        <f t="shared" ref="P8:P36" si="7">M8+O8*K8*J8</f>
        <v>1593215.739</v>
      </c>
      <c r="Q8" s="11">
        <f t="shared" ref="Q8:Q36" si="8">((if($A8=1,$B$5,1)*((L8*E8+F8*M8)/(E8+F8)+if(G8&gt;0,(N8*G8+H8*O8)/(G8+H8)*J8*K8,0))))*if($U8=1,1,1+$B$4)</f>
        <v>1962055.76</v>
      </c>
      <c r="R8" s="11">
        <f t="shared" ref="R8:R36" si="9">Q8/(C8+0.5*(1/(1+$B$3)))</f>
        <v>2578394.264</v>
      </c>
      <c r="S8" s="6" t="str">
        <f t="shared" ref="S8:S36" si="10">B8</f>
        <v>Brainburst</v>
      </c>
      <c r="T8" s="11">
        <f t="shared" ref="T8:T13" si="11">$Q8/(($C8+IF($D8&lt;=$J8,if($J8&gt;1,$J8,$D8),$D8)))</f>
        <v>135314.1903</v>
      </c>
      <c r="U8" s="11"/>
      <c r="V8" s="6" t="str">
        <f t="shared" ref="V8:V23" si="12">if(A8=1,MAX(R$11:R$42)/R8," ")</f>
        <v> </v>
      </c>
    </row>
    <row r="9">
      <c r="B9" s="1" t="s">
        <v>372</v>
      </c>
      <c r="C9" s="1">
        <v>0.75</v>
      </c>
      <c r="D9" s="1">
        <v>10.0</v>
      </c>
      <c r="E9" s="11">
        <f>41402*1.24281221922731</f>
        <v>51454.9115</v>
      </c>
      <c r="F9" s="11">
        <f>48653*1.23865048265316</f>
        <v>60264.06193</v>
      </c>
      <c r="G9" s="11">
        <f t="shared" ref="G9:H9" si="2">E9</f>
        <v>51454.9115</v>
      </c>
      <c r="H9" s="11">
        <f t="shared" si="2"/>
        <v>60264.06193</v>
      </c>
      <c r="I9" s="2"/>
      <c r="J9" s="1">
        <v>1.0</v>
      </c>
      <c r="K9" s="7">
        <v>5.0</v>
      </c>
      <c r="L9" s="9">
        <f t="shared" si="3"/>
        <v>692891.8383</v>
      </c>
      <c r="M9" s="10">
        <f t="shared" si="4"/>
        <v>811515.858</v>
      </c>
      <c r="N9" s="9">
        <f t="shared" si="5"/>
        <v>692891.8383</v>
      </c>
      <c r="O9" s="11">
        <f t="shared" si="6"/>
        <v>811515.858</v>
      </c>
      <c r="P9" s="11">
        <f t="shared" si="7"/>
        <v>4869095.148</v>
      </c>
      <c r="Q9" s="11">
        <f t="shared" si="8"/>
        <v>4541283.949</v>
      </c>
      <c r="R9" s="11">
        <f t="shared" si="9"/>
        <v>4492049.585</v>
      </c>
      <c r="S9" s="6" t="str">
        <f t="shared" si="10"/>
        <v>Theorems</v>
      </c>
      <c r="T9" s="11">
        <f t="shared" si="11"/>
        <v>422445.0185</v>
      </c>
      <c r="U9" s="13">
        <v>1.0</v>
      </c>
      <c r="V9" s="6" t="str">
        <f t="shared" si="12"/>
        <v> </v>
      </c>
    </row>
    <row r="10">
      <c r="B10" s="1" t="s">
        <v>373</v>
      </c>
      <c r="C10" s="1">
        <v>1.0</v>
      </c>
      <c r="D10" s="1">
        <v>12.5</v>
      </c>
      <c r="E10" s="1">
        <v>45003.0</v>
      </c>
      <c r="F10" s="1">
        <v>52911.0</v>
      </c>
      <c r="K10" s="3"/>
      <c r="L10" s="9">
        <f t="shared" si="3"/>
        <v>606010.398</v>
      </c>
      <c r="M10" s="10">
        <f t="shared" si="4"/>
        <v>712499.526</v>
      </c>
      <c r="N10" s="9">
        <f t="shared" si="5"/>
        <v>0</v>
      </c>
      <c r="O10" s="11">
        <f t="shared" si="6"/>
        <v>0</v>
      </c>
      <c r="P10" s="11">
        <f t="shared" si="7"/>
        <v>712499.526</v>
      </c>
      <c r="Q10" s="11">
        <f t="shared" si="8"/>
        <v>862621.8199</v>
      </c>
      <c r="R10" s="11">
        <f t="shared" si="9"/>
        <v>684099.0922</v>
      </c>
      <c r="S10" s="6" t="str">
        <f t="shared" si="10"/>
        <v>Speechless</v>
      </c>
      <c r="T10" s="11">
        <f t="shared" si="11"/>
        <v>63897.91258</v>
      </c>
      <c r="U10" s="11"/>
      <c r="V10" s="6" t="str">
        <f t="shared" si="12"/>
        <v> </v>
      </c>
    </row>
    <row r="11">
      <c r="B11" s="1" t="s">
        <v>374</v>
      </c>
      <c r="C11" s="1">
        <v>1.0</v>
      </c>
      <c r="D11" s="1">
        <v>7.5</v>
      </c>
      <c r="E11" s="1">
        <v>24817.0</v>
      </c>
      <c r="F11" s="1">
        <v>29178.0</v>
      </c>
      <c r="G11" s="6">
        <f t="shared" ref="G11:H11" si="13">E11</f>
        <v>24817</v>
      </c>
      <c r="H11" s="6">
        <f t="shared" si="13"/>
        <v>29178</v>
      </c>
      <c r="J11" s="1">
        <v>1.0</v>
      </c>
      <c r="K11" s="7">
        <v>5.0</v>
      </c>
      <c r="L11" s="9">
        <f t="shared" si="3"/>
        <v>334185.722</v>
      </c>
      <c r="M11" s="10">
        <f t="shared" si="4"/>
        <v>392910.948</v>
      </c>
      <c r="N11" s="9">
        <f t="shared" si="5"/>
        <v>334185.722</v>
      </c>
      <c r="O11" s="11">
        <f t="shared" si="6"/>
        <v>392910.948</v>
      </c>
      <c r="P11" s="11">
        <f t="shared" si="7"/>
        <v>2357465.688</v>
      </c>
      <c r="Q11" s="11">
        <f t="shared" si="8"/>
        <v>2195519.145</v>
      </c>
      <c r="R11" s="11">
        <f t="shared" si="9"/>
        <v>1741148.461</v>
      </c>
      <c r="S11" s="6" t="str">
        <f t="shared" si="10"/>
        <v>Prismatic Chaos</v>
      </c>
      <c r="T11" s="11">
        <f t="shared" si="11"/>
        <v>258296.37</v>
      </c>
      <c r="U11" s="13">
        <v>1.0</v>
      </c>
      <c r="V11" s="6" t="str">
        <f t="shared" si="12"/>
        <v> </v>
      </c>
    </row>
    <row r="12">
      <c r="A12" s="1">
        <v>1.0</v>
      </c>
      <c r="B12" s="1" t="s">
        <v>375</v>
      </c>
      <c r="C12" s="1">
        <v>1.0</v>
      </c>
      <c r="D12" s="1">
        <v>0.0</v>
      </c>
      <c r="E12" s="6">
        <f>8148+17419</f>
        <v>25567</v>
      </c>
      <c r="F12" s="6">
        <f>9580+17419</f>
        <v>26999</v>
      </c>
      <c r="G12" s="1">
        <v>4889.0</v>
      </c>
      <c r="H12" s="1">
        <v>5748.0</v>
      </c>
      <c r="J12" s="1">
        <v>6.0</v>
      </c>
      <c r="K12" s="12">
        <f>1/1.1</f>
        <v>0.9090909091</v>
      </c>
      <c r="L12" s="9">
        <f t="shared" si="3"/>
        <v>344285.222</v>
      </c>
      <c r="M12" s="10">
        <f t="shared" si="4"/>
        <v>363568.534</v>
      </c>
      <c r="N12" s="9">
        <f t="shared" si="5"/>
        <v>65835.274</v>
      </c>
      <c r="O12" s="11">
        <f t="shared" si="6"/>
        <v>77402.568</v>
      </c>
      <c r="P12" s="11">
        <f t="shared" si="7"/>
        <v>785764.3595</v>
      </c>
      <c r="Q12" s="11">
        <f t="shared" si="8"/>
        <v>7772812.462</v>
      </c>
      <c r="R12" s="11">
        <f t="shared" si="9"/>
        <v>6164200.612</v>
      </c>
      <c r="S12" s="6" t="str">
        <f t="shared" si="10"/>
        <v>Chromatic Storm</v>
      </c>
      <c r="T12" s="11">
        <f t="shared" si="11"/>
        <v>1110401.78</v>
      </c>
      <c r="U12" s="11"/>
      <c r="V12" s="6" t="str">
        <f t="shared" si="12"/>
        <v>#DIV/0!</v>
      </c>
    </row>
    <row r="13">
      <c r="B13" s="1" t="s">
        <v>376</v>
      </c>
      <c r="C13" s="1">
        <v>0.5</v>
      </c>
      <c r="D13" s="1">
        <v>3.0</v>
      </c>
      <c r="E13" s="1">
        <v>17518.0</v>
      </c>
      <c r="F13" s="1">
        <v>20596.0</v>
      </c>
      <c r="G13" s="1">
        <v>5005.0</v>
      </c>
      <c r="H13" s="1">
        <v>5885.0</v>
      </c>
      <c r="J13" s="1">
        <v>24.0</v>
      </c>
      <c r="K13" s="12">
        <f>1/4</f>
        <v>0.25</v>
      </c>
      <c r="L13" s="9">
        <f t="shared" si="3"/>
        <v>235897.388</v>
      </c>
      <c r="M13" s="10">
        <f t="shared" si="4"/>
        <v>277345.736</v>
      </c>
      <c r="N13" s="9">
        <f>$B$5*(if(if(G13*($B$1+$I13)&lt;(H13+1),H13+1,G13*($I13+$B$1))=1,0,if(G13*($B$1+$I13)&lt;(H13+1),H13+1,G13*($I13+$B$1))))</f>
        <v>539178.64</v>
      </c>
      <c r="O13" s="11">
        <f>$B$5*(H13*($B$1+$I13))</f>
        <v>633979.28</v>
      </c>
      <c r="P13" s="11">
        <f t="shared" si="7"/>
        <v>4081221.416</v>
      </c>
      <c r="Q13" s="11">
        <f t="shared" si="8"/>
        <v>4940976.212</v>
      </c>
      <c r="R13" s="11">
        <f t="shared" si="9"/>
        <v>6493079.851</v>
      </c>
      <c r="S13" s="6" t="str">
        <f t="shared" si="10"/>
        <v>Nightmare</v>
      </c>
      <c r="T13" s="11">
        <f t="shared" si="11"/>
        <v>201672.4985</v>
      </c>
      <c r="U13" s="11"/>
      <c r="V13" s="6" t="str">
        <f t="shared" si="12"/>
        <v> </v>
      </c>
    </row>
    <row r="14">
      <c r="A14" s="1">
        <v>1.0</v>
      </c>
      <c r="B14" s="1" t="s">
        <v>377</v>
      </c>
      <c r="C14" s="1">
        <v>1.25</v>
      </c>
      <c r="D14" s="1">
        <v>10.0</v>
      </c>
      <c r="E14" s="6">
        <f>21344+17832</f>
        <v>39176</v>
      </c>
      <c r="F14" s="6">
        <f>23545+17832</f>
        <v>41377</v>
      </c>
      <c r="G14" s="1">
        <v>12522.0</v>
      </c>
      <c r="H14" s="1">
        <v>14723.0</v>
      </c>
      <c r="I14" s="2"/>
      <c r="J14" s="1">
        <v>5.0</v>
      </c>
      <c r="K14" s="12">
        <f>1/0.7</f>
        <v>1.428571429</v>
      </c>
      <c r="L14" s="9">
        <f t="shared" si="3"/>
        <v>527544.016</v>
      </c>
      <c r="M14" s="10">
        <f t="shared" si="4"/>
        <v>557182.682</v>
      </c>
      <c r="N14" s="9">
        <f t="shared" ref="N14:N36" si="14">if(if(G14*($B$1+$I14)&lt;(H14+1),H14+1,G14*($I14+$B$1))=1,0,if(G14*($B$1+$I14)&lt;(H14+1),H14+1,G14*($I14+$B$1)))</f>
        <v>168621.252</v>
      </c>
      <c r="O14" s="11">
        <f t="shared" ref="O14:O36" si="15">H14*($B$1+$I14)</f>
        <v>198259.918</v>
      </c>
      <c r="P14" s="11">
        <f t="shared" si="7"/>
        <v>1973324.953</v>
      </c>
      <c r="Q14" s="11">
        <f t="shared" si="8"/>
        <v>19360738.73</v>
      </c>
      <c r="R14" s="11">
        <f t="shared" si="9"/>
        <v>12813532.09</v>
      </c>
      <c r="S14" s="6" t="str">
        <f t="shared" si="10"/>
        <v>Chromatic Shower</v>
      </c>
      <c r="T14" s="11">
        <f>$Q14/(($C14+0.5*1/(1+$B$3)+IF($D14&lt;=$J14,if($J14&gt;1,$J14,$D14),$D14)))</f>
        <v>1681939.488</v>
      </c>
      <c r="U14" s="11"/>
      <c r="V14" s="6" t="str">
        <f t="shared" si="12"/>
        <v>#DIV/0!</v>
      </c>
    </row>
    <row r="15">
      <c r="B15" s="1" t="s">
        <v>378</v>
      </c>
      <c r="C15" s="1">
        <v>1.0</v>
      </c>
      <c r="D15" s="1">
        <v>90.0</v>
      </c>
      <c r="E15" s="1">
        <v>9325.0</v>
      </c>
      <c r="F15" s="1">
        <v>12440.0</v>
      </c>
      <c r="G15" s="1">
        <v>9325.0</v>
      </c>
      <c r="H15" s="1">
        <v>12440.0</v>
      </c>
      <c r="J15" s="1">
        <v>17.0</v>
      </c>
      <c r="K15" s="7">
        <v>1.0</v>
      </c>
      <c r="L15" s="9">
        <f t="shared" si="3"/>
        <v>125570.45</v>
      </c>
      <c r="M15" s="10">
        <f t="shared" si="4"/>
        <v>167517.04</v>
      </c>
      <c r="N15" s="9">
        <f t="shared" si="14"/>
        <v>125570.45</v>
      </c>
      <c r="O15" s="11">
        <f t="shared" si="15"/>
        <v>167517.04</v>
      </c>
      <c r="P15" s="11">
        <f t="shared" si="7"/>
        <v>3015306.72</v>
      </c>
      <c r="Q15" s="11">
        <f t="shared" si="8"/>
        <v>2691817.856</v>
      </c>
      <c r="R15" s="11">
        <f t="shared" si="9"/>
        <v>2134736.346</v>
      </c>
      <c r="S15" s="6" t="str">
        <f t="shared" si="10"/>
        <v>Mana Cloak</v>
      </c>
      <c r="T15" s="11">
        <f t="shared" ref="T15:T36" si="16">$Q15/(($C15+IF($D15&lt;=$J15,if($J15&gt;1,$J15,$D15),$D15)))</f>
        <v>29580.416</v>
      </c>
      <c r="U15" s="13">
        <v>1.0</v>
      </c>
      <c r="V15" s="6" t="str">
        <f t="shared" si="12"/>
        <v> </v>
      </c>
    </row>
    <row r="16">
      <c r="A16" s="1">
        <v>1.0</v>
      </c>
      <c r="B16" s="1" t="s">
        <v>357</v>
      </c>
      <c r="C16" s="1">
        <v>0.25</v>
      </c>
      <c r="D16" s="1">
        <v>22.5</v>
      </c>
      <c r="E16" s="1">
        <v>51617.0</v>
      </c>
      <c r="F16" s="1">
        <v>76749.0</v>
      </c>
      <c r="I16" s="2"/>
      <c r="J16" s="1">
        <v>1.0</v>
      </c>
      <c r="K16" s="7">
        <v>1.0</v>
      </c>
      <c r="L16" s="9">
        <f t="shared" si="3"/>
        <v>695074.522</v>
      </c>
      <c r="M16" s="10">
        <f t="shared" si="4"/>
        <v>1033502.034</v>
      </c>
      <c r="N16" s="9">
        <f t="shared" si="14"/>
        <v>0</v>
      </c>
      <c r="O16" s="11">
        <f t="shared" si="15"/>
        <v>0</v>
      </c>
      <c r="P16" s="11">
        <f t="shared" si="7"/>
        <v>1033502.034</v>
      </c>
      <c r="Q16" s="11">
        <f t="shared" si="8"/>
        <v>9333143.167</v>
      </c>
      <c r="R16" s="11">
        <f t="shared" si="9"/>
        <v>18265885.91</v>
      </c>
      <c r="S16" s="6" t="str">
        <f t="shared" si="10"/>
        <v>Seeking Cascade</v>
      </c>
      <c r="T16" s="11">
        <f t="shared" si="16"/>
        <v>410248.0513</v>
      </c>
      <c r="U16" s="11"/>
      <c r="V16" s="6" t="str">
        <f t="shared" si="12"/>
        <v>#DIV/0!</v>
      </c>
    </row>
    <row r="17">
      <c r="A17" s="1">
        <v>1.0</v>
      </c>
      <c r="B17" s="1" t="s">
        <v>358</v>
      </c>
      <c r="C17" s="1">
        <v>1.5</v>
      </c>
      <c r="D17" s="1">
        <v>4.0</v>
      </c>
      <c r="E17" s="1">
        <v>8875.0</v>
      </c>
      <c r="F17" s="1">
        <v>11747.0</v>
      </c>
      <c r="J17" s="1">
        <v>1.0</v>
      </c>
      <c r="K17" s="7">
        <v>1.0</v>
      </c>
      <c r="L17" s="9">
        <f t="shared" si="3"/>
        <v>119510.75</v>
      </c>
      <c r="M17" s="10">
        <f t="shared" si="4"/>
        <v>158185.102</v>
      </c>
      <c r="N17" s="9">
        <f t="shared" si="14"/>
        <v>0</v>
      </c>
      <c r="O17" s="11">
        <f t="shared" si="15"/>
        <v>0</v>
      </c>
      <c r="P17" s="11">
        <f t="shared" si="7"/>
        <v>158185.102</v>
      </c>
      <c r="Q17" s="11">
        <f t="shared" si="8"/>
        <v>1472026.298</v>
      </c>
      <c r="R17" s="11">
        <f t="shared" si="9"/>
        <v>835922.462</v>
      </c>
      <c r="S17" s="6" t="str">
        <f t="shared" si="10"/>
        <v>Healing Barrage</v>
      </c>
      <c r="T17" s="11">
        <f t="shared" si="16"/>
        <v>267641.1451</v>
      </c>
      <c r="U17" s="11"/>
      <c r="V17" s="6" t="str">
        <f t="shared" si="12"/>
        <v>#DIV/0!</v>
      </c>
    </row>
    <row r="18">
      <c r="B18" s="1" t="s">
        <v>359</v>
      </c>
      <c r="C18" s="1">
        <v>1.5</v>
      </c>
      <c r="D18" s="1">
        <v>0.0</v>
      </c>
      <c r="E18" s="1">
        <v>12157.0</v>
      </c>
      <c r="F18" s="1">
        <v>18706.0</v>
      </c>
      <c r="J18" s="1">
        <v>1.0</v>
      </c>
      <c r="K18" s="7">
        <v>1.0</v>
      </c>
      <c r="L18" s="9">
        <f t="shared" si="3"/>
        <v>163706.162</v>
      </c>
      <c r="M18" s="10">
        <f t="shared" si="4"/>
        <v>251894.996</v>
      </c>
      <c r="N18" s="9">
        <f t="shared" si="14"/>
        <v>0</v>
      </c>
      <c r="O18" s="11">
        <f t="shared" si="15"/>
        <v>0</v>
      </c>
      <c r="P18" s="11">
        <f t="shared" si="7"/>
        <v>251894.996</v>
      </c>
      <c r="Q18" s="11">
        <f t="shared" si="8"/>
        <v>282304.3997</v>
      </c>
      <c r="R18" s="11">
        <f t="shared" si="9"/>
        <v>160312.7534</v>
      </c>
      <c r="S18" s="6" t="str">
        <f t="shared" si="10"/>
        <v>Vengeful Arrow</v>
      </c>
      <c r="T18" s="11">
        <f t="shared" si="16"/>
        <v>188202.9331</v>
      </c>
      <c r="U18" s="11"/>
      <c r="V18" s="6" t="str">
        <f t="shared" si="12"/>
        <v> </v>
      </c>
    </row>
    <row r="19">
      <c r="A19" s="1">
        <v>1.0</v>
      </c>
      <c r="B19" s="1" t="s">
        <v>360</v>
      </c>
      <c r="C19" s="1">
        <v>1.0</v>
      </c>
      <c r="D19" s="1">
        <v>30.0</v>
      </c>
      <c r="E19" s="1">
        <v>17731.0</v>
      </c>
      <c r="F19" s="1">
        <v>27286.0</v>
      </c>
      <c r="J19" s="1">
        <v>1.0</v>
      </c>
      <c r="K19" s="7">
        <v>1.0</v>
      </c>
      <c r="L19" s="9">
        <f t="shared" si="3"/>
        <v>238765.646</v>
      </c>
      <c r="M19" s="10">
        <f t="shared" si="4"/>
        <v>367433.276</v>
      </c>
      <c r="N19" s="9">
        <f t="shared" si="14"/>
        <v>0</v>
      </c>
      <c r="O19" s="11">
        <f t="shared" si="15"/>
        <v>0</v>
      </c>
      <c r="P19" s="11">
        <f t="shared" si="7"/>
        <v>367433.276</v>
      </c>
      <c r="Q19" s="11">
        <f t="shared" si="8"/>
        <v>3294246.964</v>
      </c>
      <c r="R19" s="11">
        <f t="shared" si="9"/>
        <v>2612490.556</v>
      </c>
      <c r="S19" s="6" t="str">
        <f t="shared" si="10"/>
        <v>Downpour</v>
      </c>
      <c r="T19" s="11">
        <f t="shared" si="16"/>
        <v>106266.0311</v>
      </c>
      <c r="U19" s="11"/>
      <c r="V19" s="6" t="str">
        <f t="shared" si="12"/>
        <v>#DIV/0!</v>
      </c>
    </row>
    <row r="20">
      <c r="B20" s="1" t="s">
        <v>361</v>
      </c>
      <c r="C20" s="1">
        <v>0.5</v>
      </c>
      <c r="D20" s="1">
        <v>5.0</v>
      </c>
      <c r="E20" s="1">
        <v>23861.0</v>
      </c>
      <c r="F20" s="1">
        <v>25677.0</v>
      </c>
      <c r="I20" s="2"/>
      <c r="J20" s="1">
        <v>1.0</v>
      </c>
      <c r="K20" s="7">
        <v>1.0</v>
      </c>
      <c r="L20" s="9">
        <f t="shared" si="3"/>
        <v>321312.226</v>
      </c>
      <c r="M20" s="10">
        <f t="shared" si="4"/>
        <v>345766.482</v>
      </c>
      <c r="N20" s="9">
        <f t="shared" si="14"/>
        <v>0</v>
      </c>
      <c r="O20" s="11">
        <f t="shared" si="15"/>
        <v>0</v>
      </c>
      <c r="P20" s="11">
        <f t="shared" si="7"/>
        <v>345766.482</v>
      </c>
      <c r="Q20" s="11">
        <f t="shared" si="8"/>
        <v>434183.8604</v>
      </c>
      <c r="R20" s="11">
        <f t="shared" si="9"/>
        <v>570573.5779</v>
      </c>
      <c r="S20" s="6" t="str">
        <f t="shared" si="10"/>
        <v>Unc. Wrath</v>
      </c>
      <c r="T20" s="11">
        <f t="shared" si="16"/>
        <v>78942.52008</v>
      </c>
      <c r="U20" s="11"/>
      <c r="V20" s="6" t="str">
        <f t="shared" si="12"/>
        <v> </v>
      </c>
    </row>
    <row r="21">
      <c r="B21" s="1" t="s">
        <v>362</v>
      </c>
      <c r="C21" s="1">
        <v>0.35</v>
      </c>
      <c r="D21" s="1">
        <v>0.0</v>
      </c>
      <c r="E21" s="1">
        <v>9770.0</v>
      </c>
      <c r="F21" s="1">
        <v>16284.0</v>
      </c>
      <c r="G21" s="6">
        <f t="shared" ref="G21:H21" si="17">E21</f>
        <v>9770</v>
      </c>
      <c r="H21" s="6">
        <f t="shared" si="17"/>
        <v>16284</v>
      </c>
      <c r="J21" s="1">
        <v>24.0</v>
      </c>
      <c r="K21" s="12">
        <f>1/4</f>
        <v>0.25</v>
      </c>
      <c r="L21" s="9">
        <f t="shared" si="3"/>
        <v>131562.82</v>
      </c>
      <c r="M21" s="10">
        <f t="shared" si="4"/>
        <v>219280.344</v>
      </c>
      <c r="N21" s="9">
        <f t="shared" si="14"/>
        <v>131562.82</v>
      </c>
      <c r="O21" s="11">
        <f t="shared" si="15"/>
        <v>219280.344</v>
      </c>
      <c r="P21" s="11">
        <f t="shared" si="7"/>
        <v>1534962.408</v>
      </c>
      <c r="Q21" s="11">
        <f t="shared" si="8"/>
        <v>1696122.739</v>
      </c>
      <c r="R21" s="11">
        <f t="shared" si="9"/>
        <v>2776158.524</v>
      </c>
      <c r="S21" s="6" t="str">
        <f t="shared" si="10"/>
        <v>Mist of Poison</v>
      </c>
      <c r="T21" s="11">
        <f t="shared" si="16"/>
        <v>69655.96465</v>
      </c>
      <c r="U21" s="11"/>
      <c r="V21" s="6" t="str">
        <f t="shared" si="12"/>
        <v> </v>
      </c>
    </row>
    <row r="22">
      <c r="B22" s="1" t="s">
        <v>363</v>
      </c>
      <c r="C22" s="1">
        <v>1.5</v>
      </c>
      <c r="D22" s="1">
        <v>4.0</v>
      </c>
      <c r="E22" s="1">
        <v>12661.0</v>
      </c>
      <c r="F22" s="1">
        <v>15321.0</v>
      </c>
      <c r="J22" s="1">
        <v>1.0</v>
      </c>
      <c r="K22" s="7">
        <v>4.0</v>
      </c>
      <c r="L22" s="9">
        <f t="shared" si="3"/>
        <v>170493.026</v>
      </c>
      <c r="M22" s="10">
        <f t="shared" si="4"/>
        <v>206312.586</v>
      </c>
      <c r="N22" s="9">
        <f t="shared" si="14"/>
        <v>0</v>
      </c>
      <c r="O22" s="11">
        <f t="shared" si="15"/>
        <v>0</v>
      </c>
      <c r="P22" s="11">
        <f t="shared" si="7"/>
        <v>206312.586</v>
      </c>
      <c r="Q22" s="11">
        <f t="shared" si="8"/>
        <v>247136.9285</v>
      </c>
      <c r="R22" s="11">
        <f t="shared" si="9"/>
        <v>140342.1325</v>
      </c>
      <c r="S22" s="6" t="str">
        <f t="shared" si="10"/>
        <v>Healing Arrow</v>
      </c>
      <c r="T22" s="11">
        <f t="shared" si="16"/>
        <v>44933.98699</v>
      </c>
      <c r="U22" s="11"/>
      <c r="V22" s="6" t="str">
        <f t="shared" si="12"/>
        <v> </v>
      </c>
    </row>
    <row r="23">
      <c r="B23" s="1" t="s">
        <v>364</v>
      </c>
      <c r="C23" s="1">
        <v>0.0</v>
      </c>
      <c r="D23" s="1">
        <v>45.0</v>
      </c>
      <c r="E23" s="1">
        <v>61889.0</v>
      </c>
      <c r="F23" s="1">
        <v>92555.0</v>
      </c>
      <c r="I23" s="5">
        <v>0.45</v>
      </c>
      <c r="J23" s="1">
        <v>1.0</v>
      </c>
      <c r="K23" s="7">
        <v>1.0</v>
      </c>
      <c r="L23" s="9">
        <f t="shared" si="3"/>
        <v>861247.324</v>
      </c>
      <c r="M23" s="10">
        <f t="shared" si="4"/>
        <v>1287995.38</v>
      </c>
      <c r="N23" s="9">
        <f t="shared" si="14"/>
        <v>0</v>
      </c>
      <c r="O23" s="11">
        <f t="shared" si="15"/>
        <v>0</v>
      </c>
      <c r="P23" s="11">
        <f t="shared" si="7"/>
        <v>1287995.38</v>
      </c>
      <c r="Q23" s="11">
        <f t="shared" si="8"/>
        <v>1452084.849</v>
      </c>
      <c r="R23" s="11">
        <f t="shared" si="9"/>
        <v>5564389.142</v>
      </c>
      <c r="S23" s="6" t="str">
        <f t="shared" si="10"/>
        <v>Eye Shot</v>
      </c>
      <c r="T23" s="11">
        <f t="shared" si="16"/>
        <v>32268.5522</v>
      </c>
      <c r="U23" s="11"/>
      <c r="V23" s="6" t="str">
        <f t="shared" si="12"/>
        <v> </v>
      </c>
    </row>
    <row r="24">
      <c r="B24" s="1" t="s">
        <v>365</v>
      </c>
      <c r="C24" s="1">
        <v>0.25</v>
      </c>
      <c r="D24" s="1">
        <v>30.0</v>
      </c>
      <c r="E24" s="1">
        <v>24750.0</v>
      </c>
      <c r="F24" s="1">
        <v>38086.0</v>
      </c>
      <c r="K24" s="3"/>
      <c r="L24" s="9">
        <f t="shared" si="3"/>
        <v>333283.5</v>
      </c>
      <c r="M24" s="10">
        <f t="shared" si="4"/>
        <v>512866.076</v>
      </c>
      <c r="N24" s="9">
        <f t="shared" si="14"/>
        <v>0</v>
      </c>
      <c r="O24" s="11">
        <f t="shared" si="15"/>
        <v>0</v>
      </c>
      <c r="P24" s="11">
        <f t="shared" si="7"/>
        <v>512866.076</v>
      </c>
      <c r="Q24" s="11">
        <f t="shared" si="8"/>
        <v>574771.1375</v>
      </c>
      <c r="R24" s="11">
        <f t="shared" si="9"/>
        <v>1124884.065</v>
      </c>
      <c r="S24" s="6" t="str">
        <f t="shared" si="10"/>
        <v>Soulshot</v>
      </c>
      <c r="T24" s="11">
        <f t="shared" si="16"/>
        <v>19000.69876</v>
      </c>
      <c r="U24" s="11"/>
    </row>
    <row r="25">
      <c r="B25" s="1" t="s">
        <v>366</v>
      </c>
      <c r="C25" s="1">
        <v>0.5</v>
      </c>
      <c r="D25" s="1">
        <v>22.5</v>
      </c>
      <c r="E25" s="1">
        <v>8041.0</v>
      </c>
      <c r="F25" s="1">
        <v>12409.0</v>
      </c>
      <c r="J25" s="1">
        <v>1.0</v>
      </c>
      <c r="K25" s="7">
        <v>1.0</v>
      </c>
      <c r="L25" s="9">
        <f t="shared" si="3"/>
        <v>108280.106</v>
      </c>
      <c r="M25" s="10">
        <f t="shared" si="4"/>
        <v>167099.594</v>
      </c>
      <c r="N25" s="9">
        <f t="shared" si="14"/>
        <v>0</v>
      </c>
      <c r="O25" s="11">
        <f t="shared" si="15"/>
        <v>0</v>
      </c>
      <c r="P25" s="11">
        <f t="shared" si="7"/>
        <v>167099.594</v>
      </c>
      <c r="Q25" s="11">
        <f t="shared" si="8"/>
        <v>187163.0784</v>
      </c>
      <c r="R25" s="11">
        <f t="shared" si="9"/>
        <v>245956.4185</v>
      </c>
      <c r="S25" s="6" t="str">
        <f t="shared" si="10"/>
        <v>Snapshot</v>
      </c>
      <c r="T25" s="11">
        <f t="shared" si="16"/>
        <v>8137.525146</v>
      </c>
      <c r="U25" s="11"/>
    </row>
    <row r="26">
      <c r="B26" s="1" t="s">
        <v>367</v>
      </c>
      <c r="C26" s="1">
        <v>0.5</v>
      </c>
      <c r="D26" s="1">
        <v>5.0</v>
      </c>
      <c r="E26" s="1">
        <v>29895.0</v>
      </c>
      <c r="F26" s="1">
        <v>33030.0</v>
      </c>
      <c r="I26" s="2"/>
      <c r="K26" s="3"/>
      <c r="L26" s="9">
        <f t="shared" si="3"/>
        <v>402566.07</v>
      </c>
      <c r="M26" s="10">
        <f t="shared" si="4"/>
        <v>444781.98</v>
      </c>
      <c r="N26" s="9">
        <f t="shared" si="14"/>
        <v>0</v>
      </c>
      <c r="O26" s="11">
        <f t="shared" si="15"/>
        <v>0</v>
      </c>
      <c r="P26" s="11">
        <f t="shared" si="7"/>
        <v>444781.98</v>
      </c>
      <c r="Q26" s="11">
        <f t="shared" si="8"/>
        <v>552143.3437</v>
      </c>
      <c r="R26" s="11">
        <f t="shared" si="9"/>
        <v>725587.549</v>
      </c>
      <c r="S26" s="6" t="str">
        <f t="shared" si="10"/>
        <v>Uncontr Wrath</v>
      </c>
      <c r="T26" s="11">
        <f t="shared" si="16"/>
        <v>100389.6988</v>
      </c>
      <c r="U26" s="11"/>
    </row>
    <row r="27">
      <c r="B27" s="1">
        <v>2.0</v>
      </c>
      <c r="C27" s="1">
        <v>0.5</v>
      </c>
      <c r="D27" s="1">
        <v>5.0</v>
      </c>
      <c r="E27" s="6">
        <f>32055*1.20981</f>
        <v>38780.45955</v>
      </c>
      <c r="F27" s="6">
        <f>34708*1.2098</f>
        <v>41989.7384</v>
      </c>
      <c r="I27" s="2"/>
      <c r="K27" s="3"/>
      <c r="L27" s="9">
        <f t="shared" si="3"/>
        <v>522217.6683</v>
      </c>
      <c r="M27" s="10">
        <f t="shared" si="4"/>
        <v>565433.8173</v>
      </c>
      <c r="N27" s="9">
        <f t="shared" si="14"/>
        <v>0</v>
      </c>
      <c r="O27" s="11">
        <f t="shared" si="15"/>
        <v>0</v>
      </c>
      <c r="P27" s="11">
        <f t="shared" si="7"/>
        <v>565433.8173</v>
      </c>
      <c r="Q27" s="11">
        <f t="shared" si="8"/>
        <v>708089.5981</v>
      </c>
      <c r="R27" s="11">
        <f t="shared" si="9"/>
        <v>930521.0356</v>
      </c>
      <c r="S27" s="6">
        <f t="shared" si="10"/>
        <v>2</v>
      </c>
      <c r="T27" s="11">
        <f t="shared" si="16"/>
        <v>128743.5633</v>
      </c>
      <c r="U27" s="11"/>
    </row>
    <row r="28">
      <c r="B28" s="1" t="s">
        <v>362</v>
      </c>
      <c r="C28" s="1">
        <v>0.5</v>
      </c>
      <c r="D28" s="1">
        <v>0.0</v>
      </c>
      <c r="E28" s="1">
        <v>9770.0</v>
      </c>
      <c r="F28" s="1">
        <v>16284.0</v>
      </c>
      <c r="G28" s="6">
        <f t="shared" ref="G28:H28" si="18">E28</f>
        <v>9770</v>
      </c>
      <c r="H28" s="6">
        <f t="shared" si="18"/>
        <v>16284</v>
      </c>
      <c r="J28" s="1">
        <v>24.0</v>
      </c>
      <c r="K28" s="12">
        <f>1/4</f>
        <v>0.25</v>
      </c>
      <c r="L28" s="9">
        <f t="shared" si="3"/>
        <v>131562.82</v>
      </c>
      <c r="M28" s="10">
        <f t="shared" si="4"/>
        <v>219280.344</v>
      </c>
      <c r="N28" s="9">
        <f t="shared" si="14"/>
        <v>131562.82</v>
      </c>
      <c r="O28" s="11">
        <f t="shared" si="15"/>
        <v>219280.344</v>
      </c>
      <c r="P28" s="11">
        <f t="shared" si="7"/>
        <v>1534962.408</v>
      </c>
      <c r="Q28" s="11">
        <f t="shared" si="8"/>
        <v>1696122.739</v>
      </c>
      <c r="R28" s="11">
        <f t="shared" si="9"/>
        <v>2228923.984</v>
      </c>
      <c r="S28" s="6" t="str">
        <f t="shared" si="10"/>
        <v>Mist of Poison</v>
      </c>
      <c r="T28" s="11">
        <f t="shared" si="16"/>
        <v>69229.49956</v>
      </c>
      <c r="U28" s="11"/>
      <c r="V28" s="6" t="str">
        <f t="shared" ref="V28:V30" si="19">if(A28=1,MAX(R$11:R$42)/R28," ")</f>
        <v> </v>
      </c>
    </row>
    <row r="29">
      <c r="B29" s="1" t="s">
        <v>350</v>
      </c>
      <c r="C29" s="1">
        <v>0.5</v>
      </c>
      <c r="D29" s="1">
        <v>0.0</v>
      </c>
      <c r="E29" s="1">
        <v>53828.0</v>
      </c>
      <c r="F29" s="1">
        <v>86396.0</v>
      </c>
      <c r="I29" s="2"/>
      <c r="J29" s="1">
        <v>1.0</v>
      </c>
      <c r="K29" s="7">
        <v>1.0</v>
      </c>
      <c r="L29" s="9">
        <f t="shared" si="3"/>
        <v>724847.848</v>
      </c>
      <c r="M29" s="10">
        <f t="shared" si="4"/>
        <v>1163408.536</v>
      </c>
      <c r="N29" s="9">
        <f t="shared" si="14"/>
        <v>0</v>
      </c>
      <c r="O29" s="11">
        <f t="shared" si="15"/>
        <v>0</v>
      </c>
      <c r="P29" s="11">
        <f t="shared" si="7"/>
        <v>1163408.536</v>
      </c>
      <c r="Q29" s="11">
        <f t="shared" si="8"/>
        <v>1293574.852</v>
      </c>
      <c r="R29" s="11">
        <f t="shared" si="9"/>
        <v>1699924.153</v>
      </c>
      <c r="S29" s="6" t="str">
        <f t="shared" si="10"/>
        <v>Poison Bolt</v>
      </c>
      <c r="T29" s="11">
        <f t="shared" si="16"/>
        <v>2587149.703</v>
      </c>
      <c r="U29" s="11"/>
      <c r="V29" s="6" t="str">
        <f t="shared" si="19"/>
        <v> </v>
      </c>
    </row>
    <row r="30">
      <c r="A30" s="1">
        <v>1.0</v>
      </c>
      <c r="B30" s="1" t="s">
        <v>349</v>
      </c>
      <c r="C30" s="1">
        <v>0.5</v>
      </c>
      <c r="D30" s="1">
        <v>0.0</v>
      </c>
      <c r="E30" s="1">
        <v>17188.0</v>
      </c>
      <c r="F30" s="1">
        <v>28647.0</v>
      </c>
      <c r="K30" s="3"/>
      <c r="L30" s="9">
        <f t="shared" si="3"/>
        <v>231453.608</v>
      </c>
      <c r="M30" s="10">
        <f t="shared" si="4"/>
        <v>385760.502</v>
      </c>
      <c r="N30" s="9">
        <f t="shared" si="14"/>
        <v>0</v>
      </c>
      <c r="O30" s="11">
        <f t="shared" si="15"/>
        <v>0</v>
      </c>
      <c r="P30" s="11">
        <f t="shared" si="7"/>
        <v>385760.502</v>
      </c>
      <c r="Q30" s="11">
        <f t="shared" si="8"/>
        <v>3410116.711</v>
      </c>
      <c r="R30" s="11">
        <f t="shared" si="9"/>
        <v>4481333.071</v>
      </c>
      <c r="S30" s="6" t="str">
        <f t="shared" si="10"/>
        <v>Decimation</v>
      </c>
      <c r="T30" s="11">
        <f t="shared" si="16"/>
        <v>6820233.421</v>
      </c>
      <c r="U30" s="11"/>
      <c r="V30" s="6" t="str">
        <f t="shared" si="19"/>
        <v>#DIV/0!</v>
      </c>
    </row>
    <row r="31">
      <c r="B31" s="1" t="s">
        <v>87</v>
      </c>
      <c r="C31" s="1">
        <v>0.25</v>
      </c>
      <c r="D31" s="1">
        <v>15.0</v>
      </c>
      <c r="E31" s="1">
        <v>32271.0</v>
      </c>
      <c r="F31" s="1">
        <v>43155.0</v>
      </c>
      <c r="G31" s="1">
        <v>3396.0</v>
      </c>
      <c r="H31" s="1">
        <v>4543.0</v>
      </c>
      <c r="I31" s="2"/>
      <c r="J31" s="1">
        <v>12.0</v>
      </c>
      <c r="K31" s="12">
        <f t="shared" ref="K31:K32" si="20">1/2</f>
        <v>0.5</v>
      </c>
      <c r="L31" s="9">
        <f t="shared" si="3"/>
        <v>434561.286</v>
      </c>
      <c r="M31" s="10">
        <f t="shared" si="4"/>
        <v>581125.23</v>
      </c>
      <c r="N31" s="9">
        <f t="shared" si="14"/>
        <v>45730.536</v>
      </c>
      <c r="O31" s="11">
        <f t="shared" si="15"/>
        <v>61176.038</v>
      </c>
      <c r="P31" s="11">
        <f t="shared" si="7"/>
        <v>948181.458</v>
      </c>
      <c r="Q31" s="11">
        <f t="shared" si="8"/>
        <v>1099581.78</v>
      </c>
      <c r="R31" s="11">
        <f t="shared" si="9"/>
        <v>2151990.491</v>
      </c>
      <c r="S31" s="6" t="str">
        <f t="shared" si="10"/>
        <v>Daydream</v>
      </c>
      <c r="T31" s="11">
        <f t="shared" si="16"/>
        <v>72103.72327</v>
      </c>
      <c r="U31" s="11"/>
    </row>
    <row r="32">
      <c r="C32" s="1">
        <v>0.25</v>
      </c>
      <c r="D32" s="1">
        <v>15.0</v>
      </c>
      <c r="E32" s="1">
        <v>17288.0</v>
      </c>
      <c r="F32" s="1">
        <v>23119.0</v>
      </c>
      <c r="G32" s="1">
        <v>1819.0</v>
      </c>
      <c r="H32" s="1">
        <v>2434.0</v>
      </c>
      <c r="I32" s="2"/>
      <c r="J32" s="1">
        <v>12.0</v>
      </c>
      <c r="K32" s="12">
        <f t="shared" si="20"/>
        <v>0.5</v>
      </c>
      <c r="L32" s="9">
        <f t="shared" si="3"/>
        <v>232800.208</v>
      </c>
      <c r="M32" s="10">
        <f t="shared" si="4"/>
        <v>311320.454</v>
      </c>
      <c r="N32" s="9">
        <f t="shared" si="14"/>
        <v>24494.654</v>
      </c>
      <c r="O32" s="11">
        <f t="shared" si="15"/>
        <v>32776.244</v>
      </c>
      <c r="P32" s="11">
        <f t="shared" si="7"/>
        <v>507977.918</v>
      </c>
      <c r="Q32" s="11">
        <f t="shared" si="8"/>
        <v>589070.5228</v>
      </c>
      <c r="R32" s="11">
        <f t="shared" si="9"/>
        <v>1152869.379</v>
      </c>
      <c r="S32" s="6" t="str">
        <f t="shared" si="10"/>
        <v/>
      </c>
      <c r="T32" s="11">
        <f t="shared" si="16"/>
        <v>38627.57526</v>
      </c>
      <c r="U32" s="11"/>
    </row>
    <row r="33">
      <c r="B33" s="1" t="s">
        <v>392</v>
      </c>
      <c r="C33" s="1">
        <v>0.25</v>
      </c>
      <c r="D33" s="1">
        <v>4.0</v>
      </c>
      <c r="E33" s="1">
        <v>10453.0</v>
      </c>
      <c r="F33" s="1">
        <v>15927.0</v>
      </c>
      <c r="K33" s="3"/>
      <c r="L33" s="9">
        <f t="shared" si="3"/>
        <v>140760.098</v>
      </c>
      <c r="M33" s="10">
        <f t="shared" si="4"/>
        <v>214472.982</v>
      </c>
      <c r="N33" s="9">
        <f t="shared" si="14"/>
        <v>0</v>
      </c>
      <c r="O33" s="11">
        <f t="shared" si="15"/>
        <v>0</v>
      </c>
      <c r="P33" s="11">
        <f t="shared" si="7"/>
        <v>214472.982</v>
      </c>
      <c r="Q33" s="11">
        <f t="shared" si="8"/>
        <v>240843.7997</v>
      </c>
      <c r="R33" s="11">
        <f t="shared" si="9"/>
        <v>471355.1789</v>
      </c>
      <c r="S33" s="6" t="str">
        <f t="shared" si="10"/>
        <v>UVB</v>
      </c>
      <c r="T33" s="11">
        <f t="shared" si="16"/>
        <v>56669.12933</v>
      </c>
      <c r="U33" s="11"/>
    </row>
    <row r="34">
      <c r="C34" s="1">
        <v>0.25</v>
      </c>
      <c r="D34" s="1">
        <v>4.0</v>
      </c>
      <c r="E34" s="1">
        <v>18485.0</v>
      </c>
      <c r="F34" s="1">
        <v>28165.0</v>
      </c>
      <c r="I34" s="2"/>
      <c r="K34" s="3"/>
      <c r="L34" s="9">
        <f t="shared" si="3"/>
        <v>248919.01</v>
      </c>
      <c r="M34" s="10">
        <f t="shared" si="4"/>
        <v>379269.89</v>
      </c>
      <c r="N34" s="9">
        <f t="shared" si="14"/>
        <v>0</v>
      </c>
      <c r="O34" s="11">
        <f t="shared" si="15"/>
        <v>0</v>
      </c>
      <c r="P34" s="11">
        <f t="shared" si="7"/>
        <v>379269.89</v>
      </c>
      <c r="Q34" s="11">
        <f t="shared" si="8"/>
        <v>425904.087</v>
      </c>
      <c r="R34" s="11">
        <f t="shared" si="9"/>
        <v>833536.4971</v>
      </c>
      <c r="S34" s="6" t="str">
        <f t="shared" si="10"/>
        <v/>
      </c>
      <c r="T34" s="11">
        <f t="shared" si="16"/>
        <v>100212.7263</v>
      </c>
      <c r="U34" s="11"/>
    </row>
    <row r="35">
      <c r="I35" s="2"/>
      <c r="K35" s="3"/>
      <c r="L35" s="9">
        <f t="shared" si="3"/>
        <v>1</v>
      </c>
      <c r="M35" s="10">
        <f t="shared" si="4"/>
        <v>0</v>
      </c>
      <c r="N35" s="9">
        <f t="shared" si="14"/>
        <v>0</v>
      </c>
      <c r="O35" s="11">
        <f t="shared" si="15"/>
        <v>0</v>
      </c>
      <c r="P35" s="11">
        <f t="shared" si="7"/>
        <v>0</v>
      </c>
      <c r="Q35" s="11" t="str">
        <f t="shared" si="8"/>
        <v>#DIV/0!</v>
      </c>
      <c r="R35" s="11" t="str">
        <f t="shared" si="9"/>
        <v>#DIV/0!</v>
      </c>
      <c r="S35" s="6" t="str">
        <f t="shared" si="10"/>
        <v/>
      </c>
      <c r="T35" s="11" t="str">
        <f t="shared" si="16"/>
        <v>#DIV/0!</v>
      </c>
      <c r="U35" s="11"/>
    </row>
    <row r="36">
      <c r="I36" s="2"/>
      <c r="K36" s="3"/>
      <c r="L36" s="9">
        <f t="shared" si="3"/>
        <v>1</v>
      </c>
      <c r="M36" s="10">
        <f t="shared" si="4"/>
        <v>0</v>
      </c>
      <c r="N36" s="9">
        <f t="shared" si="14"/>
        <v>0</v>
      </c>
      <c r="O36" s="11">
        <f t="shared" si="15"/>
        <v>0</v>
      </c>
      <c r="P36" s="11">
        <f t="shared" si="7"/>
        <v>0</v>
      </c>
      <c r="Q36" s="11" t="str">
        <f t="shared" si="8"/>
        <v>#DIV/0!</v>
      </c>
      <c r="R36" s="11" t="str">
        <f t="shared" si="9"/>
        <v>#DIV/0!</v>
      </c>
      <c r="S36" s="6" t="str">
        <f t="shared" si="10"/>
        <v/>
      </c>
      <c r="T36" s="11" t="str">
        <f t="shared" si="16"/>
        <v>#DIV/0!</v>
      </c>
      <c r="U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  <c r="U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  <c r="U38" s="11"/>
    </row>
    <row r="39">
      <c r="K39" s="3"/>
      <c r="L39" s="9"/>
      <c r="M39" s="10"/>
      <c r="N39" s="9"/>
      <c r="O39" s="46"/>
      <c r="P39" s="11"/>
      <c r="Q39" s="11"/>
      <c r="R39" s="11"/>
      <c r="T39" s="11"/>
      <c r="U39" s="11"/>
    </row>
    <row r="40">
      <c r="K40" s="3"/>
      <c r="L40" s="9"/>
      <c r="M40" s="10"/>
      <c r="N40" s="9"/>
      <c r="O40" s="11"/>
      <c r="P40" s="11"/>
      <c r="Q40" s="11"/>
      <c r="R40" s="11"/>
      <c r="T40" s="11"/>
      <c r="U40" s="11"/>
    </row>
    <row r="41">
      <c r="K41" s="3"/>
      <c r="L41" s="9"/>
      <c r="M41" s="10"/>
      <c r="N41" s="9"/>
      <c r="O41" s="11"/>
      <c r="P41" s="11"/>
      <c r="Q41" s="11"/>
      <c r="R41" s="11"/>
      <c r="T41" s="11"/>
      <c r="U41" s="11"/>
    </row>
    <row r="42">
      <c r="K42" s="3"/>
      <c r="L42" s="9"/>
      <c r="M42" s="10"/>
      <c r="N42" s="9"/>
      <c r="O42" s="11"/>
      <c r="P42" s="11"/>
      <c r="Q42" s="11"/>
      <c r="R42" s="11"/>
      <c r="T42" s="11"/>
      <c r="U42" s="11"/>
    </row>
    <row r="43">
      <c r="K43" s="3"/>
      <c r="L43" s="9"/>
      <c r="M43" s="10"/>
      <c r="N43" s="9"/>
      <c r="O43" s="11"/>
      <c r="P43" s="11"/>
      <c r="Q43" s="11"/>
      <c r="R43" s="11"/>
      <c r="T43" s="11"/>
      <c r="U43" s="11"/>
    </row>
    <row r="44">
      <c r="K44" s="3"/>
      <c r="L44" s="9"/>
      <c r="M44" s="10"/>
      <c r="N44" s="9"/>
      <c r="O44" s="11"/>
      <c r="P44" s="11"/>
      <c r="Q44" s="11"/>
      <c r="R44" s="11"/>
      <c r="T44" s="11"/>
      <c r="U44" s="11"/>
    </row>
    <row r="45">
      <c r="K45" s="3"/>
      <c r="L45" s="9"/>
      <c r="M45" s="10"/>
      <c r="N45" s="9"/>
      <c r="O45" s="11"/>
      <c r="P45" s="11"/>
      <c r="Q45" s="11"/>
      <c r="R45" s="11"/>
      <c r="T45" s="11"/>
      <c r="U45" s="11"/>
    </row>
    <row r="46">
      <c r="U46" s="2"/>
    </row>
    <row r="47">
      <c r="I47" s="2"/>
      <c r="K47" s="3"/>
      <c r="L47" s="4"/>
    </row>
    <row r="48">
      <c r="E48" s="11"/>
      <c r="F48" s="11"/>
      <c r="G48" s="11"/>
      <c r="H48" s="11"/>
      <c r="K48" s="3"/>
      <c r="L48" s="9"/>
      <c r="M48" s="10"/>
      <c r="N48" s="9"/>
      <c r="O48" s="11"/>
      <c r="P48" s="11"/>
      <c r="Q48" s="11"/>
      <c r="R48" s="11"/>
      <c r="T48" s="11"/>
      <c r="U48" s="2"/>
    </row>
    <row r="49">
      <c r="E49" s="11"/>
      <c r="F49" s="11"/>
      <c r="G49" s="11"/>
      <c r="H49" s="11"/>
      <c r="K49" s="3"/>
      <c r="L49" s="9"/>
      <c r="M49" s="10"/>
      <c r="N49" s="9"/>
      <c r="O49" s="11"/>
      <c r="P49" s="11"/>
      <c r="Q49" s="11"/>
      <c r="R49" s="11"/>
      <c r="T49" s="11"/>
      <c r="U49" s="2"/>
    </row>
    <row r="50">
      <c r="E50" s="11"/>
      <c r="F50" s="11"/>
      <c r="G50" s="11"/>
      <c r="H50" s="11"/>
      <c r="K50" s="3"/>
      <c r="L50" s="9"/>
      <c r="M50" s="10"/>
      <c r="N50" s="9"/>
      <c r="O50" s="11"/>
      <c r="P50" s="11"/>
      <c r="Q50" s="11"/>
      <c r="R50" s="11"/>
      <c r="T50" s="11"/>
      <c r="U50" s="2"/>
    </row>
    <row r="51">
      <c r="E51" s="11"/>
      <c r="F51" s="11"/>
      <c r="G51" s="11"/>
      <c r="H51" s="11"/>
      <c r="K51" s="3"/>
      <c r="L51" s="9"/>
      <c r="M51" s="10"/>
      <c r="N51" s="9"/>
      <c r="O51" s="11"/>
      <c r="P51" s="11"/>
      <c r="Q51" s="11"/>
      <c r="R51" s="11"/>
      <c r="T51" s="11"/>
      <c r="U51" s="2"/>
    </row>
    <row r="52">
      <c r="E52" s="11"/>
      <c r="F52" s="11"/>
      <c r="G52" s="11"/>
      <c r="H52" s="11"/>
      <c r="K52" s="3"/>
      <c r="L52" s="9"/>
      <c r="M52" s="10"/>
      <c r="N52" s="9"/>
      <c r="O52" s="11"/>
      <c r="P52" s="11"/>
      <c r="Q52" s="11"/>
      <c r="R52" s="11"/>
      <c r="T52" s="11"/>
      <c r="U52" s="2"/>
    </row>
    <row r="53">
      <c r="E53" s="11"/>
      <c r="F53" s="11"/>
      <c r="G53" s="11"/>
      <c r="H53" s="11"/>
      <c r="K53" s="3"/>
      <c r="L53" s="9"/>
      <c r="M53" s="10"/>
      <c r="N53" s="9"/>
      <c r="O53" s="11"/>
      <c r="P53" s="11"/>
      <c r="Q53" s="11"/>
      <c r="R53" s="11"/>
      <c r="T53" s="11"/>
      <c r="U53" s="2"/>
    </row>
    <row r="54">
      <c r="E54" s="11"/>
      <c r="F54" s="11"/>
      <c r="G54" s="11"/>
      <c r="H54" s="11"/>
      <c r="K54" s="3"/>
      <c r="L54" s="9"/>
      <c r="M54" s="10"/>
      <c r="N54" s="9"/>
      <c r="O54" s="11"/>
      <c r="P54" s="11"/>
      <c r="Q54" s="11"/>
      <c r="R54" s="11"/>
      <c r="T54" s="11"/>
      <c r="U54" s="2"/>
    </row>
    <row r="55">
      <c r="E55" s="11"/>
      <c r="F55" s="11"/>
      <c r="G55" s="11"/>
      <c r="H55" s="11"/>
      <c r="K55" s="3"/>
      <c r="L55" s="9"/>
      <c r="M55" s="10"/>
      <c r="N55" s="9"/>
      <c r="O55" s="11"/>
      <c r="P55" s="11"/>
      <c r="Q55" s="11"/>
      <c r="R55" s="11"/>
      <c r="T55" s="11"/>
      <c r="U55" s="2"/>
    </row>
    <row r="56">
      <c r="E56" s="11"/>
      <c r="F56" s="11"/>
      <c r="G56" s="11"/>
      <c r="H56" s="11"/>
      <c r="K56" s="3"/>
      <c r="L56" s="9"/>
      <c r="M56" s="10"/>
      <c r="N56" s="9"/>
      <c r="O56" s="11"/>
      <c r="P56" s="11"/>
      <c r="Q56" s="11"/>
      <c r="R56" s="11"/>
      <c r="T56" s="11"/>
      <c r="U56" s="2"/>
    </row>
    <row r="57">
      <c r="E57" s="11"/>
      <c r="F57" s="11"/>
      <c r="G57" s="11"/>
      <c r="H57" s="11"/>
      <c r="K57" s="3"/>
      <c r="L57" s="9"/>
      <c r="M57" s="10"/>
      <c r="N57" s="9"/>
      <c r="O57" s="11"/>
      <c r="P57" s="11"/>
      <c r="Q57" s="11"/>
      <c r="R57" s="11"/>
      <c r="T57" s="11"/>
      <c r="U57" s="2"/>
    </row>
    <row r="58">
      <c r="E58" s="11"/>
      <c r="F58" s="11"/>
      <c r="G58" s="11"/>
      <c r="H58" s="11"/>
      <c r="K58" s="3"/>
      <c r="L58" s="9"/>
      <c r="M58" s="10"/>
      <c r="N58" s="9"/>
      <c r="O58" s="11"/>
      <c r="P58" s="11"/>
      <c r="Q58" s="11"/>
      <c r="R58" s="11"/>
      <c r="T58" s="11"/>
      <c r="U58" s="2"/>
    </row>
    <row r="59">
      <c r="E59" s="11"/>
      <c r="F59" s="11"/>
      <c r="G59" s="11"/>
      <c r="H59" s="11"/>
      <c r="K59" s="3"/>
      <c r="L59" s="9"/>
      <c r="M59" s="10"/>
      <c r="N59" s="9"/>
      <c r="O59" s="11"/>
      <c r="P59" s="11"/>
      <c r="Q59" s="11"/>
      <c r="R59" s="11"/>
      <c r="T59" s="11"/>
      <c r="U59" s="2"/>
    </row>
    <row r="60">
      <c r="E60" s="11"/>
      <c r="F60" s="11"/>
      <c r="G60" s="11"/>
      <c r="H60" s="11"/>
      <c r="K60" s="3"/>
      <c r="L60" s="9"/>
      <c r="M60" s="10"/>
      <c r="N60" s="9"/>
      <c r="O60" s="11"/>
      <c r="P60" s="11"/>
      <c r="Q60" s="11"/>
      <c r="R60" s="11"/>
      <c r="T60" s="11"/>
      <c r="U60" s="2"/>
    </row>
    <row r="61">
      <c r="E61" s="11"/>
      <c r="F61" s="11"/>
      <c r="G61" s="11"/>
      <c r="H61" s="11"/>
      <c r="K61" s="3"/>
      <c r="L61" s="9"/>
      <c r="M61" s="10"/>
      <c r="N61" s="9"/>
      <c r="O61" s="11"/>
      <c r="P61" s="11"/>
      <c r="Q61" s="11"/>
      <c r="R61" s="11"/>
      <c r="T61" s="11"/>
      <c r="U61" s="2"/>
    </row>
    <row r="62">
      <c r="E62" s="11"/>
      <c r="F62" s="11"/>
      <c r="G62" s="11"/>
      <c r="H62" s="11"/>
      <c r="K62" s="3"/>
      <c r="L62" s="9"/>
      <c r="M62" s="10"/>
      <c r="N62" s="9"/>
      <c r="O62" s="11"/>
      <c r="P62" s="11"/>
      <c r="Q62" s="11"/>
      <c r="R62" s="11"/>
      <c r="T62" s="11"/>
      <c r="U62" s="2"/>
    </row>
    <row r="63">
      <c r="E63" s="11"/>
      <c r="F63" s="11"/>
      <c r="G63" s="11"/>
      <c r="H63" s="11"/>
      <c r="K63" s="3"/>
      <c r="L63" s="9"/>
      <c r="M63" s="10"/>
      <c r="N63" s="9"/>
      <c r="O63" s="11"/>
      <c r="P63" s="11"/>
      <c r="Q63" s="11"/>
      <c r="R63" s="11"/>
      <c r="T63" s="11"/>
      <c r="U63" s="2"/>
    </row>
    <row r="64">
      <c r="E64" s="11"/>
      <c r="F64" s="11"/>
      <c r="G64" s="11"/>
      <c r="H64" s="11"/>
      <c r="K64" s="3"/>
      <c r="L64" s="9"/>
      <c r="M64" s="10"/>
      <c r="N64" s="9"/>
      <c r="O64" s="11"/>
      <c r="P64" s="11"/>
      <c r="Q64" s="11"/>
      <c r="R64" s="11"/>
      <c r="T64" s="11"/>
      <c r="U64" s="2"/>
    </row>
    <row r="65">
      <c r="E65" s="11"/>
      <c r="F65" s="11"/>
      <c r="G65" s="11"/>
      <c r="H65" s="11"/>
      <c r="K65" s="3"/>
      <c r="L65" s="9"/>
      <c r="M65" s="10"/>
      <c r="N65" s="9"/>
      <c r="O65" s="11"/>
      <c r="P65" s="11"/>
      <c r="Q65" s="11"/>
      <c r="R65" s="11"/>
      <c r="T65" s="11"/>
      <c r="U65" s="2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  <c r="N84" s="1" t="s">
        <v>369</v>
      </c>
      <c r="O84" s="1" t="s">
        <v>370</v>
      </c>
    </row>
    <row r="85">
      <c r="K85" s="3"/>
      <c r="L85" s="4"/>
      <c r="N85" s="1">
        <v>25.0</v>
      </c>
      <c r="O85" s="1">
        <v>5.21629448338152</v>
      </c>
    </row>
    <row r="86">
      <c r="K86" s="3"/>
      <c r="L86" s="4"/>
      <c r="N86" s="1">
        <v>50.0</v>
      </c>
      <c r="O86" s="1">
        <v>3.85501573599077</v>
      </c>
    </row>
    <row r="87">
      <c r="K87" s="3"/>
      <c r="L87" s="4"/>
      <c r="N87" s="1">
        <v>75.0</v>
      </c>
      <c r="O87" s="1">
        <v>2.49373698860002</v>
      </c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autoFilter ref="$A$7:$U$4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422%+150%</f>
        <v>5.72</v>
      </c>
      <c r="K1" s="3"/>
      <c r="L1" s="4"/>
      <c r="T1" s="1" t="s">
        <v>393</v>
      </c>
      <c r="U1" s="1" t="s">
        <v>272</v>
      </c>
    </row>
    <row r="2">
      <c r="A2" s="1" t="s">
        <v>1</v>
      </c>
      <c r="B2" s="5">
        <v>0.065</v>
      </c>
      <c r="K2" s="3"/>
      <c r="L2" s="4"/>
      <c r="T2" s="6">
        <f>average(R8:R25)</f>
        <v>534143.6172</v>
      </c>
      <c r="U2" s="6">
        <f>average(T8:T25)</f>
        <v>70365.88595</v>
      </c>
    </row>
    <row r="3">
      <c r="A3" s="1" t="s">
        <v>2</v>
      </c>
      <c r="B3" s="19">
        <v>0.328</v>
      </c>
      <c r="K3" s="3"/>
      <c r="L3" s="4"/>
      <c r="T3" s="1">
        <v>610391.490313324</v>
      </c>
      <c r="U3" s="1">
        <v>66217.4999726614</v>
      </c>
    </row>
    <row r="4">
      <c r="A4" s="1" t="s">
        <v>3</v>
      </c>
      <c r="B4" s="1">
        <v>1.0</v>
      </c>
      <c r="K4" s="3"/>
      <c r="L4" s="4"/>
    </row>
    <row r="5">
      <c r="A5" s="1" t="s">
        <v>394</v>
      </c>
      <c r="B5" s="14">
        <v>341212.0</v>
      </c>
      <c r="C5" s="6">
        <f>341212-B5</f>
        <v>0</v>
      </c>
      <c r="K5" s="3"/>
      <c r="L5" s="4"/>
    </row>
    <row r="6">
      <c r="B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395</v>
      </c>
      <c r="C8" s="1">
        <v>0.5</v>
      </c>
      <c r="D8" s="1">
        <v>90.0</v>
      </c>
      <c r="E8" s="1">
        <v>38385.0</v>
      </c>
      <c r="F8" s="1">
        <v>45000.0</v>
      </c>
      <c r="G8" s="1">
        <v>29438.0</v>
      </c>
      <c r="H8" s="1">
        <v>35980.0</v>
      </c>
      <c r="I8" s="2"/>
      <c r="J8" s="1">
        <v>9.0</v>
      </c>
      <c r="K8" s="7">
        <v>1.0</v>
      </c>
      <c r="L8" s="9">
        <f t="shared" ref="L8:L27" si="1">if(E8*($B$1+$I8)&lt;(F8+1),F8+1,E8*($I8+$B$1))</f>
        <v>219562.2</v>
      </c>
      <c r="M8" s="10">
        <f t="shared" ref="M8:M27" si="2">F8*($B$1+$I8)</f>
        <v>257400</v>
      </c>
      <c r="N8" s="9">
        <f t="shared" ref="N8:N27" si="3">if(if(G8*($B$1+$I8)&lt;(H8+1),H8+1,G8*($I8+$B$1))=1,0,if(G8*($B$1+$I8)&lt;(H8+1),H8+1,G8*($I8+$B$1)))</f>
        <v>168385.36</v>
      </c>
      <c r="O8" s="11">
        <f t="shared" ref="O8:O27" si="4">H8*($B$1+$I8)</f>
        <v>205805.6</v>
      </c>
      <c r="P8" s="11">
        <f t="shared" ref="P8:P27" si="5">M8+O8*K8*J8</f>
        <v>2109650.4</v>
      </c>
      <c r="Q8" s="11">
        <f t="shared" ref="Q8:Q27" si="6">(if($A8=1,$B$4,1)*((L8*E8+F8*M8)/(E8+F8)+if(G8&gt;0,(N8*G8+H8*O8)/(G8+H8)*J8*K8,0)))*(if($U8=0,1+$B$3,1))</f>
        <v>2577224.228</v>
      </c>
      <c r="R8" s="11">
        <f t="shared" ref="R8:R27" si="7">Q8/(C8+0.5*(1/(1+$B$2)))</f>
        <v>2658347.509</v>
      </c>
      <c r="S8" s="6" t="str">
        <f t="shared" ref="S8:S27" si="8">B8</f>
        <v>Elemental Blast</v>
      </c>
      <c r="T8" s="11">
        <f t="shared" ref="T8:T27" si="9">$Q8/(($C8+0.5*(1/(1+$B$2)+if($D8&lt;=$J8,$J8,$D8))))</f>
        <v>56063.80642</v>
      </c>
      <c r="U8" s="11"/>
    </row>
    <row r="9">
      <c r="B9" s="1" t="s">
        <v>396</v>
      </c>
      <c r="C9" s="1">
        <v>1.0</v>
      </c>
      <c r="D9" s="1">
        <v>30.0</v>
      </c>
      <c r="E9" s="6">
        <f>F9</f>
        <v>511818</v>
      </c>
      <c r="F9" s="6">
        <f>$B$5*1.5</f>
        <v>511818</v>
      </c>
      <c r="K9" s="3"/>
      <c r="L9" s="9">
        <f t="shared" si="1"/>
        <v>2927598.96</v>
      </c>
      <c r="M9" s="10">
        <f t="shared" si="2"/>
        <v>2927598.96</v>
      </c>
      <c r="N9" s="9">
        <f t="shared" si="3"/>
        <v>0</v>
      </c>
      <c r="O9" s="11">
        <f t="shared" si="4"/>
        <v>0</v>
      </c>
      <c r="P9" s="11">
        <f t="shared" si="5"/>
        <v>2927598.96</v>
      </c>
      <c r="Q9" s="11">
        <f t="shared" si="6"/>
        <v>2927598.96</v>
      </c>
      <c r="R9" s="11">
        <f t="shared" si="7"/>
        <v>1992263.829</v>
      </c>
      <c r="S9" s="6" t="str">
        <f t="shared" si="8"/>
        <v>Soulburn</v>
      </c>
      <c r="T9" s="11">
        <f t="shared" si="9"/>
        <v>177759.0018</v>
      </c>
      <c r="U9" s="1">
        <v>1.0</v>
      </c>
    </row>
    <row r="10">
      <c r="B10" s="1" t="s">
        <v>397</v>
      </c>
      <c r="C10" s="1">
        <v>0.5</v>
      </c>
      <c r="D10" s="6">
        <f>33+6+0.5</f>
        <v>39.5</v>
      </c>
      <c r="E10" s="6">
        <f>20148+21570</f>
        <v>41718</v>
      </c>
      <c r="F10" s="6">
        <f>24070+25769</f>
        <v>49839</v>
      </c>
      <c r="G10" s="6">
        <f>1453+2875</f>
        <v>4328</v>
      </c>
      <c r="H10" s="6">
        <f>1737+3436</f>
        <v>5173</v>
      </c>
      <c r="I10" s="19">
        <v>0.05</v>
      </c>
      <c r="J10" s="1">
        <v>33.0</v>
      </c>
      <c r="K10" s="12">
        <f>1/2.3</f>
        <v>0.4347826087</v>
      </c>
      <c r="L10" s="9">
        <f t="shared" si="1"/>
        <v>240712.86</v>
      </c>
      <c r="M10" s="10">
        <f t="shared" si="2"/>
        <v>287571.03</v>
      </c>
      <c r="N10" s="9">
        <f t="shared" si="3"/>
        <v>24972.56</v>
      </c>
      <c r="O10" s="11">
        <f t="shared" si="4"/>
        <v>29848.21</v>
      </c>
      <c r="P10" s="11">
        <f t="shared" si="5"/>
        <v>715827.9561</v>
      </c>
      <c r="Q10" s="11">
        <f t="shared" si="6"/>
        <v>879946.5353</v>
      </c>
      <c r="R10" s="11">
        <f t="shared" si="7"/>
        <v>907644.6103</v>
      </c>
      <c r="S10" s="6" t="str">
        <f t="shared" si="8"/>
        <v>wind</v>
      </c>
      <c r="T10" s="11">
        <f t="shared" si="9"/>
        <v>42469.52065</v>
      </c>
      <c r="U10" s="11"/>
    </row>
    <row r="11">
      <c r="B11" s="1" t="s">
        <v>398</v>
      </c>
      <c r="C11" s="1">
        <v>0.25</v>
      </c>
      <c r="D11" s="1">
        <v>7.5</v>
      </c>
      <c r="E11" s="1">
        <v>17892.0</v>
      </c>
      <c r="F11" s="1">
        <v>30515.0</v>
      </c>
      <c r="G11" s="1">
        <v>5112.0</v>
      </c>
      <c r="H11" s="1">
        <v>8718.0</v>
      </c>
      <c r="I11" s="5">
        <v>0.15</v>
      </c>
      <c r="J11" s="1">
        <v>4.0</v>
      </c>
      <c r="K11" s="7">
        <v>1.0</v>
      </c>
      <c r="L11" s="9">
        <f t="shared" si="1"/>
        <v>105026.04</v>
      </c>
      <c r="M11" s="10">
        <f t="shared" si="2"/>
        <v>179123.05</v>
      </c>
      <c r="N11" s="9">
        <f t="shared" si="3"/>
        <v>30007.44</v>
      </c>
      <c r="O11" s="11">
        <f t="shared" si="4"/>
        <v>51174.66</v>
      </c>
      <c r="P11" s="11">
        <f t="shared" si="5"/>
        <v>383821.69</v>
      </c>
      <c r="Q11" s="11">
        <f t="shared" si="6"/>
        <v>431783.2499</v>
      </c>
      <c r="R11" s="11">
        <f t="shared" si="7"/>
        <v>600129.4109</v>
      </c>
      <c r="S11" s="6" t="str">
        <f t="shared" si="8"/>
        <v>Planar Burst</v>
      </c>
      <c r="T11" s="11">
        <f t="shared" si="9"/>
        <v>96606.96662</v>
      </c>
      <c r="U11" s="11"/>
    </row>
    <row r="12">
      <c r="B12" s="1" t="s">
        <v>399</v>
      </c>
      <c r="C12" s="1">
        <v>0.5</v>
      </c>
      <c r="D12" s="1">
        <v>4.0</v>
      </c>
      <c r="E12" s="6">
        <f>14370+18929</f>
        <v>33299</v>
      </c>
      <c r="F12" s="6">
        <f>E12</f>
        <v>33299</v>
      </c>
      <c r="G12" s="6">
        <f>834+1862</f>
        <v>2696</v>
      </c>
      <c r="H12" s="6">
        <f>G12</f>
        <v>2696</v>
      </c>
      <c r="J12" s="1">
        <v>12.0</v>
      </c>
      <c r="K12" s="12">
        <f>1/1.5</f>
        <v>0.6666666667</v>
      </c>
      <c r="L12" s="9">
        <f t="shared" si="1"/>
        <v>190470.28</v>
      </c>
      <c r="M12" s="10">
        <f t="shared" si="2"/>
        <v>190470.28</v>
      </c>
      <c r="N12" s="9">
        <f t="shared" si="3"/>
        <v>15421.12</v>
      </c>
      <c r="O12" s="11">
        <f t="shared" si="4"/>
        <v>15421.12</v>
      </c>
      <c r="P12" s="11">
        <f t="shared" si="5"/>
        <v>313839.24</v>
      </c>
      <c r="Q12" s="11">
        <f t="shared" si="6"/>
        <v>416778.5107</v>
      </c>
      <c r="R12" s="11">
        <f t="shared" si="7"/>
        <v>429897.4469</v>
      </c>
      <c r="S12" s="6" t="str">
        <f t="shared" si="8"/>
        <v>fiery annihilation</v>
      </c>
      <c r="T12" s="11">
        <f t="shared" si="9"/>
        <v>59800.48689</v>
      </c>
      <c r="U12" s="11"/>
    </row>
    <row r="13">
      <c r="B13" s="1" t="s">
        <v>400</v>
      </c>
      <c r="C13" s="1">
        <v>1.0</v>
      </c>
      <c r="D13" s="1">
        <v>1.5</v>
      </c>
      <c r="E13" s="1">
        <v>31148.0</v>
      </c>
      <c r="F13" s="1">
        <v>40613.0</v>
      </c>
      <c r="G13" s="1">
        <v>31152.0</v>
      </c>
      <c r="H13" s="1">
        <v>40658.0</v>
      </c>
      <c r="I13" s="19">
        <v>0.25</v>
      </c>
      <c r="J13" s="1">
        <v>1.0</v>
      </c>
      <c r="K13" s="7">
        <v>1.0</v>
      </c>
      <c r="L13" s="9">
        <f t="shared" si="1"/>
        <v>185953.56</v>
      </c>
      <c r="M13" s="10">
        <f t="shared" si="2"/>
        <v>242459.61</v>
      </c>
      <c r="N13" s="9">
        <f t="shared" si="3"/>
        <v>185977.44</v>
      </c>
      <c r="O13" s="11">
        <f t="shared" si="4"/>
        <v>242728.26</v>
      </c>
      <c r="P13" s="11">
        <f t="shared" si="5"/>
        <v>485187.87</v>
      </c>
      <c r="Q13" s="11">
        <f t="shared" si="6"/>
        <v>579063.9819</v>
      </c>
      <c r="R13" s="11">
        <f t="shared" si="7"/>
        <v>394059.5148</v>
      </c>
      <c r="S13" s="6" t="str">
        <f t="shared" si="8"/>
        <v>Crystalline destr</v>
      </c>
      <c r="T13" s="11">
        <f t="shared" si="9"/>
        <v>260900.3239</v>
      </c>
      <c r="U13" s="11"/>
    </row>
    <row r="14">
      <c r="B14" s="1" t="s">
        <v>401</v>
      </c>
      <c r="C14" s="1">
        <v>0.5</v>
      </c>
      <c r="D14" s="1">
        <v>6.0</v>
      </c>
      <c r="E14" s="6">
        <f>20148+21570</f>
        <v>41718</v>
      </c>
      <c r="F14" s="6">
        <f>24070+25769</f>
        <v>49839</v>
      </c>
      <c r="I14" s="19">
        <v>0.05</v>
      </c>
      <c r="K14" s="3"/>
      <c r="L14" s="9">
        <f t="shared" si="1"/>
        <v>240712.86</v>
      </c>
      <c r="M14" s="10">
        <f t="shared" si="2"/>
        <v>287571.03</v>
      </c>
      <c r="N14" s="9">
        <f t="shared" si="3"/>
        <v>0</v>
      </c>
      <c r="O14" s="11">
        <f t="shared" si="4"/>
        <v>0</v>
      </c>
      <c r="P14" s="11">
        <f t="shared" si="5"/>
        <v>287571.03</v>
      </c>
      <c r="Q14" s="11">
        <f t="shared" si="6"/>
        <v>353540.2632</v>
      </c>
      <c r="R14" s="11">
        <f t="shared" si="7"/>
        <v>364668.6492</v>
      </c>
      <c r="S14" s="6" t="str">
        <f t="shared" si="8"/>
        <v>wind SPAM</v>
      </c>
      <c r="T14" s="11">
        <f t="shared" si="9"/>
        <v>89064.54887</v>
      </c>
      <c r="U14" s="11"/>
    </row>
    <row r="15">
      <c r="A15" s="1">
        <v>1.0</v>
      </c>
      <c r="B15" s="1" t="s">
        <v>402</v>
      </c>
      <c r="C15" s="1">
        <v>0.25</v>
      </c>
      <c r="D15" s="1">
        <v>30.0</v>
      </c>
      <c r="E15" s="1">
        <v>24605.0</v>
      </c>
      <c r="F15" s="1">
        <v>38354.0</v>
      </c>
      <c r="I15" s="2"/>
      <c r="K15" s="3"/>
      <c r="L15" s="9">
        <f t="shared" si="1"/>
        <v>140740.6</v>
      </c>
      <c r="M15" s="10">
        <f t="shared" si="2"/>
        <v>219384.88</v>
      </c>
      <c r="N15" s="9">
        <f t="shared" si="3"/>
        <v>0</v>
      </c>
      <c r="O15" s="11">
        <f t="shared" si="4"/>
        <v>0</v>
      </c>
      <c r="P15" s="11">
        <f t="shared" si="5"/>
        <v>219384.88</v>
      </c>
      <c r="Q15" s="11">
        <f t="shared" si="6"/>
        <v>250527.0903</v>
      </c>
      <c r="R15" s="11">
        <f t="shared" si="7"/>
        <v>348204.0472</v>
      </c>
      <c r="S15" s="6" t="str">
        <f t="shared" si="8"/>
        <v>detonation</v>
      </c>
      <c r="T15" s="11">
        <f t="shared" si="9"/>
        <v>15937.36138</v>
      </c>
      <c r="U15" s="11"/>
    </row>
    <row r="16">
      <c r="B16" s="1" t="s">
        <v>403</v>
      </c>
      <c r="C16" s="1">
        <v>0.5</v>
      </c>
      <c r="D16" s="1">
        <v>4.0</v>
      </c>
      <c r="E16" s="1">
        <v>33299.0</v>
      </c>
      <c r="F16" s="1">
        <v>33299.0</v>
      </c>
      <c r="G16" s="1">
        <v>2696.0</v>
      </c>
      <c r="H16" s="1">
        <v>2696.0</v>
      </c>
      <c r="J16" s="1">
        <v>4.5</v>
      </c>
      <c r="K16" s="7">
        <v>0.666666666666667</v>
      </c>
      <c r="L16" s="9">
        <f t="shared" si="1"/>
        <v>190470.28</v>
      </c>
      <c r="M16" s="10">
        <f t="shared" si="2"/>
        <v>190470.28</v>
      </c>
      <c r="N16" s="9">
        <f t="shared" si="3"/>
        <v>15421.12</v>
      </c>
      <c r="O16" s="11">
        <f t="shared" si="4"/>
        <v>15421.12</v>
      </c>
      <c r="P16" s="11">
        <f t="shared" si="5"/>
        <v>236733.64</v>
      </c>
      <c r="Q16" s="11">
        <f t="shared" si="6"/>
        <v>314382.2739</v>
      </c>
      <c r="R16" s="11">
        <f t="shared" si="7"/>
        <v>324278.084</v>
      </c>
      <c r="S16" s="6" t="str">
        <f t="shared" si="8"/>
        <v>fiery SPAM</v>
      </c>
      <c r="T16" s="11">
        <f t="shared" si="9"/>
        <v>97649.9079</v>
      </c>
    </row>
    <row r="17">
      <c r="B17" s="1" t="s">
        <v>404</v>
      </c>
      <c r="C17" s="1">
        <v>1.0</v>
      </c>
      <c r="D17" s="1">
        <v>6.0</v>
      </c>
      <c r="E17" s="6">
        <f t="shared" ref="E17:F17" si="10">6.214*G17</f>
        <v>22084.556</v>
      </c>
      <c r="F17" s="6">
        <f t="shared" si="10"/>
        <v>29883.126</v>
      </c>
      <c r="G17" s="6">
        <f>1130+2424</f>
        <v>3554</v>
      </c>
      <c r="H17" s="6">
        <f>1351+3458</f>
        <v>4809</v>
      </c>
      <c r="I17" s="2"/>
      <c r="J17" s="1">
        <v>24.0</v>
      </c>
      <c r="K17" s="12">
        <f>1/3</f>
        <v>0.3333333333</v>
      </c>
      <c r="L17" s="9">
        <f t="shared" si="1"/>
        <v>126323.6603</v>
      </c>
      <c r="M17" s="10">
        <f t="shared" si="2"/>
        <v>170931.4807</v>
      </c>
      <c r="N17" s="9">
        <f t="shared" si="3"/>
        <v>20328.88</v>
      </c>
      <c r="O17" s="11">
        <f t="shared" si="4"/>
        <v>27507.48</v>
      </c>
      <c r="P17" s="11">
        <f t="shared" si="5"/>
        <v>390991.3207</v>
      </c>
      <c r="Q17" s="11">
        <f t="shared" si="6"/>
        <v>461651.4612</v>
      </c>
      <c r="R17" s="11">
        <f t="shared" si="7"/>
        <v>314158.9816</v>
      </c>
      <c r="S17" s="6" t="str">
        <f t="shared" si="8"/>
        <v>bats</v>
      </c>
      <c r="T17" s="11">
        <f t="shared" si="9"/>
        <v>34273.87983</v>
      </c>
    </row>
    <row r="18">
      <c r="B18" s="1" t="s">
        <v>405</v>
      </c>
      <c r="C18" s="1">
        <v>0.25</v>
      </c>
      <c r="D18" s="1">
        <v>30.0</v>
      </c>
      <c r="E18" s="1">
        <v>19031.0</v>
      </c>
      <c r="F18" s="1">
        <v>32481.0</v>
      </c>
      <c r="I18" s="2"/>
      <c r="K18" s="3"/>
      <c r="L18" s="9">
        <f t="shared" si="1"/>
        <v>108857.32</v>
      </c>
      <c r="M18" s="10">
        <f t="shared" si="2"/>
        <v>185791.32</v>
      </c>
      <c r="N18" s="9">
        <f t="shared" si="3"/>
        <v>0</v>
      </c>
      <c r="O18" s="11">
        <f t="shared" si="4"/>
        <v>0</v>
      </c>
      <c r="P18" s="11">
        <f t="shared" si="5"/>
        <v>185791.32</v>
      </c>
      <c r="Q18" s="11">
        <f t="shared" si="6"/>
        <v>208984.9903</v>
      </c>
      <c r="R18" s="11">
        <f t="shared" si="7"/>
        <v>290465.272</v>
      </c>
      <c r="S18" s="6" t="str">
        <f t="shared" si="8"/>
        <v>bewilderment</v>
      </c>
      <c r="T18" s="11">
        <f t="shared" si="9"/>
        <v>13294.64733</v>
      </c>
      <c r="U18" s="11"/>
    </row>
    <row r="19">
      <c r="B19" s="1" t="s">
        <v>406</v>
      </c>
      <c r="C19" s="1">
        <v>1.5</v>
      </c>
      <c r="D19" s="1">
        <v>22.5</v>
      </c>
      <c r="E19" s="1">
        <v>8202.0</v>
      </c>
      <c r="F19" s="1">
        <v>13670.0</v>
      </c>
      <c r="G19" s="6">
        <f t="shared" ref="G19:H19" si="11">E19</f>
        <v>8202</v>
      </c>
      <c r="H19" s="6">
        <f t="shared" si="11"/>
        <v>13670</v>
      </c>
      <c r="I19" s="2"/>
      <c r="J19" s="1">
        <v>6.0</v>
      </c>
      <c r="K19" s="7">
        <v>1.0</v>
      </c>
      <c r="L19" s="9">
        <f t="shared" si="1"/>
        <v>46915.44</v>
      </c>
      <c r="M19" s="10">
        <f t="shared" si="2"/>
        <v>78192.4</v>
      </c>
      <c r="N19" s="9">
        <f t="shared" si="3"/>
        <v>46915.44</v>
      </c>
      <c r="O19" s="11">
        <f t="shared" si="4"/>
        <v>78192.4</v>
      </c>
      <c r="P19" s="11">
        <f t="shared" si="5"/>
        <v>547346.8</v>
      </c>
      <c r="Q19" s="11">
        <f t="shared" si="6"/>
        <v>465244.78</v>
      </c>
      <c r="R19" s="11">
        <f t="shared" si="7"/>
        <v>236226.7894</v>
      </c>
      <c r="S19" s="6" t="str">
        <f t="shared" si="8"/>
        <v>blazing avatar</v>
      </c>
      <c r="T19" s="11">
        <f t="shared" si="9"/>
        <v>35193.86953</v>
      </c>
      <c r="U19" s="13">
        <v>1.0</v>
      </c>
    </row>
    <row r="20">
      <c r="B20" s="1" t="s">
        <v>407</v>
      </c>
      <c r="C20" s="1">
        <v>1.0</v>
      </c>
      <c r="D20" s="1">
        <v>1.5</v>
      </c>
      <c r="E20" s="1">
        <v>31148.0</v>
      </c>
      <c r="F20" s="1">
        <v>40613.0</v>
      </c>
      <c r="I20" s="5">
        <v>0.25</v>
      </c>
      <c r="J20" s="1">
        <v>1.0</v>
      </c>
      <c r="K20" s="7">
        <v>1.0</v>
      </c>
      <c r="L20" s="9">
        <f t="shared" si="1"/>
        <v>185953.56</v>
      </c>
      <c r="M20" s="10">
        <f t="shared" si="2"/>
        <v>242459.61</v>
      </c>
      <c r="N20" s="9">
        <f t="shared" si="3"/>
        <v>0</v>
      </c>
      <c r="O20" s="11">
        <f t="shared" si="4"/>
        <v>0</v>
      </c>
      <c r="P20" s="11">
        <f t="shared" si="5"/>
        <v>242459.61</v>
      </c>
      <c r="Q20" s="11">
        <f t="shared" si="6"/>
        <v>289415.0909</v>
      </c>
      <c r="R20" s="11">
        <f t="shared" si="7"/>
        <v>196950.2056</v>
      </c>
      <c r="S20" s="6" t="str">
        <f t="shared" si="8"/>
        <v>Crystal blast</v>
      </c>
      <c r="T20" s="11">
        <f t="shared" si="9"/>
        <v>130397.492</v>
      </c>
      <c r="U20" s="11"/>
    </row>
    <row r="21">
      <c r="A21" s="1">
        <v>1.0</v>
      </c>
      <c r="B21" s="1" t="s">
        <v>408</v>
      </c>
      <c r="C21" s="1">
        <v>1.5</v>
      </c>
      <c r="D21" s="1">
        <v>20.0</v>
      </c>
      <c r="E21" s="1">
        <v>9200.0</v>
      </c>
      <c r="F21" s="1">
        <v>10991.0</v>
      </c>
      <c r="G21" s="1">
        <v>4599.0</v>
      </c>
      <c r="H21" s="1">
        <v>5496.0</v>
      </c>
      <c r="I21" s="5">
        <v>0.2325</v>
      </c>
      <c r="J21" s="1">
        <v>5.0</v>
      </c>
      <c r="K21" s="12">
        <f>1/0.7</f>
        <v>1.428571429</v>
      </c>
      <c r="L21" s="9">
        <f t="shared" si="1"/>
        <v>54763</v>
      </c>
      <c r="M21" s="10">
        <f t="shared" si="2"/>
        <v>65423.9275</v>
      </c>
      <c r="N21" s="9">
        <f t="shared" si="3"/>
        <v>27375.5475</v>
      </c>
      <c r="O21" s="11">
        <f t="shared" si="4"/>
        <v>32714.94</v>
      </c>
      <c r="P21" s="11">
        <f t="shared" si="5"/>
        <v>299102.0704</v>
      </c>
      <c r="Q21" s="11">
        <f t="shared" si="6"/>
        <v>367682.8166</v>
      </c>
      <c r="R21" s="11">
        <f t="shared" si="7"/>
        <v>186689.9641</v>
      </c>
      <c r="S21" s="6" t="str">
        <f t="shared" si="8"/>
        <v>shattered earth</v>
      </c>
      <c r="T21" s="11">
        <f t="shared" si="9"/>
        <v>30718.35259</v>
      </c>
      <c r="U21" s="11"/>
    </row>
    <row r="22">
      <c r="A22" s="1">
        <v>1.0</v>
      </c>
      <c r="B22" s="1" t="s">
        <v>409</v>
      </c>
      <c r="C22" s="1">
        <v>1.0</v>
      </c>
      <c r="D22" s="1">
        <v>10.0</v>
      </c>
      <c r="E22" s="1">
        <v>13503.0</v>
      </c>
      <c r="F22" s="1">
        <v>33545.0</v>
      </c>
      <c r="I22" s="5">
        <v>0.18</v>
      </c>
      <c r="K22" s="3"/>
      <c r="L22" s="9">
        <f t="shared" si="1"/>
        <v>79667.7</v>
      </c>
      <c r="M22" s="10">
        <f t="shared" si="2"/>
        <v>197915.5</v>
      </c>
      <c r="N22" s="9">
        <f t="shared" si="3"/>
        <v>0</v>
      </c>
      <c r="O22" s="11">
        <f t="shared" si="4"/>
        <v>0</v>
      </c>
      <c r="P22" s="11">
        <f t="shared" si="5"/>
        <v>197915.5</v>
      </c>
      <c r="Q22" s="11">
        <f t="shared" si="6"/>
        <v>217762.5428</v>
      </c>
      <c r="R22" s="11">
        <f t="shared" si="7"/>
        <v>148189.8455</v>
      </c>
      <c r="S22" s="6" t="str">
        <f t="shared" si="8"/>
        <v>earthquake</v>
      </c>
      <c r="T22" s="11">
        <f t="shared" si="9"/>
        <v>33659.95764</v>
      </c>
      <c r="U22" s="11"/>
    </row>
    <row r="23">
      <c r="B23" s="1" t="s">
        <v>410</v>
      </c>
      <c r="C23" s="1">
        <v>1.5</v>
      </c>
      <c r="D23" s="1">
        <v>22.5</v>
      </c>
      <c r="E23" s="1">
        <v>19021.0</v>
      </c>
      <c r="F23" s="1">
        <v>22730.0</v>
      </c>
      <c r="I23" s="5">
        <v>0.21</v>
      </c>
      <c r="K23" s="3"/>
      <c r="L23" s="9">
        <f t="shared" si="1"/>
        <v>112794.53</v>
      </c>
      <c r="M23" s="10">
        <f t="shared" si="2"/>
        <v>134788.9</v>
      </c>
      <c r="N23" s="9">
        <f t="shared" si="3"/>
        <v>0</v>
      </c>
      <c r="O23" s="11">
        <f t="shared" si="4"/>
        <v>0</v>
      </c>
      <c r="P23" s="11">
        <f t="shared" si="5"/>
        <v>134788.9</v>
      </c>
      <c r="Q23" s="11">
        <f t="shared" si="6"/>
        <v>165692.7846</v>
      </c>
      <c r="R23" s="11">
        <f t="shared" si="7"/>
        <v>84130.06701</v>
      </c>
      <c r="S23" s="6" t="str">
        <f t="shared" si="8"/>
        <v>petrify</v>
      </c>
      <c r="T23" s="11">
        <f t="shared" si="9"/>
        <v>12533.98317</v>
      </c>
      <c r="U23" s="11"/>
    </row>
    <row r="24">
      <c r="B24" s="1" t="s">
        <v>411</v>
      </c>
      <c r="C24" s="1">
        <v>3.6</v>
      </c>
      <c r="D24" s="1">
        <v>0.0</v>
      </c>
      <c r="E24" s="6">
        <f>6529/3.665*7</f>
        <v>12470.12278</v>
      </c>
      <c r="F24" s="6">
        <f>25585/3.665*7</f>
        <v>48866.30286</v>
      </c>
      <c r="I24" s="5">
        <v>-0.2</v>
      </c>
      <c r="K24" s="3"/>
      <c r="L24" s="9">
        <f t="shared" si="1"/>
        <v>68835.07776</v>
      </c>
      <c r="M24" s="10">
        <f t="shared" si="2"/>
        <v>269741.9918</v>
      </c>
      <c r="N24" s="9">
        <f t="shared" si="3"/>
        <v>0</v>
      </c>
      <c r="O24" s="11">
        <f t="shared" si="4"/>
        <v>0</v>
      </c>
      <c r="P24" s="11">
        <f t="shared" si="5"/>
        <v>269741.9918</v>
      </c>
      <c r="Q24" s="11">
        <f t="shared" si="6"/>
        <v>303974.175</v>
      </c>
      <c r="R24" s="11">
        <f t="shared" si="7"/>
        <v>74696.00746</v>
      </c>
      <c r="S24" s="6" t="str">
        <f t="shared" si="8"/>
        <v>Ranged Auto</v>
      </c>
      <c r="T24" s="11">
        <f t="shared" si="9"/>
        <v>74696.00746</v>
      </c>
      <c r="U24" s="11"/>
    </row>
    <row r="25">
      <c r="B25" s="1" t="s">
        <v>412</v>
      </c>
      <c r="C25" s="1">
        <v>0.25</v>
      </c>
      <c r="D25" s="1">
        <v>15.0</v>
      </c>
      <c r="E25" s="1">
        <v>4693.0</v>
      </c>
      <c r="F25" s="1">
        <v>6693.0</v>
      </c>
      <c r="I25" s="19">
        <v>0.15</v>
      </c>
      <c r="J25" s="1">
        <v>1.0</v>
      </c>
      <c r="K25" s="7">
        <v>1.0</v>
      </c>
      <c r="L25" s="9">
        <f t="shared" si="1"/>
        <v>27547.91</v>
      </c>
      <c r="M25" s="10">
        <f t="shared" si="2"/>
        <v>39287.91</v>
      </c>
      <c r="N25" s="9">
        <f t="shared" si="3"/>
        <v>0</v>
      </c>
      <c r="O25" s="11">
        <f t="shared" si="4"/>
        <v>0</v>
      </c>
      <c r="P25" s="11">
        <f t="shared" si="5"/>
        <v>39287.91</v>
      </c>
      <c r="Q25" s="11">
        <f t="shared" si="6"/>
        <v>45748.27308</v>
      </c>
      <c r="R25" s="11">
        <f t="shared" si="7"/>
        <v>63584.87547</v>
      </c>
      <c r="S25" s="6" t="str">
        <f t="shared" si="8"/>
        <v>animated</v>
      </c>
      <c r="T25" s="11">
        <f t="shared" si="9"/>
        <v>5565.833024</v>
      </c>
      <c r="U25" s="11"/>
    </row>
    <row r="26">
      <c r="A26" s="1">
        <v>1.0</v>
      </c>
      <c r="B26" s="1" t="s">
        <v>413</v>
      </c>
      <c r="C26" s="1">
        <v>1.5</v>
      </c>
      <c r="D26" s="1">
        <v>4.5</v>
      </c>
      <c r="E26" s="1">
        <v>10044.0</v>
      </c>
      <c r="F26" s="1">
        <v>12000.0</v>
      </c>
      <c r="I26" s="19">
        <v>0.03</v>
      </c>
      <c r="K26" s="3"/>
      <c r="L26" s="9">
        <f t="shared" si="1"/>
        <v>57753</v>
      </c>
      <c r="M26" s="10">
        <f t="shared" si="2"/>
        <v>69000</v>
      </c>
      <c r="N26" s="9">
        <f t="shared" si="3"/>
        <v>0</v>
      </c>
      <c r="O26" s="11">
        <f t="shared" si="4"/>
        <v>0</v>
      </c>
      <c r="P26" s="11">
        <f t="shared" si="5"/>
        <v>69000</v>
      </c>
      <c r="Q26" s="11">
        <f t="shared" si="6"/>
        <v>84826.64051</v>
      </c>
      <c r="R26" s="11">
        <f t="shared" si="7"/>
        <v>43070.49923</v>
      </c>
      <c r="S26" s="6" t="str">
        <f t="shared" si="8"/>
        <v>storm</v>
      </c>
      <c r="T26" s="11">
        <f t="shared" si="9"/>
        <v>20103.55986</v>
      </c>
      <c r="U26" s="11"/>
    </row>
    <row r="27">
      <c r="B27" s="1" t="s">
        <v>411</v>
      </c>
      <c r="C27" s="1">
        <v>3.6</v>
      </c>
      <c r="D27" s="1">
        <v>0.0</v>
      </c>
      <c r="E27" s="6">
        <f>6529/3.665</f>
        <v>1781.446112</v>
      </c>
      <c r="F27" s="6">
        <f>25585/3.665</f>
        <v>6980.900409</v>
      </c>
      <c r="I27" s="5">
        <v>-0.2</v>
      </c>
      <c r="K27" s="3"/>
      <c r="L27" s="9">
        <f t="shared" si="1"/>
        <v>9833.582538</v>
      </c>
      <c r="M27" s="10">
        <f t="shared" si="2"/>
        <v>38534.57026</v>
      </c>
      <c r="N27" s="9">
        <f t="shared" si="3"/>
        <v>0</v>
      </c>
      <c r="O27" s="11">
        <f t="shared" si="4"/>
        <v>0</v>
      </c>
      <c r="P27" s="11">
        <f t="shared" si="5"/>
        <v>38534.57026</v>
      </c>
      <c r="Q27" s="11">
        <f t="shared" si="6"/>
        <v>43424.88214</v>
      </c>
      <c r="R27" s="11">
        <f t="shared" si="7"/>
        <v>10670.85821</v>
      </c>
      <c r="S27" s="6" t="str">
        <f t="shared" si="8"/>
        <v>Ranged Auto</v>
      </c>
      <c r="T27" s="11">
        <f t="shared" si="9"/>
        <v>10670.85821</v>
      </c>
      <c r="U27" s="11"/>
    </row>
    <row r="28">
      <c r="K28" s="3"/>
      <c r="L28" s="9"/>
      <c r="M28" s="10"/>
      <c r="N28" s="9"/>
      <c r="O28" s="11"/>
      <c r="P28" s="11"/>
      <c r="Q28" s="11"/>
      <c r="R28" s="11"/>
      <c r="T28" s="11"/>
      <c r="U28" s="11"/>
    </row>
    <row r="29">
      <c r="I29" s="2"/>
      <c r="K29" s="3"/>
      <c r="L29" s="9"/>
      <c r="M29" s="10"/>
      <c r="N29" s="9"/>
      <c r="O29" s="11"/>
      <c r="P29" s="11"/>
      <c r="Q29" s="11"/>
      <c r="R29" s="11"/>
      <c r="T29" s="11"/>
      <c r="U29" s="11"/>
    </row>
    <row r="30">
      <c r="I30" s="2"/>
      <c r="K30" s="3"/>
      <c r="L30" s="9"/>
      <c r="M30" s="10"/>
      <c r="N30" s="9"/>
      <c r="O30" s="11"/>
      <c r="P30" s="11"/>
      <c r="Q30" s="11"/>
      <c r="R30" s="11"/>
      <c r="T30" s="11"/>
      <c r="U30" s="11"/>
    </row>
    <row r="31">
      <c r="I31" s="2"/>
      <c r="K31" s="3"/>
      <c r="L31" s="9"/>
      <c r="M31" s="10"/>
      <c r="N31" s="9"/>
      <c r="O31" s="11"/>
      <c r="P31" s="11"/>
      <c r="Q31" s="11"/>
      <c r="R31" s="11"/>
      <c r="T31" s="11"/>
      <c r="U31" s="11"/>
    </row>
    <row r="32">
      <c r="I32" s="2"/>
      <c r="K32" s="3"/>
      <c r="L32" s="9"/>
      <c r="M32" s="10"/>
      <c r="N32" s="9"/>
      <c r="O32" s="11"/>
      <c r="P32" s="11"/>
      <c r="Q32" s="11"/>
      <c r="R32" s="11"/>
      <c r="T32" s="11"/>
      <c r="U32" s="11"/>
    </row>
    <row r="33">
      <c r="I33" s="2"/>
      <c r="K33" s="3"/>
      <c r="L33" s="9"/>
      <c r="M33" s="10"/>
      <c r="N33" s="9"/>
      <c r="O33" s="11"/>
      <c r="P33" s="11"/>
      <c r="Q33" s="11"/>
      <c r="R33" s="11"/>
      <c r="T33" s="11"/>
      <c r="U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  <c r="U34" s="11"/>
    </row>
    <row r="35"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  <c r="U36" s="11"/>
    </row>
    <row r="37">
      <c r="K37" s="3"/>
      <c r="L37" s="9"/>
      <c r="M37" s="10"/>
      <c r="N37" s="9"/>
      <c r="O37" s="11"/>
      <c r="P37" s="11"/>
      <c r="Q37" s="11"/>
      <c r="R37" s="11"/>
      <c r="T37" s="11"/>
    </row>
    <row r="38">
      <c r="K38" s="3"/>
      <c r="L38" s="4"/>
    </row>
    <row r="39">
      <c r="K39" s="3"/>
      <c r="L39" s="4"/>
      <c r="P39" s="50"/>
      <c r="S39" s="50"/>
    </row>
    <row r="40">
      <c r="K40" s="3"/>
      <c r="L40" s="4"/>
      <c r="P40" s="50"/>
      <c r="S40" s="50"/>
    </row>
    <row r="41">
      <c r="K41" s="3"/>
      <c r="L41" s="4"/>
      <c r="P41" s="50"/>
      <c r="S41" s="50"/>
    </row>
    <row r="42">
      <c r="K42" s="3"/>
      <c r="L42" s="4"/>
      <c r="P42" s="50"/>
      <c r="S42" s="50"/>
    </row>
    <row r="43">
      <c r="K43" s="3"/>
      <c r="L43" s="4"/>
    </row>
    <row r="44">
      <c r="K44" s="3"/>
      <c r="L44" s="4"/>
    </row>
    <row r="45">
      <c r="K45" s="3"/>
      <c r="L45" s="4"/>
    </row>
    <row r="46">
      <c r="K46" s="3"/>
      <c r="L46" s="4"/>
    </row>
    <row r="47">
      <c r="K47" s="3"/>
      <c r="L47" s="4"/>
    </row>
    <row r="48">
      <c r="K48" s="3"/>
      <c r="L48" s="4"/>
      <c r="Q48" s="2"/>
    </row>
    <row r="49">
      <c r="K49" s="3"/>
      <c r="L49" s="4"/>
      <c r="Q49" s="2"/>
    </row>
    <row r="50">
      <c r="K50" s="3"/>
      <c r="L50" s="4"/>
      <c r="Q50" s="2"/>
    </row>
    <row r="51">
      <c r="K51" s="3"/>
      <c r="L51" s="4"/>
      <c r="Q51" s="2"/>
    </row>
    <row r="52">
      <c r="K52" s="3"/>
      <c r="L52" s="4"/>
      <c r="Q52" s="2"/>
    </row>
    <row r="53">
      <c r="K53" s="3"/>
      <c r="L53" s="4"/>
      <c r="Q53" s="2"/>
    </row>
    <row r="54">
      <c r="K54" s="3"/>
      <c r="L54" s="4"/>
      <c r="Q54" s="2"/>
    </row>
    <row r="55">
      <c r="D55" s="54" t="s">
        <v>414</v>
      </c>
      <c r="K55" s="3"/>
      <c r="L55" s="4"/>
      <c r="Q55" s="2"/>
    </row>
    <row r="56">
      <c r="D56" s="54" t="s">
        <v>415</v>
      </c>
      <c r="E56" s="1">
        <v>1.0</v>
      </c>
      <c r="F56" s="1">
        <v>30.0</v>
      </c>
      <c r="K56" s="3"/>
      <c r="L56" s="4"/>
      <c r="Q56" s="2"/>
    </row>
    <row r="57">
      <c r="C57" s="1">
        <v>1.0</v>
      </c>
      <c r="D57" s="54" t="s">
        <v>416</v>
      </c>
      <c r="E57" s="1">
        <v>1.5</v>
      </c>
      <c r="F57" s="1">
        <v>30.0</v>
      </c>
      <c r="K57" s="3"/>
      <c r="L57" s="4"/>
      <c r="Q57" s="2"/>
    </row>
    <row r="58">
      <c r="K58" s="3"/>
      <c r="L58" s="4"/>
      <c r="Q58" s="2"/>
    </row>
    <row r="59">
      <c r="K59" s="3"/>
      <c r="L59" s="4"/>
      <c r="Q59" s="2"/>
    </row>
    <row r="60">
      <c r="K60" s="3"/>
      <c r="L60" s="4"/>
      <c r="Q60" s="2"/>
    </row>
    <row r="61">
      <c r="K61" s="3"/>
      <c r="L61" s="4"/>
    </row>
    <row r="62">
      <c r="K62" s="3"/>
      <c r="L62" s="4"/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</sheetData>
  <autoFilter ref="$A$7:$U$39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1.3+5.972</f>
        <v>7.272</v>
      </c>
      <c r="K1" s="3"/>
      <c r="L1" s="4"/>
      <c r="T1" s="1" t="s">
        <v>393</v>
      </c>
      <c r="U1" s="1" t="s">
        <v>272</v>
      </c>
    </row>
    <row r="2">
      <c r="A2" s="1" t="s">
        <v>1</v>
      </c>
      <c r="B2" s="5">
        <v>0.344</v>
      </c>
      <c r="K2" s="3"/>
      <c r="L2" s="4"/>
      <c r="T2" s="6">
        <f>average(R8:R25)</f>
        <v>352359.5878</v>
      </c>
      <c r="U2" s="6">
        <f>average(T8:T25)</f>
        <v>66988.26215</v>
      </c>
    </row>
    <row r="3">
      <c r="A3" s="1" t="s">
        <v>2</v>
      </c>
      <c r="B3" s="19">
        <v>0.015</v>
      </c>
      <c r="K3" s="3"/>
      <c r="L3" s="4"/>
      <c r="T3" s="1">
        <v>610391.490313324</v>
      </c>
      <c r="U3" s="1">
        <v>66217.4999726614</v>
      </c>
    </row>
    <row r="4">
      <c r="A4" s="1" t="s">
        <v>3</v>
      </c>
      <c r="B4" s="1">
        <v>1.0</v>
      </c>
      <c r="K4" s="3"/>
      <c r="L4" s="4"/>
    </row>
    <row r="5">
      <c r="B5" s="2"/>
      <c r="K5" s="3"/>
      <c r="L5" s="4"/>
    </row>
    <row r="6">
      <c r="B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417</v>
      </c>
      <c r="C8" s="1">
        <v>0.5</v>
      </c>
      <c r="D8" s="1">
        <v>12.0</v>
      </c>
      <c r="E8" s="1">
        <v>22711.0</v>
      </c>
      <c r="F8" s="1">
        <v>23822.0</v>
      </c>
      <c r="G8" s="6">
        <f>5388+2694</f>
        <v>8082</v>
      </c>
      <c r="H8" s="6">
        <f>6499+3249</f>
        <v>9748</v>
      </c>
      <c r="I8" s="19">
        <v>0.1</v>
      </c>
      <c r="J8" s="1">
        <v>19.2</v>
      </c>
      <c r="K8" s="12">
        <f t="shared" ref="K8:K9" si="1">1/3.2</f>
        <v>0.3125</v>
      </c>
      <c r="L8" s="9">
        <f t="shared" ref="L8:L19" si="2">if(E8*($B$1+$I8)&lt;(F8+1),F8+1,E8*($I8+$B$1))</f>
        <v>167425.492</v>
      </c>
      <c r="M8" s="10">
        <f t="shared" ref="M8:M19" si="3">F8*($B$1+$I8)</f>
        <v>175615.784</v>
      </c>
      <c r="N8" s="9">
        <f t="shared" ref="N8:N19" si="4">if(if(G8*($B$1+$I8)&lt;(H8+1),H8+1,G8*($I8+$B$1))=1,0,if(G8*($B$1+$I8)&lt;(H8+1),H8+1,G8*($I8+$B$1)))</f>
        <v>59580.504</v>
      </c>
      <c r="O8" s="11">
        <f t="shared" ref="O8:O19" si="5">H8*($B$1+$I8)</f>
        <v>71862.256</v>
      </c>
      <c r="P8" s="11">
        <f t="shared" ref="P8:P19" si="6">M8+O8*K8*J8</f>
        <v>606789.32</v>
      </c>
      <c r="Q8" s="11">
        <f t="shared" ref="Q8:Q19" si="7">(if($A8=1,$B$4,1)*((L8*E8+F8*M8)/(E8+F8)+if(G8&gt;0,(N8*G8+H8*O8)/(G8+H8)*J8*K8,0)))*(if($U8=0,1+$B$3,1))</f>
        <v>577930.2814</v>
      </c>
      <c r="R8" s="11">
        <f t="shared" ref="R8:R19" si="8">Q8/(C8+0.5*(1/(1+$B$2)))</f>
        <v>662745.9882</v>
      </c>
      <c r="S8" s="6" t="str">
        <f t="shared" ref="S8:S19" si="9">B8</f>
        <v>Frostbite spell</v>
      </c>
      <c r="T8" s="11">
        <f t="shared" ref="T8:T19" si="10">$Q8/(($C8+0.5*(1/(1+$B$2)+if($D8&lt;=$J8,$J8,$D8))))</f>
        <v>55188.02209</v>
      </c>
      <c r="U8" s="11"/>
    </row>
    <row r="9">
      <c r="B9" s="1" t="s">
        <v>418</v>
      </c>
      <c r="C9" s="1">
        <v>0.25</v>
      </c>
      <c r="D9" s="1">
        <v>10.0</v>
      </c>
      <c r="E9" s="6">
        <f>25955+4167</f>
        <v>30122</v>
      </c>
      <c r="F9" s="6">
        <f>27647+5093</f>
        <v>32740</v>
      </c>
      <c r="G9" s="6">
        <f>6314+3157</f>
        <v>9471</v>
      </c>
      <c r="H9" s="6">
        <f>7717+3859</f>
        <v>11576</v>
      </c>
      <c r="I9" s="19">
        <v>0.1</v>
      </c>
      <c r="J9" s="1">
        <v>12.8</v>
      </c>
      <c r="K9" s="12">
        <f t="shared" si="1"/>
        <v>0.3125</v>
      </c>
      <c r="L9" s="9">
        <f t="shared" si="2"/>
        <v>222059.384</v>
      </c>
      <c r="M9" s="10">
        <f t="shared" si="3"/>
        <v>241359.28</v>
      </c>
      <c r="N9" s="9">
        <f t="shared" si="4"/>
        <v>69820.212</v>
      </c>
      <c r="O9" s="11">
        <f t="shared" si="5"/>
        <v>85338.272</v>
      </c>
      <c r="P9" s="11">
        <f t="shared" si="6"/>
        <v>582712.368</v>
      </c>
      <c r="Q9" s="11">
        <f t="shared" si="7"/>
        <v>545532.2437</v>
      </c>
      <c r="R9" s="11">
        <f t="shared" si="8"/>
        <v>877027.9133</v>
      </c>
      <c r="S9" s="6" t="str">
        <f t="shared" si="9"/>
        <v>Frostbite Slice</v>
      </c>
      <c r="T9" s="11">
        <f t="shared" si="10"/>
        <v>77688.74878</v>
      </c>
      <c r="U9" s="13">
        <v>1.0</v>
      </c>
    </row>
    <row r="10">
      <c r="A10" s="1">
        <v>1.0</v>
      </c>
      <c r="B10" s="1" t="s">
        <v>209</v>
      </c>
      <c r="C10" s="1">
        <v>1.0</v>
      </c>
      <c r="D10" s="1">
        <v>15.0</v>
      </c>
      <c r="E10" s="1">
        <v>22772.0</v>
      </c>
      <c r="F10" s="1">
        <v>30519.0</v>
      </c>
      <c r="G10" s="1">
        <v>5099.0</v>
      </c>
      <c r="H10" s="1">
        <v>7423.0</v>
      </c>
      <c r="I10" s="19">
        <v>0.1</v>
      </c>
      <c r="J10" s="1">
        <v>14.0</v>
      </c>
      <c r="K10" s="7">
        <v>0.5</v>
      </c>
      <c r="L10" s="9">
        <f t="shared" si="2"/>
        <v>167875.184</v>
      </c>
      <c r="M10" s="10">
        <f t="shared" si="3"/>
        <v>224986.068</v>
      </c>
      <c r="N10" s="9">
        <f t="shared" si="4"/>
        <v>37589.828</v>
      </c>
      <c r="O10" s="11">
        <f t="shared" si="5"/>
        <v>54722.356</v>
      </c>
      <c r="P10" s="11">
        <f t="shared" si="6"/>
        <v>608042.56</v>
      </c>
      <c r="Q10" s="11">
        <f t="shared" si="7"/>
        <v>542825.3629</v>
      </c>
      <c r="R10" s="11">
        <f t="shared" si="8"/>
        <v>395638.4423</v>
      </c>
      <c r="S10" s="6" t="str">
        <f t="shared" si="9"/>
        <v>Wrath of Nature</v>
      </c>
      <c r="T10" s="11">
        <f t="shared" si="10"/>
        <v>61183.93892</v>
      </c>
      <c r="U10" s="11"/>
    </row>
    <row r="11">
      <c r="B11" s="1" t="s">
        <v>419</v>
      </c>
      <c r="C11" s="1">
        <v>1.0</v>
      </c>
      <c r="D11" s="1">
        <v>4.0</v>
      </c>
      <c r="E11" s="6">
        <f>39262+10970</f>
        <v>50232</v>
      </c>
      <c r="F11" s="6">
        <f>43781+13229</f>
        <v>57010</v>
      </c>
      <c r="I11" s="19">
        <v>0.1</v>
      </c>
      <c r="K11" s="3"/>
      <c r="L11" s="9">
        <f t="shared" si="2"/>
        <v>370310.304</v>
      </c>
      <c r="M11" s="10">
        <f t="shared" si="3"/>
        <v>420277.72</v>
      </c>
      <c r="N11" s="9">
        <f t="shared" si="4"/>
        <v>0</v>
      </c>
      <c r="O11" s="11">
        <f t="shared" si="5"/>
        <v>0</v>
      </c>
      <c r="P11" s="11">
        <f t="shared" si="6"/>
        <v>420277.72</v>
      </c>
      <c r="Q11" s="11">
        <f t="shared" si="7"/>
        <v>402826.1493</v>
      </c>
      <c r="R11" s="11">
        <f t="shared" si="8"/>
        <v>293599.97</v>
      </c>
      <c r="S11" s="6" t="str">
        <f t="shared" si="9"/>
        <v>Icefall</v>
      </c>
      <c r="T11" s="11">
        <f t="shared" si="10"/>
        <v>119461.2411</v>
      </c>
      <c r="U11" s="11"/>
    </row>
    <row r="12">
      <c r="B12" s="1" t="s">
        <v>420</v>
      </c>
      <c r="C12" s="1">
        <v>0.25</v>
      </c>
      <c r="D12" s="1">
        <v>6.0</v>
      </c>
      <c r="E12" s="6">
        <f>8208+34325</f>
        <v>42533</v>
      </c>
      <c r="F12" s="6">
        <f>10033+37659</f>
        <v>47692</v>
      </c>
      <c r="I12" s="19">
        <v>0.1</v>
      </c>
      <c r="K12" s="3"/>
      <c r="L12" s="9">
        <f t="shared" si="2"/>
        <v>313553.276</v>
      </c>
      <c r="M12" s="10">
        <f t="shared" si="3"/>
        <v>351585.424</v>
      </c>
      <c r="N12" s="9">
        <f t="shared" si="4"/>
        <v>0</v>
      </c>
      <c r="O12" s="11">
        <f t="shared" si="5"/>
        <v>0</v>
      </c>
      <c r="P12" s="11">
        <f t="shared" si="6"/>
        <v>351585.424</v>
      </c>
      <c r="Q12" s="11">
        <f t="shared" si="7"/>
        <v>333656.6753</v>
      </c>
      <c r="R12" s="11">
        <f t="shared" si="8"/>
        <v>536404.99</v>
      </c>
      <c r="S12" s="6" t="str">
        <f t="shared" si="9"/>
        <v>Icefall Strike</v>
      </c>
      <c r="T12" s="11">
        <f t="shared" si="10"/>
        <v>92118.85202</v>
      </c>
      <c r="U12" s="1">
        <v>1.0</v>
      </c>
    </row>
    <row r="13">
      <c r="B13" s="1" t="s">
        <v>421</v>
      </c>
      <c r="C13" s="1">
        <v>1.0</v>
      </c>
      <c r="D13" s="1">
        <v>1.5</v>
      </c>
      <c r="E13" s="6">
        <f>25861+7389</f>
        <v>33250</v>
      </c>
      <c r="F13" s="6">
        <f>31187+8911</f>
        <v>40098</v>
      </c>
      <c r="I13" s="19">
        <v>0.1</v>
      </c>
      <c r="K13" s="3"/>
      <c r="L13" s="9">
        <f t="shared" si="2"/>
        <v>245119</v>
      </c>
      <c r="M13" s="10">
        <f t="shared" si="3"/>
        <v>295602.456</v>
      </c>
      <c r="N13" s="9">
        <f t="shared" si="4"/>
        <v>0</v>
      </c>
      <c r="O13" s="11">
        <f t="shared" si="5"/>
        <v>0</v>
      </c>
      <c r="P13" s="11">
        <f t="shared" si="6"/>
        <v>295602.456</v>
      </c>
      <c r="Q13" s="11">
        <f t="shared" si="7"/>
        <v>276808.1358</v>
      </c>
      <c r="R13" s="11">
        <f t="shared" si="8"/>
        <v>201751.6998</v>
      </c>
      <c r="S13" s="6" t="str">
        <f t="shared" si="9"/>
        <v>Dawnstrike Spell</v>
      </c>
      <c r="T13" s="11">
        <f t="shared" si="10"/>
        <v>130445.3487</v>
      </c>
      <c r="U13" s="11"/>
    </row>
    <row r="14">
      <c r="A14" s="1">
        <v>1.0</v>
      </c>
      <c r="B14" s="1" t="s">
        <v>422</v>
      </c>
      <c r="C14" s="1">
        <v>1.5</v>
      </c>
      <c r="D14" s="1">
        <v>8.0</v>
      </c>
      <c r="E14" s="1">
        <v>31023.0</v>
      </c>
      <c r="F14" s="1">
        <v>37412.0</v>
      </c>
      <c r="I14" s="19">
        <v>0.1</v>
      </c>
      <c r="J14" s="1">
        <v>6.0</v>
      </c>
      <c r="K14" s="7">
        <v>1.0</v>
      </c>
      <c r="L14" s="9">
        <f t="shared" si="2"/>
        <v>228701.556</v>
      </c>
      <c r="M14" s="10">
        <f t="shared" si="3"/>
        <v>275801.264</v>
      </c>
      <c r="N14" s="9">
        <f t="shared" si="4"/>
        <v>0</v>
      </c>
      <c r="O14" s="11">
        <f t="shared" si="5"/>
        <v>0</v>
      </c>
      <c r="P14" s="11">
        <f t="shared" si="6"/>
        <v>275801.264</v>
      </c>
      <c r="Q14" s="11">
        <f t="shared" si="7"/>
        <v>258266.7427</v>
      </c>
      <c r="R14" s="11">
        <f t="shared" si="8"/>
        <v>137961.2489</v>
      </c>
      <c r="S14" s="6" t="str">
        <f t="shared" si="9"/>
        <v>Winds of Perma</v>
      </c>
      <c r="T14" s="11">
        <f t="shared" si="10"/>
        <v>43982.57758</v>
      </c>
      <c r="U14" s="11"/>
    </row>
    <row r="15">
      <c r="B15" s="1" t="s">
        <v>423</v>
      </c>
      <c r="C15" s="1">
        <v>0.5</v>
      </c>
      <c r="D15" s="1">
        <v>5.0</v>
      </c>
      <c r="E15" s="1">
        <v>31116.0</v>
      </c>
      <c r="F15" s="1">
        <v>33957.0</v>
      </c>
      <c r="I15" s="19">
        <v>0.1</v>
      </c>
      <c r="K15" s="3"/>
      <c r="L15" s="9">
        <f t="shared" si="2"/>
        <v>229387.152</v>
      </c>
      <c r="M15" s="10">
        <f t="shared" si="3"/>
        <v>250331.004</v>
      </c>
      <c r="N15" s="9">
        <f t="shared" si="4"/>
        <v>0</v>
      </c>
      <c r="O15" s="11">
        <f t="shared" si="5"/>
        <v>0</v>
      </c>
      <c r="P15" s="11">
        <f t="shared" si="6"/>
        <v>250331.004</v>
      </c>
      <c r="Q15" s="11">
        <f t="shared" si="7"/>
        <v>243921.0123</v>
      </c>
      <c r="R15" s="11">
        <f t="shared" si="8"/>
        <v>279718.2939</v>
      </c>
      <c r="S15" s="6" t="str">
        <f t="shared" si="9"/>
        <v>Wrath</v>
      </c>
      <c r="T15" s="11">
        <f t="shared" si="10"/>
        <v>72336.68149</v>
      </c>
    </row>
    <row r="16">
      <c r="B16" s="1" t="s">
        <v>424</v>
      </c>
      <c r="C16" s="1">
        <v>0.25</v>
      </c>
      <c r="D16" s="1">
        <v>4.0</v>
      </c>
      <c r="E16" s="6">
        <f>6188+20690</f>
        <v>26878</v>
      </c>
      <c r="F16" s="6">
        <f>7563+24599</f>
        <v>32162</v>
      </c>
      <c r="I16" s="19">
        <v>0.1</v>
      </c>
      <c r="K16" s="3"/>
      <c r="L16" s="9">
        <f t="shared" si="2"/>
        <v>198144.616</v>
      </c>
      <c r="M16" s="10">
        <f t="shared" si="3"/>
        <v>237098.264</v>
      </c>
      <c r="N16" s="9">
        <f t="shared" si="4"/>
        <v>0</v>
      </c>
      <c r="O16" s="11">
        <f t="shared" si="5"/>
        <v>0</v>
      </c>
      <c r="P16" s="11">
        <f t="shared" si="6"/>
        <v>237098.264</v>
      </c>
      <c r="Q16" s="11">
        <f t="shared" si="7"/>
        <v>219364.5894</v>
      </c>
      <c r="R16" s="11">
        <f t="shared" si="8"/>
        <v>352662.6891</v>
      </c>
      <c r="S16" s="6" t="str">
        <f t="shared" si="9"/>
        <v>Dawnstrike AA</v>
      </c>
      <c r="T16" s="11">
        <f t="shared" si="10"/>
        <v>83662.31785</v>
      </c>
      <c r="U16" s="13">
        <v>1.0</v>
      </c>
    </row>
    <row r="17">
      <c r="A17" s="1">
        <v>1.0</v>
      </c>
      <c r="B17" s="1" t="s">
        <v>263</v>
      </c>
      <c r="C17" s="1">
        <v>0.5</v>
      </c>
      <c r="D17" s="1">
        <v>12.0</v>
      </c>
      <c r="E17" s="1">
        <v>22887.0</v>
      </c>
      <c r="F17" s="1">
        <v>27375.0</v>
      </c>
      <c r="I17" s="19">
        <v>0.1</v>
      </c>
      <c r="K17" s="3"/>
      <c r="L17" s="9">
        <f t="shared" si="2"/>
        <v>168722.964</v>
      </c>
      <c r="M17" s="10">
        <f t="shared" si="3"/>
        <v>201808.5</v>
      </c>
      <c r="N17" s="9">
        <f t="shared" si="4"/>
        <v>0</v>
      </c>
      <c r="O17" s="11">
        <f t="shared" si="5"/>
        <v>0</v>
      </c>
      <c r="P17" s="11">
        <f t="shared" si="6"/>
        <v>201808.5</v>
      </c>
      <c r="Q17" s="11">
        <f t="shared" si="7"/>
        <v>186742.8706</v>
      </c>
      <c r="R17" s="11">
        <f t="shared" si="8"/>
        <v>214148.8209</v>
      </c>
      <c r="S17" s="6" t="str">
        <f t="shared" si="9"/>
        <v>Whirl of Permafrost</v>
      </c>
      <c r="T17" s="11">
        <f t="shared" si="10"/>
        <v>27174.36316</v>
      </c>
      <c r="U17" s="13">
        <v>1.0</v>
      </c>
    </row>
    <row r="18">
      <c r="B18" s="1" t="s">
        <v>425</v>
      </c>
      <c r="C18" s="1">
        <v>0.25</v>
      </c>
      <c r="D18" s="1">
        <v>5.0</v>
      </c>
      <c r="E18" s="1">
        <v>9944.0</v>
      </c>
      <c r="F18" s="1">
        <v>15554.0</v>
      </c>
      <c r="I18" s="19">
        <v>0.1</v>
      </c>
      <c r="K18" s="3"/>
      <c r="L18" s="9">
        <f t="shared" si="2"/>
        <v>73307.168</v>
      </c>
      <c r="M18" s="10">
        <f t="shared" si="3"/>
        <v>114664.088</v>
      </c>
      <c r="N18" s="9">
        <f t="shared" si="4"/>
        <v>0</v>
      </c>
      <c r="O18" s="11">
        <f t="shared" si="5"/>
        <v>0</v>
      </c>
      <c r="P18" s="11">
        <f t="shared" si="6"/>
        <v>114664.088</v>
      </c>
      <c r="Q18" s="11">
        <f t="shared" si="7"/>
        <v>98535.24603</v>
      </c>
      <c r="R18" s="11">
        <f t="shared" si="8"/>
        <v>158410.7305</v>
      </c>
      <c r="S18" s="6" t="str">
        <f t="shared" si="9"/>
        <v>Primordial Strike</v>
      </c>
      <c r="T18" s="11">
        <f t="shared" si="10"/>
        <v>31561.33715</v>
      </c>
      <c r="U18" s="13">
        <v>1.0</v>
      </c>
    </row>
    <row r="19">
      <c r="B19" s="1" t="s">
        <v>426</v>
      </c>
      <c r="C19" s="1">
        <v>0.25</v>
      </c>
      <c r="D19" s="1">
        <v>15.0</v>
      </c>
      <c r="E19" s="1">
        <v>7423.0</v>
      </c>
      <c r="F19" s="1">
        <v>11610.0</v>
      </c>
      <c r="I19" s="19">
        <v>0.1</v>
      </c>
      <c r="K19" s="3"/>
      <c r="L19" s="9">
        <f t="shared" si="2"/>
        <v>54722.356</v>
      </c>
      <c r="M19" s="10">
        <f t="shared" si="3"/>
        <v>85588.92</v>
      </c>
      <c r="N19" s="9">
        <f t="shared" si="4"/>
        <v>0</v>
      </c>
      <c r="O19" s="11">
        <f t="shared" si="5"/>
        <v>0</v>
      </c>
      <c r="P19" s="11">
        <f t="shared" si="6"/>
        <v>85588.92</v>
      </c>
      <c r="Q19" s="11">
        <f t="shared" si="7"/>
        <v>73550.74921</v>
      </c>
      <c r="R19" s="11">
        <f t="shared" si="8"/>
        <v>118244.2667</v>
      </c>
      <c r="S19" s="6" t="str">
        <f t="shared" si="9"/>
        <v>Nature Blade</v>
      </c>
      <c r="T19" s="11">
        <f t="shared" si="10"/>
        <v>9055.717016</v>
      </c>
      <c r="U19" s="13">
        <v>1.0</v>
      </c>
    </row>
    <row r="20">
      <c r="A20" s="1">
        <v>1.0</v>
      </c>
      <c r="B20" s="1" t="s">
        <v>427</v>
      </c>
      <c r="C20" s="1">
        <v>0.5</v>
      </c>
      <c r="D20" s="1">
        <v>30.0</v>
      </c>
      <c r="E20" s="1">
        <v>8204.0</v>
      </c>
      <c r="F20" s="1">
        <v>12832.0</v>
      </c>
      <c r="I20" s="19">
        <v>0.1</v>
      </c>
      <c r="K20" s="3"/>
      <c r="L20" s="9"/>
      <c r="M20" s="10"/>
      <c r="N20" s="9"/>
      <c r="O20" s="11"/>
      <c r="P20" s="11"/>
      <c r="Q20" s="11"/>
      <c r="R20" s="11"/>
      <c r="T20" s="11"/>
      <c r="U20" s="11"/>
    </row>
    <row r="21">
      <c r="I21" s="2"/>
      <c r="K21" s="3"/>
      <c r="L21" s="9"/>
      <c r="M21" s="10"/>
      <c r="N21" s="9"/>
      <c r="O21" s="11"/>
      <c r="P21" s="11"/>
      <c r="Q21" s="11"/>
      <c r="R21" s="11"/>
      <c r="T21" s="11"/>
    </row>
    <row r="22">
      <c r="K22" s="3"/>
      <c r="L22" s="9"/>
      <c r="M22" s="10"/>
      <c r="N22" s="9"/>
      <c r="O22" s="11"/>
      <c r="P22" s="11"/>
      <c r="Q22" s="11"/>
      <c r="R22" s="11"/>
      <c r="T22" s="11"/>
      <c r="U22" s="11"/>
    </row>
    <row r="23">
      <c r="I23" s="2"/>
      <c r="K23" s="3"/>
      <c r="L23" s="9"/>
      <c r="M23" s="10"/>
      <c r="N23" s="9"/>
      <c r="O23" s="11"/>
      <c r="P23" s="11"/>
      <c r="Q23" s="11"/>
      <c r="R23" s="11"/>
      <c r="T23" s="11"/>
      <c r="U23" s="11"/>
    </row>
    <row r="24">
      <c r="I24" s="2"/>
      <c r="K24" s="3"/>
      <c r="L24" s="9"/>
      <c r="M24" s="10"/>
      <c r="N24" s="9"/>
      <c r="O24" s="11"/>
      <c r="P24" s="11"/>
      <c r="Q24" s="11"/>
      <c r="R24" s="11"/>
      <c r="T24" s="11"/>
      <c r="U24" s="11"/>
    </row>
    <row r="25">
      <c r="I25" s="2"/>
      <c r="K25" s="3"/>
      <c r="L25" s="9"/>
      <c r="M25" s="10"/>
      <c r="N25" s="9"/>
      <c r="O25" s="11"/>
      <c r="P25" s="11"/>
      <c r="Q25" s="11"/>
      <c r="R25" s="11"/>
      <c r="T25" s="11"/>
      <c r="U25" s="11"/>
    </row>
    <row r="26">
      <c r="I26" s="2"/>
      <c r="K26" s="3"/>
      <c r="L26" s="9"/>
      <c r="M26" s="10"/>
      <c r="N26" s="9"/>
      <c r="O26" s="11"/>
      <c r="P26" s="11"/>
      <c r="Q26" s="11"/>
      <c r="R26" s="11"/>
      <c r="T26" s="11"/>
      <c r="U26" s="11"/>
    </row>
    <row r="27">
      <c r="K27" s="3"/>
      <c r="L27" s="9"/>
      <c r="M27" s="10"/>
      <c r="N27" s="9"/>
      <c r="O27" s="11"/>
      <c r="P27" s="11"/>
      <c r="Q27" s="11"/>
      <c r="R27" s="11"/>
      <c r="T27" s="11"/>
      <c r="U27" s="11"/>
    </row>
    <row r="28">
      <c r="K28" s="3"/>
      <c r="L28" s="9"/>
      <c r="M28" s="10"/>
      <c r="N28" s="9"/>
      <c r="O28" s="11"/>
      <c r="P28" s="11"/>
      <c r="Q28" s="11"/>
      <c r="R28" s="11"/>
      <c r="T28" s="11"/>
      <c r="U28" s="11"/>
    </row>
    <row r="29">
      <c r="I29" s="2"/>
      <c r="K29" s="3"/>
      <c r="L29" s="9"/>
      <c r="M29" s="10"/>
      <c r="N29" s="9"/>
      <c r="O29" s="11"/>
      <c r="P29" s="11"/>
      <c r="Q29" s="11"/>
      <c r="R29" s="11"/>
      <c r="T29" s="11"/>
      <c r="U29" s="11"/>
    </row>
    <row r="30">
      <c r="I30" s="2"/>
      <c r="K30" s="3"/>
      <c r="L30" s="9"/>
      <c r="M30" s="10"/>
      <c r="N30" s="9"/>
      <c r="O30" s="11"/>
      <c r="P30" s="11"/>
      <c r="Q30" s="11"/>
      <c r="R30" s="11"/>
      <c r="T30" s="11"/>
      <c r="U30" s="11"/>
    </row>
    <row r="31">
      <c r="I31" s="2"/>
      <c r="K31" s="3"/>
      <c r="L31" s="9"/>
      <c r="M31" s="10"/>
      <c r="N31" s="9"/>
      <c r="O31" s="11"/>
      <c r="P31" s="11"/>
      <c r="Q31" s="11"/>
      <c r="R31" s="11"/>
      <c r="T31" s="11"/>
      <c r="U31" s="11"/>
    </row>
    <row r="32">
      <c r="I32" s="2"/>
      <c r="K32" s="3"/>
      <c r="L32" s="9"/>
      <c r="M32" s="10"/>
      <c r="N32" s="9"/>
      <c r="O32" s="11"/>
      <c r="P32" s="11"/>
      <c r="Q32" s="11"/>
      <c r="R32" s="11"/>
      <c r="T32" s="11"/>
      <c r="U32" s="11"/>
    </row>
    <row r="33">
      <c r="A33" s="1">
        <v>8989.0</v>
      </c>
      <c r="B33" s="1">
        <v>34906.0</v>
      </c>
      <c r="C33" s="19">
        <v>4.13</v>
      </c>
      <c r="D33" s="6">
        <f t="shared" ref="D33:E33" si="11">A33/($C33+1)</f>
        <v>1752.241715</v>
      </c>
      <c r="E33" s="6">
        <f t="shared" si="11"/>
        <v>6804.288499</v>
      </c>
      <c r="I33" s="2"/>
      <c r="K33" s="3"/>
      <c r="L33" s="9"/>
      <c r="M33" s="10"/>
      <c r="N33" s="9"/>
      <c r="O33" s="11"/>
      <c r="P33" s="11"/>
      <c r="Q33" s="11"/>
      <c r="R33" s="11"/>
      <c r="T33" s="11"/>
      <c r="U33" s="11"/>
    </row>
    <row r="34">
      <c r="A34" s="1">
        <v>17277.0</v>
      </c>
      <c r="B34" s="1">
        <v>67093.0</v>
      </c>
      <c r="C34" s="19">
        <v>6.33</v>
      </c>
      <c r="D34" s="6">
        <f t="shared" ref="D34:E34" si="12">A34/($C34+1)</f>
        <v>2357.025921</v>
      </c>
      <c r="E34" s="6">
        <f t="shared" si="12"/>
        <v>9153.206003</v>
      </c>
      <c r="F34" s="1">
        <v>808734.0</v>
      </c>
      <c r="G34" s="6">
        <f>E33/E34*F34</f>
        <v>601194.7566</v>
      </c>
      <c r="I34" s="2"/>
      <c r="K34" s="3"/>
      <c r="L34" s="9"/>
      <c r="M34" s="10"/>
      <c r="N34" s="9"/>
      <c r="O34" s="11"/>
      <c r="P34" s="11"/>
      <c r="Q34" s="11"/>
      <c r="R34" s="11"/>
      <c r="T34" s="11"/>
      <c r="U34" s="11"/>
    </row>
    <row r="35"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  <c r="U36" s="11"/>
    </row>
    <row r="37">
      <c r="K37" s="3"/>
      <c r="L37" s="9"/>
      <c r="M37" s="10"/>
      <c r="N37" s="9"/>
      <c r="O37" s="11"/>
      <c r="P37" s="11"/>
      <c r="Q37" s="11"/>
      <c r="R37" s="11"/>
      <c r="T37" s="11"/>
    </row>
    <row r="38">
      <c r="K38" s="3"/>
      <c r="L38" s="4"/>
    </row>
    <row r="39">
      <c r="K39" s="3"/>
      <c r="L39" s="4"/>
      <c r="P39" s="50"/>
      <c r="S39" s="50"/>
    </row>
    <row r="40">
      <c r="K40" s="3"/>
      <c r="L40" s="4"/>
      <c r="P40" s="50"/>
      <c r="S40" s="50"/>
    </row>
    <row r="41">
      <c r="K41" s="3"/>
      <c r="L41" s="4"/>
      <c r="P41" s="50"/>
      <c r="S41" s="50"/>
    </row>
    <row r="42">
      <c r="C42" s="6" t="str">
        <f t="shared" ref="C42:D42" si="13">A8</f>
        <v/>
      </c>
      <c r="D42" s="6" t="str">
        <f t="shared" si="13"/>
        <v>Frostbite spell</v>
      </c>
      <c r="E42" s="6">
        <f t="shared" ref="E42:F42" si="14">E8+G8*($J8*$K8-1)</f>
        <v>63121</v>
      </c>
      <c r="F42" s="6">
        <f t="shared" si="14"/>
        <v>72562</v>
      </c>
      <c r="G42" s="6">
        <f t="shared" ref="G42:G54" si="17">(if((F42-if(C42=1,1/3,1)*H44)&lt;=(F42*2/3),F42*2/3,F42-if(C42=1,1/3,1)*H44))/2*(if(C42=1,3,1))</f>
        <v>27619.5</v>
      </c>
      <c r="K42" s="3"/>
      <c r="L42" s="4"/>
      <c r="P42" s="50"/>
      <c r="S42" s="50"/>
    </row>
    <row r="43">
      <c r="C43" s="6" t="str">
        <f t="shared" ref="C43:D43" si="15">A9</f>
        <v/>
      </c>
      <c r="D43" s="6" t="str">
        <f t="shared" si="15"/>
        <v>Frostbite Slice</v>
      </c>
      <c r="E43" s="6">
        <f t="shared" ref="E43:F43" si="16">E9+G9*($J9*$K9-1)</f>
        <v>58535</v>
      </c>
      <c r="F43" s="6">
        <f t="shared" si="16"/>
        <v>67468</v>
      </c>
      <c r="G43" s="6">
        <f t="shared" si="17"/>
        <v>33734</v>
      </c>
      <c r="K43" s="3"/>
      <c r="L43" s="4"/>
    </row>
    <row r="44">
      <c r="C44" s="6">
        <f t="shared" ref="C44:D44" si="18">A10</f>
        <v>1</v>
      </c>
      <c r="D44" s="6" t="str">
        <f t="shared" si="18"/>
        <v>Wrath of Nature</v>
      </c>
      <c r="E44" s="6">
        <f t="shared" ref="E44:F44" si="19">E10+G10*($J10*$K10-1)</f>
        <v>53366</v>
      </c>
      <c r="F44" s="6">
        <f t="shared" si="19"/>
        <v>75057</v>
      </c>
      <c r="G44" s="6">
        <f t="shared" si="17"/>
        <v>112585.5</v>
      </c>
      <c r="H44" s="1">
        <v>17323.0</v>
      </c>
      <c r="K44" s="3"/>
      <c r="L44" s="4"/>
    </row>
    <row r="45">
      <c r="C45" s="6" t="str">
        <f t="shared" ref="C45:D45" si="20">A11</f>
        <v/>
      </c>
      <c r="D45" s="6" t="str">
        <f t="shared" si="20"/>
        <v>Icefall</v>
      </c>
      <c r="E45" s="6">
        <f t="shared" ref="E45:F45" si="21">E11+G11*($J11*$K11-1)</f>
        <v>50232</v>
      </c>
      <c r="F45" s="6">
        <f t="shared" si="21"/>
        <v>57010</v>
      </c>
      <c r="G45" s="6">
        <f t="shared" si="17"/>
        <v>28505</v>
      </c>
      <c r="K45" s="3"/>
      <c r="L45" s="4"/>
    </row>
    <row r="46">
      <c r="C46" s="6" t="str">
        <f t="shared" ref="C46:D46" si="22">A12</f>
        <v/>
      </c>
      <c r="D46" s="6" t="str">
        <f t="shared" si="22"/>
        <v>Icefall Strike</v>
      </c>
      <c r="E46" s="6">
        <f t="shared" ref="E46:F46" si="23">E12+G12*($J12*$K12-1)</f>
        <v>42533</v>
      </c>
      <c r="F46" s="6">
        <f t="shared" si="23"/>
        <v>47692</v>
      </c>
      <c r="G46" s="6">
        <f t="shared" si="17"/>
        <v>23846</v>
      </c>
      <c r="K46" s="3"/>
      <c r="L46" s="4"/>
    </row>
    <row r="47">
      <c r="C47" s="6" t="str">
        <f t="shared" ref="C47:D47" si="24">A13</f>
        <v/>
      </c>
      <c r="D47" s="6" t="str">
        <f t="shared" si="24"/>
        <v>Dawnstrike Spell</v>
      </c>
      <c r="E47" s="6">
        <f t="shared" ref="E47:F47" si="25">E13+G13*($J13*$K13-1)</f>
        <v>33250</v>
      </c>
      <c r="F47" s="6">
        <f t="shared" si="25"/>
        <v>40098</v>
      </c>
      <c r="G47" s="6">
        <f t="shared" si="17"/>
        <v>20049</v>
      </c>
      <c r="K47" s="3"/>
      <c r="L47" s="4"/>
    </row>
    <row r="48">
      <c r="C48" s="6">
        <f t="shared" ref="C48:D48" si="26">A14</f>
        <v>1</v>
      </c>
      <c r="D48" s="6" t="str">
        <f t="shared" si="26"/>
        <v>Winds of Perma</v>
      </c>
      <c r="E48" s="6">
        <f t="shared" ref="E48:F48" si="27">E14+G14*($J14*$K14-1)</f>
        <v>31023</v>
      </c>
      <c r="F48" s="6">
        <f t="shared" si="27"/>
        <v>37412</v>
      </c>
      <c r="G48" s="6">
        <f t="shared" si="17"/>
        <v>56118</v>
      </c>
      <c r="K48" s="3"/>
      <c r="L48" s="4"/>
      <c r="Q48" s="2"/>
    </row>
    <row r="49">
      <c r="C49" s="6" t="str">
        <f t="shared" ref="C49:D49" si="28">A15</f>
        <v/>
      </c>
      <c r="D49" s="6" t="str">
        <f t="shared" si="28"/>
        <v>Wrath</v>
      </c>
      <c r="E49" s="6">
        <f t="shared" ref="E49:F49" si="29">E15+G15*($J15*$K15-1)</f>
        <v>31116</v>
      </c>
      <c r="F49" s="6">
        <f t="shared" si="29"/>
        <v>33957</v>
      </c>
      <c r="G49" s="6">
        <f t="shared" si="17"/>
        <v>16978.5</v>
      </c>
      <c r="K49" s="3"/>
      <c r="L49" s="4"/>
      <c r="Q49" s="2"/>
    </row>
    <row r="50">
      <c r="C50" s="6" t="str">
        <f t="shared" ref="C50:D50" si="30">A16</f>
        <v/>
      </c>
      <c r="D50" s="6" t="str">
        <f t="shared" si="30"/>
        <v>Dawnstrike AA</v>
      </c>
      <c r="E50" s="6">
        <f t="shared" ref="E50:F50" si="31">E16+G16*($J16*$K16-1)</f>
        <v>26878</v>
      </c>
      <c r="F50" s="6">
        <f t="shared" si="31"/>
        <v>32162</v>
      </c>
      <c r="G50" s="6">
        <f t="shared" si="17"/>
        <v>16081</v>
      </c>
      <c r="K50" s="3"/>
      <c r="L50" s="4"/>
      <c r="Q50" s="2"/>
    </row>
    <row r="51">
      <c r="C51" s="6">
        <f t="shared" ref="C51:D51" si="32">A17</f>
        <v>1</v>
      </c>
      <c r="D51" s="6" t="str">
        <f t="shared" si="32"/>
        <v>Whirl of Permafrost</v>
      </c>
      <c r="E51" s="6">
        <f t="shared" ref="E51:F51" si="33">E17+G17*($J17*$K17-1)</f>
        <v>22887</v>
      </c>
      <c r="F51" s="6">
        <f t="shared" si="33"/>
        <v>27375</v>
      </c>
      <c r="G51" s="6">
        <f t="shared" si="17"/>
        <v>41062.5</v>
      </c>
      <c r="K51" s="3"/>
      <c r="L51" s="4"/>
      <c r="Q51" s="2"/>
    </row>
    <row r="52">
      <c r="C52" s="6" t="str">
        <f t="shared" ref="C52:D52" si="34">A18</f>
        <v/>
      </c>
      <c r="D52" s="6" t="str">
        <f t="shared" si="34"/>
        <v>Primordial Strike</v>
      </c>
      <c r="E52" s="6">
        <f t="shared" ref="E52:F52" si="35">E18+G18*($J18*$K18-1)</f>
        <v>9944</v>
      </c>
      <c r="F52" s="6">
        <f t="shared" si="35"/>
        <v>15554</v>
      </c>
      <c r="G52" s="6">
        <f t="shared" si="17"/>
        <v>7777</v>
      </c>
      <c r="K52" s="3"/>
      <c r="L52" s="4"/>
      <c r="Q52" s="2"/>
    </row>
    <row r="53">
      <c r="C53" s="6" t="str">
        <f t="shared" ref="C53:D53" si="36">A19</f>
        <v/>
      </c>
      <c r="D53" s="6" t="str">
        <f t="shared" si="36"/>
        <v>Nature Blade</v>
      </c>
      <c r="E53" s="6">
        <f t="shared" ref="E53:F53" si="37">E19+G19*($J19*$K19-1)</f>
        <v>7423</v>
      </c>
      <c r="F53" s="6">
        <f t="shared" si="37"/>
        <v>11610</v>
      </c>
      <c r="G53" s="6">
        <f t="shared" si="17"/>
        <v>5805</v>
      </c>
      <c r="K53" s="3"/>
      <c r="L53" s="4"/>
      <c r="Q53" s="2"/>
    </row>
    <row r="54">
      <c r="C54" s="6">
        <f t="shared" ref="C54:D54" si="38">A20</f>
        <v>1</v>
      </c>
      <c r="D54" s="6" t="str">
        <f t="shared" si="38"/>
        <v>Hiero</v>
      </c>
      <c r="E54" s="6">
        <f t="shared" ref="E54:F54" si="39">E20+G20*($J20*$K20-1)</f>
        <v>8204</v>
      </c>
      <c r="F54" s="6">
        <f t="shared" si="39"/>
        <v>12832</v>
      </c>
      <c r="G54" s="6">
        <f t="shared" si="17"/>
        <v>19248</v>
      </c>
      <c r="K54" s="3"/>
      <c r="L54" s="4"/>
      <c r="Q54" s="2"/>
    </row>
    <row r="55">
      <c r="D55" s="55"/>
      <c r="K55" s="3"/>
      <c r="L55" s="4"/>
      <c r="Q55" s="2"/>
    </row>
    <row r="56">
      <c r="D56" s="55"/>
      <c r="K56" s="3"/>
      <c r="L56" s="4"/>
      <c r="Q56" s="2"/>
    </row>
    <row r="57">
      <c r="D57" s="55"/>
      <c r="K57" s="3"/>
      <c r="L57" s="4"/>
      <c r="Q57" s="2"/>
    </row>
    <row r="58">
      <c r="K58" s="3"/>
      <c r="L58" s="4"/>
      <c r="Q58" s="2"/>
    </row>
    <row r="59">
      <c r="K59" s="3"/>
      <c r="L59" s="4"/>
      <c r="Q59" s="2"/>
    </row>
    <row r="60">
      <c r="K60" s="3"/>
      <c r="L60" s="4"/>
      <c r="Q60" s="2"/>
    </row>
    <row r="61">
      <c r="K61" s="3"/>
      <c r="L61" s="4"/>
    </row>
    <row r="62">
      <c r="K62" s="3"/>
      <c r="L62" s="4"/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</sheetData>
  <autoFilter ref="$A$7:$U$4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1.3+5.81</f>
        <v>7.11</v>
      </c>
      <c r="I1" s="2"/>
      <c r="K1" s="3"/>
      <c r="L1" s="4"/>
    </row>
    <row r="2">
      <c r="A2" s="1" t="s">
        <v>1</v>
      </c>
      <c r="B2" s="5">
        <v>0.704</v>
      </c>
      <c r="I2" s="2"/>
      <c r="K2" s="3"/>
      <c r="L2" s="4"/>
    </row>
    <row r="3">
      <c r="A3" s="1" t="s">
        <v>2</v>
      </c>
      <c r="B3" s="19">
        <v>0.331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71</v>
      </c>
      <c r="C8" s="1">
        <v>0.5</v>
      </c>
      <c r="D8" s="1">
        <v>20.0</v>
      </c>
      <c r="E8" s="1">
        <v>40634.0</v>
      </c>
      <c r="F8" s="1">
        <v>48795.0</v>
      </c>
      <c r="G8" s="6">
        <f t="shared" ref="G8:H8" si="1">E8</f>
        <v>40634</v>
      </c>
      <c r="H8" s="6">
        <f t="shared" si="1"/>
        <v>48795</v>
      </c>
      <c r="I8" s="2"/>
      <c r="J8" s="1">
        <v>4.0</v>
      </c>
      <c r="K8" s="7">
        <v>1.0</v>
      </c>
      <c r="L8" s="9">
        <f t="shared" ref="L8:L31" si="3">if(E8*($B$1+$I8)&lt;(F8+1),F8+1,E8*($I8+$B$1))</f>
        <v>288907.74</v>
      </c>
      <c r="M8" s="10">
        <f t="shared" ref="M8:M31" si="4">F8*($B$1+$I8)</f>
        <v>346932.45</v>
      </c>
      <c r="N8" s="9">
        <f t="shared" ref="N8:N31" si="5">if(if(G8*($B$1+$I8)&lt;(H8+1),H8+1,G8*($I8+$B$1))=1,0,if(G8*($B$1+$I8)&lt;(H8+1),H8+1,G8*($I8+$B$1)))</f>
        <v>288907.74</v>
      </c>
      <c r="O8" s="11">
        <f t="shared" ref="O8:O31" si="6">H8*($B$1+$I8)</f>
        <v>346932.45</v>
      </c>
      <c r="P8" s="11">
        <f t="shared" ref="P8:P31" si="7">M8+O8*K8*J8</f>
        <v>1734662.25</v>
      </c>
      <c r="Q8" s="11">
        <f t="shared" ref="Q8:Q31" si="8">(if($A8=1,$B$4,1)*((L8*E8+F8*M8)/(E8+F8)+if(G8&gt;0,(N8*G8+H8*O8)/(G8+H8)*J8*K8,0)))*(if($U8=0,1+$B$3,1))</f>
        <v>2133377.832</v>
      </c>
      <c r="R8" s="11">
        <f t="shared" ref="R8:R31" si="9">Q8/(C8+0.5*(1/(1+$B$5)))</f>
        <v>2133377.832</v>
      </c>
      <c r="S8" s="6" t="str">
        <f t="shared" ref="S8:S31" si="10">B8</f>
        <v>Psychic Trauma</v>
      </c>
      <c r="T8" s="11">
        <f t="shared" ref="T8:T9" si="11">$Q8/(($C8+$D8))</f>
        <v>104067.2113</v>
      </c>
    </row>
    <row r="9">
      <c r="B9" s="1" t="s">
        <v>72</v>
      </c>
      <c r="C9" s="1">
        <v>0.75</v>
      </c>
      <c r="D9" s="1">
        <v>30.0</v>
      </c>
      <c r="E9" s="1">
        <v>16991.0</v>
      </c>
      <c r="F9" s="1">
        <v>28743.0</v>
      </c>
      <c r="G9" s="6">
        <f t="shared" ref="G9:H9" si="2">E9</f>
        <v>16991</v>
      </c>
      <c r="H9" s="6">
        <f t="shared" si="2"/>
        <v>28743</v>
      </c>
      <c r="I9" s="2"/>
      <c r="J9" s="1">
        <v>12.0</v>
      </c>
      <c r="K9" s="7">
        <v>1.0</v>
      </c>
      <c r="L9" s="9">
        <f t="shared" si="3"/>
        <v>120806.01</v>
      </c>
      <c r="M9" s="10">
        <f t="shared" si="4"/>
        <v>204362.73</v>
      </c>
      <c r="N9" s="9">
        <f t="shared" si="5"/>
        <v>120806.01</v>
      </c>
      <c r="O9" s="11">
        <f t="shared" si="6"/>
        <v>204362.73</v>
      </c>
      <c r="P9" s="11">
        <f t="shared" si="7"/>
        <v>2656715.49</v>
      </c>
      <c r="Q9" s="11">
        <f t="shared" si="8"/>
        <v>2253158.859</v>
      </c>
      <c r="R9" s="11">
        <f t="shared" si="9"/>
        <v>1802527.087</v>
      </c>
      <c r="S9" s="6" t="str">
        <f t="shared" si="10"/>
        <v>Ether Balance</v>
      </c>
      <c r="T9" s="11">
        <f t="shared" si="11"/>
        <v>73273.45881</v>
      </c>
      <c r="U9" s="1">
        <v>1.0</v>
      </c>
    </row>
    <row r="10">
      <c r="B10" s="1" t="s">
        <v>73</v>
      </c>
      <c r="C10" s="1">
        <v>0.5</v>
      </c>
      <c r="D10" s="1">
        <v>24.0</v>
      </c>
      <c r="E10" s="1">
        <v>31651.0</v>
      </c>
      <c r="F10" s="1">
        <v>33666.0</v>
      </c>
      <c r="G10" s="1">
        <v>10494.0</v>
      </c>
      <c r="H10" s="1">
        <v>12509.0</v>
      </c>
      <c r="I10" s="2"/>
      <c r="J10" s="1">
        <v>24.0</v>
      </c>
      <c r="K10" s="12">
        <f>1/4</f>
        <v>0.25</v>
      </c>
      <c r="L10" s="9">
        <f t="shared" si="3"/>
        <v>225038.61</v>
      </c>
      <c r="M10" s="10">
        <f t="shared" si="4"/>
        <v>239365.26</v>
      </c>
      <c r="N10" s="9">
        <f t="shared" si="5"/>
        <v>74612.34</v>
      </c>
      <c r="O10" s="11">
        <f t="shared" si="6"/>
        <v>88938.99</v>
      </c>
      <c r="P10" s="11">
        <f t="shared" si="7"/>
        <v>772999.2</v>
      </c>
      <c r="Q10" s="11">
        <f t="shared" si="8"/>
        <v>967426.4846</v>
      </c>
      <c r="R10" s="11">
        <f t="shared" si="9"/>
        <v>967426.4846</v>
      </c>
      <c r="S10" s="6" t="str">
        <f t="shared" si="10"/>
        <v>Brainshock</v>
      </c>
      <c r="T10" s="11">
        <f t="shared" ref="T10:T16" si="13">$Q10/(($C10+if($D10&lt;=$J10,$J10,$D10)))</f>
        <v>39486.79529</v>
      </c>
    </row>
    <row r="11">
      <c r="B11" s="1" t="s">
        <v>74</v>
      </c>
      <c r="C11" s="1">
        <v>0.75</v>
      </c>
      <c r="D11" s="1">
        <v>10.0</v>
      </c>
      <c r="E11" s="1">
        <v>16553.0</v>
      </c>
      <c r="F11" s="1">
        <v>19731.0</v>
      </c>
      <c r="G11" s="6">
        <f t="shared" ref="G11:H11" si="12">E11</f>
        <v>16553</v>
      </c>
      <c r="H11" s="6">
        <f t="shared" si="12"/>
        <v>19731</v>
      </c>
      <c r="I11" s="2"/>
      <c r="J11" s="1">
        <v>8.0</v>
      </c>
      <c r="K11" s="7">
        <v>1.0</v>
      </c>
      <c r="L11" s="9">
        <f t="shared" si="3"/>
        <v>117691.83</v>
      </c>
      <c r="M11" s="10">
        <f t="shared" si="4"/>
        <v>140287.41</v>
      </c>
      <c r="N11" s="9">
        <f t="shared" si="5"/>
        <v>117691.83</v>
      </c>
      <c r="O11" s="11">
        <f t="shared" si="6"/>
        <v>140287.41</v>
      </c>
      <c r="P11" s="11">
        <f t="shared" si="7"/>
        <v>1262586.69</v>
      </c>
      <c r="Q11" s="11">
        <f t="shared" si="8"/>
        <v>1169812.417</v>
      </c>
      <c r="R11" s="11">
        <f t="shared" si="9"/>
        <v>935849.9336</v>
      </c>
      <c r="S11" s="6" t="str">
        <f t="shared" si="10"/>
        <v>Hostage</v>
      </c>
      <c r="T11" s="11">
        <f t="shared" si="13"/>
        <v>108819.7597</v>
      </c>
      <c r="U11" s="1">
        <v>1.0</v>
      </c>
    </row>
    <row r="12">
      <c r="B12" s="1" t="s">
        <v>75</v>
      </c>
      <c r="C12" s="1">
        <v>0.51</v>
      </c>
      <c r="D12" s="1">
        <v>7.5</v>
      </c>
      <c r="E12" s="1">
        <v>17894.0</v>
      </c>
      <c r="F12" s="1">
        <v>21335.0</v>
      </c>
      <c r="G12" s="6">
        <f t="shared" ref="G12:H12" si="14">E12</f>
        <v>17894</v>
      </c>
      <c r="H12" s="6">
        <f t="shared" si="14"/>
        <v>21335</v>
      </c>
      <c r="I12" s="2"/>
      <c r="J12" s="1">
        <v>3.0</v>
      </c>
      <c r="K12" s="7">
        <v>1.0</v>
      </c>
      <c r="L12" s="9">
        <f t="shared" si="3"/>
        <v>127226.34</v>
      </c>
      <c r="M12" s="10">
        <f t="shared" si="4"/>
        <v>151691.85</v>
      </c>
      <c r="N12" s="9">
        <f t="shared" si="5"/>
        <v>127226.34</v>
      </c>
      <c r="O12" s="11">
        <f t="shared" si="6"/>
        <v>151691.85</v>
      </c>
      <c r="P12" s="11">
        <f t="shared" si="7"/>
        <v>606767.4</v>
      </c>
      <c r="Q12" s="11">
        <f t="shared" si="8"/>
        <v>562128.3997</v>
      </c>
      <c r="R12" s="11">
        <f t="shared" si="9"/>
        <v>556562.772</v>
      </c>
      <c r="S12" s="6" t="str">
        <f t="shared" si="10"/>
        <v>Destructive Mind</v>
      </c>
      <c r="T12" s="11">
        <f t="shared" si="13"/>
        <v>70178.32705</v>
      </c>
      <c r="U12" s="1">
        <v>1.0</v>
      </c>
    </row>
    <row r="13">
      <c r="B13" s="1" t="s">
        <v>76</v>
      </c>
      <c r="C13" s="1">
        <v>0.25</v>
      </c>
      <c r="D13" s="1">
        <v>30.0</v>
      </c>
      <c r="E13" s="1">
        <v>28273.0</v>
      </c>
      <c r="F13" s="1">
        <v>47872.0</v>
      </c>
      <c r="I13" s="2"/>
      <c r="K13" s="3"/>
      <c r="L13" s="9">
        <f t="shared" si="3"/>
        <v>201021.03</v>
      </c>
      <c r="M13" s="10">
        <f t="shared" si="4"/>
        <v>340369.92</v>
      </c>
      <c r="N13" s="9">
        <f t="shared" si="5"/>
        <v>0</v>
      </c>
      <c r="O13" s="11">
        <f t="shared" si="6"/>
        <v>0</v>
      </c>
      <c r="P13" s="11">
        <f t="shared" si="7"/>
        <v>340369.92</v>
      </c>
      <c r="Q13" s="11">
        <f t="shared" si="8"/>
        <v>384165.2197</v>
      </c>
      <c r="R13" s="11">
        <f t="shared" si="9"/>
        <v>512220.293</v>
      </c>
      <c r="S13" s="6" t="str">
        <f t="shared" si="10"/>
        <v>Bewilderment</v>
      </c>
      <c r="T13" s="11">
        <f t="shared" si="13"/>
        <v>12699.67669</v>
      </c>
    </row>
    <row r="14">
      <c r="B14" s="1" t="s">
        <v>77</v>
      </c>
      <c r="C14" s="1">
        <v>0.5</v>
      </c>
      <c r="D14" s="1">
        <v>3.0</v>
      </c>
      <c r="E14" s="1">
        <v>23409.0</v>
      </c>
      <c r="F14" s="1">
        <v>27903.0</v>
      </c>
      <c r="G14" s="1">
        <v>6688.0</v>
      </c>
      <c r="H14" s="1">
        <v>7972.0</v>
      </c>
      <c r="I14" s="2"/>
      <c r="J14" s="1">
        <v>24.0</v>
      </c>
      <c r="K14" s="12">
        <f>1/4</f>
        <v>0.25</v>
      </c>
      <c r="L14" s="9">
        <f t="shared" si="3"/>
        <v>166437.99</v>
      </c>
      <c r="M14" s="10">
        <f t="shared" si="4"/>
        <v>198390.33</v>
      </c>
      <c r="N14" s="9">
        <f t="shared" si="5"/>
        <v>47551.68</v>
      </c>
      <c r="O14" s="11">
        <f t="shared" si="6"/>
        <v>56680.92</v>
      </c>
      <c r="P14" s="11">
        <f t="shared" si="7"/>
        <v>538475.85</v>
      </c>
      <c r="Q14" s="11">
        <f t="shared" si="8"/>
        <v>498909.9433</v>
      </c>
      <c r="R14" s="11">
        <f t="shared" si="9"/>
        <v>498909.9433</v>
      </c>
      <c r="S14" s="6" t="str">
        <f t="shared" si="10"/>
        <v>Asylum</v>
      </c>
      <c r="T14" s="11">
        <f t="shared" si="13"/>
        <v>20363.67116</v>
      </c>
      <c r="U14" s="1">
        <v>1.0</v>
      </c>
    </row>
    <row r="15">
      <c r="B15" s="1" t="s">
        <v>78</v>
      </c>
      <c r="C15" s="1">
        <v>0.5</v>
      </c>
      <c r="D15" s="1">
        <v>4.0</v>
      </c>
      <c r="E15" s="1">
        <v>31651.0</v>
      </c>
      <c r="F15" s="1">
        <v>33666.0</v>
      </c>
      <c r="G15" s="1">
        <v>10494.0</v>
      </c>
      <c r="H15" s="1">
        <v>12509.0</v>
      </c>
      <c r="I15" s="2"/>
      <c r="J15" s="1">
        <v>1.0</v>
      </c>
      <c r="K15" s="7">
        <v>1.0</v>
      </c>
      <c r="L15" s="9">
        <f t="shared" si="3"/>
        <v>225038.61</v>
      </c>
      <c r="M15" s="10">
        <f t="shared" si="4"/>
        <v>239365.26</v>
      </c>
      <c r="N15" s="9">
        <f t="shared" si="5"/>
        <v>74612.34</v>
      </c>
      <c r="O15" s="11">
        <f t="shared" si="6"/>
        <v>88938.99</v>
      </c>
      <c r="P15" s="11">
        <f t="shared" si="7"/>
        <v>328304.25</v>
      </c>
      <c r="Q15" s="11">
        <f t="shared" si="8"/>
        <v>419033.5032</v>
      </c>
      <c r="R15" s="11">
        <f t="shared" si="9"/>
        <v>419033.5032</v>
      </c>
      <c r="S15" s="6" t="str">
        <f t="shared" si="10"/>
        <v>Brainshock spam</v>
      </c>
      <c r="T15" s="11">
        <f t="shared" si="13"/>
        <v>93118.55628</v>
      </c>
      <c r="U15" s="11"/>
    </row>
    <row r="16">
      <c r="A16" s="1">
        <v>1.0</v>
      </c>
      <c r="B16" s="1" t="s">
        <v>79</v>
      </c>
      <c r="C16" s="1">
        <v>1.0</v>
      </c>
      <c r="D16" s="1">
        <v>10.0</v>
      </c>
      <c r="E16" s="1">
        <v>13002.0</v>
      </c>
      <c r="F16" s="1">
        <v>15503.0</v>
      </c>
      <c r="G16" s="6">
        <f t="shared" ref="G16:H16" si="15">E16</f>
        <v>13002</v>
      </c>
      <c r="H16" s="6">
        <f t="shared" si="15"/>
        <v>15503</v>
      </c>
      <c r="I16" s="2"/>
      <c r="J16" s="1">
        <v>5.0</v>
      </c>
      <c r="K16" s="7">
        <v>1.0</v>
      </c>
      <c r="L16" s="9">
        <f t="shared" si="3"/>
        <v>92444.22</v>
      </c>
      <c r="M16" s="10">
        <f t="shared" si="4"/>
        <v>110226.33</v>
      </c>
      <c r="N16" s="9">
        <f t="shared" si="5"/>
        <v>92444.22</v>
      </c>
      <c r="O16" s="11">
        <f t="shared" si="6"/>
        <v>110226.33</v>
      </c>
      <c r="P16" s="11">
        <f t="shared" si="7"/>
        <v>661357.98</v>
      </c>
      <c r="Q16" s="11">
        <f t="shared" si="8"/>
        <v>612692.2033</v>
      </c>
      <c r="R16" s="11">
        <f t="shared" si="9"/>
        <v>408461.4689</v>
      </c>
      <c r="S16" s="6" t="str">
        <f t="shared" si="10"/>
        <v>Spell Curse</v>
      </c>
      <c r="T16" s="11">
        <f t="shared" si="13"/>
        <v>55699.29121</v>
      </c>
      <c r="U16" s="1">
        <v>1.0</v>
      </c>
    </row>
    <row r="17">
      <c r="B17" s="1" t="s">
        <v>80</v>
      </c>
      <c r="C17" s="1">
        <v>0.91</v>
      </c>
      <c r="D17" s="1">
        <v>60.0</v>
      </c>
      <c r="E17" s="1">
        <v>55163.0</v>
      </c>
      <c r="F17" s="1">
        <v>61692.0</v>
      </c>
      <c r="K17" s="3"/>
      <c r="L17" s="9">
        <f t="shared" si="3"/>
        <v>392208.93</v>
      </c>
      <c r="M17" s="10">
        <f t="shared" si="4"/>
        <v>438630.12</v>
      </c>
      <c r="N17" s="9">
        <f t="shared" si="5"/>
        <v>0</v>
      </c>
      <c r="O17" s="11">
        <f t="shared" si="6"/>
        <v>0</v>
      </c>
      <c r="P17" s="11">
        <f t="shared" si="7"/>
        <v>438630.12</v>
      </c>
      <c r="Q17" s="11">
        <f t="shared" si="8"/>
        <v>554649.4788</v>
      </c>
      <c r="R17" s="11">
        <f t="shared" si="9"/>
        <v>393368.4247</v>
      </c>
      <c r="S17" s="6" t="str">
        <f t="shared" si="10"/>
        <v>Master Strike</v>
      </c>
      <c r="T17" s="11">
        <f>$Q17/(($C17+$D17))</f>
        <v>9106.049562</v>
      </c>
    </row>
    <row r="18">
      <c r="B18" s="1" t="s">
        <v>81</v>
      </c>
      <c r="C18" s="1">
        <v>1.0</v>
      </c>
      <c r="D18" s="1">
        <v>12.5</v>
      </c>
      <c r="E18" s="1">
        <v>25024.0</v>
      </c>
      <c r="F18" s="1">
        <v>29836.0</v>
      </c>
      <c r="G18" s="1">
        <v>3336.0</v>
      </c>
      <c r="H18" s="1">
        <v>3978.0</v>
      </c>
      <c r="I18" s="2"/>
      <c r="J18" s="1">
        <v>18.0</v>
      </c>
      <c r="K18" s="12">
        <f>1/2.2</f>
        <v>0.4545454545</v>
      </c>
      <c r="L18" s="9">
        <f t="shared" si="3"/>
        <v>177920.64</v>
      </c>
      <c r="M18" s="10">
        <f t="shared" si="4"/>
        <v>212133.96</v>
      </c>
      <c r="N18" s="9">
        <f t="shared" si="5"/>
        <v>23718.96</v>
      </c>
      <c r="O18" s="11">
        <f t="shared" si="6"/>
        <v>28283.58</v>
      </c>
      <c r="P18" s="11">
        <f t="shared" si="7"/>
        <v>443545.0691</v>
      </c>
      <c r="Q18" s="11">
        <f t="shared" si="8"/>
        <v>546913.9652</v>
      </c>
      <c r="R18" s="11">
        <f t="shared" si="9"/>
        <v>364609.3101</v>
      </c>
      <c r="S18" s="6" t="str">
        <f t="shared" si="10"/>
        <v>Silence</v>
      </c>
      <c r="T18" s="11">
        <f t="shared" ref="T18:T23" si="16">$Q18/(($C18+if($D18&lt;=$J18,$J18,$D18)))</f>
        <v>28784.94553</v>
      </c>
    </row>
    <row r="19">
      <c r="B19" s="1" t="s">
        <v>82</v>
      </c>
      <c r="C19" s="1">
        <v>0.25</v>
      </c>
      <c r="D19" s="1">
        <v>6.0</v>
      </c>
      <c r="E19" s="1">
        <v>25930.0</v>
      </c>
      <c r="F19" s="1">
        <v>40305.0</v>
      </c>
      <c r="I19" s="2"/>
      <c r="J19" s="1">
        <v>5.0</v>
      </c>
      <c r="K19" s="7">
        <v>1.0</v>
      </c>
      <c r="L19" s="9">
        <f t="shared" si="3"/>
        <v>184362.3</v>
      </c>
      <c r="M19" s="10">
        <f t="shared" si="4"/>
        <v>286568.55</v>
      </c>
      <c r="N19" s="9">
        <f t="shared" si="5"/>
        <v>0</v>
      </c>
      <c r="O19" s="11">
        <f t="shared" si="6"/>
        <v>0</v>
      </c>
      <c r="P19" s="11">
        <f t="shared" si="7"/>
        <v>286568.55</v>
      </c>
      <c r="Q19" s="11">
        <f t="shared" si="8"/>
        <v>246556.3501</v>
      </c>
      <c r="R19" s="11">
        <f t="shared" si="9"/>
        <v>328741.8001</v>
      </c>
      <c r="S19" s="6" t="str">
        <f t="shared" si="10"/>
        <v>Counterblade</v>
      </c>
      <c r="T19" s="11">
        <f t="shared" si="16"/>
        <v>39449.01601</v>
      </c>
      <c r="U19" s="1">
        <v>1.0</v>
      </c>
    </row>
    <row r="20">
      <c r="B20" s="1" t="s">
        <v>83</v>
      </c>
      <c r="C20" s="1">
        <v>0.5</v>
      </c>
      <c r="D20" s="1">
        <v>3.0</v>
      </c>
      <c r="E20" s="1">
        <v>23409.0</v>
      </c>
      <c r="F20" s="1">
        <v>27903.0</v>
      </c>
      <c r="G20" s="1">
        <v>6688.0</v>
      </c>
      <c r="H20" s="1">
        <v>7972.0</v>
      </c>
      <c r="I20" s="2"/>
      <c r="J20" s="1">
        <v>1.0</v>
      </c>
      <c r="K20" s="7">
        <v>1.0</v>
      </c>
      <c r="L20" s="9">
        <f t="shared" si="3"/>
        <v>166437.99</v>
      </c>
      <c r="M20" s="10">
        <f t="shared" si="4"/>
        <v>198390.33</v>
      </c>
      <c r="N20" s="9">
        <f t="shared" si="5"/>
        <v>47551.68</v>
      </c>
      <c r="O20" s="11">
        <f t="shared" si="6"/>
        <v>56680.92</v>
      </c>
      <c r="P20" s="11">
        <f t="shared" si="7"/>
        <v>255071.25</v>
      </c>
      <c r="Q20" s="11">
        <f t="shared" si="8"/>
        <v>314554.5326</v>
      </c>
      <c r="R20" s="11">
        <f t="shared" si="9"/>
        <v>314554.5326</v>
      </c>
      <c r="S20" s="6" t="str">
        <f t="shared" si="10"/>
        <v>Asylum spam,</v>
      </c>
      <c r="T20" s="11">
        <f t="shared" si="16"/>
        <v>89872.72359</v>
      </c>
      <c r="U20" s="11"/>
    </row>
    <row r="21">
      <c r="A21" s="1">
        <v>1.0</v>
      </c>
      <c r="B21" s="1" t="s">
        <v>84</v>
      </c>
      <c r="C21" s="1">
        <v>1.5</v>
      </c>
      <c r="D21" s="1">
        <v>22.5</v>
      </c>
      <c r="E21" s="1">
        <v>50859.0</v>
      </c>
      <c r="F21" s="1">
        <v>74950.0</v>
      </c>
      <c r="I21" s="2"/>
      <c r="K21" s="3"/>
      <c r="L21" s="9">
        <f t="shared" si="3"/>
        <v>361607.49</v>
      </c>
      <c r="M21" s="10">
        <f t="shared" si="4"/>
        <v>532894.5</v>
      </c>
      <c r="N21" s="9">
        <f t="shared" si="5"/>
        <v>0</v>
      </c>
      <c r="O21" s="11">
        <f t="shared" si="6"/>
        <v>0</v>
      </c>
      <c r="P21" s="11">
        <f t="shared" si="7"/>
        <v>532894.5</v>
      </c>
      <c r="Q21" s="11">
        <f t="shared" si="8"/>
        <v>617119.1578</v>
      </c>
      <c r="R21" s="11">
        <f t="shared" si="9"/>
        <v>308559.5789</v>
      </c>
      <c r="S21" s="6" t="str">
        <f t="shared" si="10"/>
        <v>Shock Wave</v>
      </c>
      <c r="T21" s="11">
        <f t="shared" si="16"/>
        <v>25713.29824</v>
      </c>
    </row>
    <row r="22">
      <c r="B22" s="1" t="s">
        <v>85</v>
      </c>
      <c r="C22" s="1">
        <v>1.0</v>
      </c>
      <c r="D22" s="1">
        <v>22.5</v>
      </c>
      <c r="E22" s="1">
        <v>38027.0</v>
      </c>
      <c r="F22" s="1">
        <v>43106.0</v>
      </c>
      <c r="I22" s="2"/>
      <c r="K22" s="3"/>
      <c r="L22" s="9">
        <f t="shared" si="3"/>
        <v>270371.97</v>
      </c>
      <c r="M22" s="10">
        <f t="shared" si="4"/>
        <v>306483.66</v>
      </c>
      <c r="N22" s="9">
        <f t="shared" si="5"/>
        <v>0</v>
      </c>
      <c r="O22" s="11">
        <f t="shared" si="6"/>
        <v>0</v>
      </c>
      <c r="P22" s="11">
        <f t="shared" si="7"/>
        <v>306483.66</v>
      </c>
      <c r="Q22" s="11">
        <f t="shared" si="8"/>
        <v>385401.8676</v>
      </c>
      <c r="R22" s="11">
        <f t="shared" si="9"/>
        <v>256934.5784</v>
      </c>
      <c r="S22" s="6" t="str">
        <f t="shared" si="10"/>
        <v>Cannibalize Though</v>
      </c>
      <c r="T22" s="11">
        <f t="shared" si="16"/>
        <v>16400.07947</v>
      </c>
    </row>
    <row r="23">
      <c r="B23" s="1" t="s">
        <v>86</v>
      </c>
      <c r="C23" s="1">
        <v>1.0</v>
      </c>
      <c r="D23" s="1">
        <v>15.0</v>
      </c>
      <c r="E23" s="1">
        <v>35738.0</v>
      </c>
      <c r="F23" s="1">
        <v>38541.0</v>
      </c>
      <c r="I23" s="2"/>
      <c r="K23" s="3"/>
      <c r="L23" s="9">
        <f t="shared" si="3"/>
        <v>254097.18</v>
      </c>
      <c r="M23" s="10">
        <f t="shared" si="4"/>
        <v>274026.51</v>
      </c>
      <c r="N23" s="9">
        <f t="shared" si="5"/>
        <v>0</v>
      </c>
      <c r="O23" s="11">
        <f t="shared" si="6"/>
        <v>0</v>
      </c>
      <c r="P23" s="11">
        <f t="shared" si="7"/>
        <v>274026.51</v>
      </c>
      <c r="Q23" s="11">
        <f t="shared" si="8"/>
        <v>351966.8085</v>
      </c>
      <c r="R23" s="11">
        <f t="shared" si="9"/>
        <v>234644.539</v>
      </c>
      <c r="S23" s="6" t="str">
        <f t="shared" si="10"/>
        <v>Medusa Gaze</v>
      </c>
      <c r="T23" s="11">
        <f t="shared" si="16"/>
        <v>21997.92553</v>
      </c>
    </row>
    <row r="24">
      <c r="B24" s="1" t="s">
        <v>87</v>
      </c>
      <c r="C24" s="1">
        <v>0.25</v>
      </c>
      <c r="D24" s="1">
        <v>15.0</v>
      </c>
      <c r="E24" s="1">
        <v>8326.0</v>
      </c>
      <c r="F24" s="1">
        <v>11815.0</v>
      </c>
      <c r="G24" s="1">
        <v>876.0</v>
      </c>
      <c r="H24" s="1">
        <v>1244.0</v>
      </c>
      <c r="I24" s="2"/>
      <c r="J24" s="1">
        <v>12.0</v>
      </c>
      <c r="K24" s="12">
        <f>1/2</f>
        <v>0.5</v>
      </c>
      <c r="L24" s="9">
        <f t="shared" si="3"/>
        <v>59197.86</v>
      </c>
      <c r="M24" s="10">
        <f t="shared" si="4"/>
        <v>84004.65</v>
      </c>
      <c r="N24" s="9">
        <f t="shared" si="5"/>
        <v>6228.36</v>
      </c>
      <c r="O24" s="11">
        <f t="shared" si="6"/>
        <v>8844.84</v>
      </c>
      <c r="P24" s="11">
        <f t="shared" si="7"/>
        <v>137073.69</v>
      </c>
      <c r="Q24" s="11">
        <f t="shared" si="8"/>
        <v>160161.9236</v>
      </c>
      <c r="R24" s="11">
        <f t="shared" si="9"/>
        <v>213549.2315</v>
      </c>
      <c r="S24" s="6" t="str">
        <f t="shared" si="10"/>
        <v>Daydream</v>
      </c>
      <c r="T24" s="11">
        <f>$Q24/(($C24+$D24))</f>
        <v>10502.42122</v>
      </c>
    </row>
    <row r="25">
      <c r="B25" s="1" t="s">
        <v>88</v>
      </c>
      <c r="C25" s="1">
        <v>0.5</v>
      </c>
      <c r="D25" s="1">
        <v>1.5</v>
      </c>
      <c r="E25" s="1">
        <v>15959.0</v>
      </c>
      <c r="F25" s="1">
        <v>20756.0</v>
      </c>
      <c r="I25" s="2"/>
      <c r="K25" s="3"/>
      <c r="L25" s="9">
        <f t="shared" si="3"/>
        <v>113468.49</v>
      </c>
      <c r="M25" s="10">
        <f t="shared" si="4"/>
        <v>147575.16</v>
      </c>
      <c r="N25" s="9">
        <f t="shared" si="5"/>
        <v>0</v>
      </c>
      <c r="O25" s="11">
        <f t="shared" si="6"/>
        <v>0</v>
      </c>
      <c r="P25" s="11">
        <f t="shared" si="7"/>
        <v>147575.16</v>
      </c>
      <c r="Q25" s="11">
        <f t="shared" si="8"/>
        <v>176690.1558</v>
      </c>
      <c r="R25" s="11">
        <f t="shared" si="9"/>
        <v>176690.1558</v>
      </c>
      <c r="S25" s="6" t="str">
        <f t="shared" si="10"/>
        <v>Hemorrhage</v>
      </c>
      <c r="T25" s="11">
        <f t="shared" ref="T25:T31" si="18">$Q25/(($C25+if($D25&lt;=$J25,$J25,$D25)))</f>
        <v>88345.07792</v>
      </c>
    </row>
    <row r="26">
      <c r="B26" s="1" t="s">
        <v>89</v>
      </c>
      <c r="C26" s="1">
        <v>0.75</v>
      </c>
      <c r="D26" s="1">
        <v>15.0</v>
      </c>
      <c r="E26" s="1">
        <v>4762.0</v>
      </c>
      <c r="F26" s="1">
        <v>6314.0</v>
      </c>
      <c r="G26" s="6">
        <f t="shared" ref="G26:H26" si="17">E26</f>
        <v>4762</v>
      </c>
      <c r="H26" s="6">
        <f t="shared" si="17"/>
        <v>6314</v>
      </c>
      <c r="I26" s="2"/>
      <c r="J26" s="1">
        <v>4.0</v>
      </c>
      <c r="K26" s="7">
        <v>1.0</v>
      </c>
      <c r="L26" s="9">
        <f t="shared" si="3"/>
        <v>33857.82</v>
      </c>
      <c r="M26" s="10">
        <f t="shared" si="4"/>
        <v>44892.54</v>
      </c>
      <c r="N26" s="9">
        <f t="shared" si="5"/>
        <v>33857.82</v>
      </c>
      <c r="O26" s="11">
        <f t="shared" si="6"/>
        <v>44892.54</v>
      </c>
      <c r="P26" s="11">
        <f t="shared" si="7"/>
        <v>224462.7</v>
      </c>
      <c r="Q26" s="11">
        <f t="shared" si="8"/>
        <v>200741.4393</v>
      </c>
      <c r="R26" s="11">
        <f t="shared" si="9"/>
        <v>160593.1515</v>
      </c>
      <c r="S26" s="6" t="str">
        <f t="shared" si="10"/>
        <v>Mindbend</v>
      </c>
      <c r="T26" s="11">
        <f t="shared" si="18"/>
        <v>12745.48821</v>
      </c>
      <c r="U26" s="1">
        <v>1.0</v>
      </c>
    </row>
    <row r="27">
      <c r="A27" s="1">
        <v>1.0</v>
      </c>
      <c r="B27" s="1" t="s">
        <v>90</v>
      </c>
      <c r="C27" s="1">
        <v>1.0</v>
      </c>
      <c r="D27" s="1">
        <v>4.5</v>
      </c>
      <c r="E27" s="1">
        <v>5787.0</v>
      </c>
      <c r="F27" s="1">
        <v>6772.0</v>
      </c>
      <c r="G27" s="1">
        <v>3073.0</v>
      </c>
      <c r="H27" s="1">
        <v>3664.0</v>
      </c>
      <c r="I27" s="2"/>
      <c r="J27" s="1">
        <v>12.0</v>
      </c>
      <c r="K27" s="12">
        <f>1/2.4</f>
        <v>0.4166666667</v>
      </c>
      <c r="L27" s="9">
        <f t="shared" si="3"/>
        <v>41145.57</v>
      </c>
      <c r="M27" s="10">
        <f t="shared" si="4"/>
        <v>48148.92</v>
      </c>
      <c r="N27" s="9">
        <f t="shared" si="5"/>
        <v>21849.03</v>
      </c>
      <c r="O27" s="11">
        <f t="shared" si="6"/>
        <v>26051.04</v>
      </c>
      <c r="P27" s="11">
        <f t="shared" si="7"/>
        <v>178404.12</v>
      </c>
      <c r="Q27" s="11">
        <f t="shared" si="8"/>
        <v>220405.0867</v>
      </c>
      <c r="R27" s="11">
        <f t="shared" si="9"/>
        <v>146936.7245</v>
      </c>
      <c r="S27" s="6" t="str">
        <f t="shared" si="10"/>
        <v>Simple Minds</v>
      </c>
      <c r="T27" s="11">
        <f t="shared" si="18"/>
        <v>16954.23744</v>
      </c>
    </row>
    <row r="28">
      <c r="B28" s="1" t="s">
        <v>91</v>
      </c>
      <c r="C28" s="1">
        <v>0.25</v>
      </c>
      <c r="D28" s="1">
        <v>15.0</v>
      </c>
      <c r="E28" s="1">
        <v>8936.0</v>
      </c>
      <c r="F28" s="1">
        <v>13890.0</v>
      </c>
      <c r="J28" s="2"/>
      <c r="K28" s="3"/>
      <c r="L28" s="9">
        <f t="shared" si="3"/>
        <v>63534.96</v>
      </c>
      <c r="M28" s="10">
        <f t="shared" si="4"/>
        <v>98757.9</v>
      </c>
      <c r="N28" s="9">
        <f t="shared" si="5"/>
        <v>0</v>
      </c>
      <c r="O28" s="11">
        <f t="shared" si="6"/>
        <v>0</v>
      </c>
      <c r="P28" s="11">
        <f t="shared" si="7"/>
        <v>98757.9</v>
      </c>
      <c r="Q28" s="11">
        <f t="shared" si="8"/>
        <v>84968.70383</v>
      </c>
      <c r="R28" s="11">
        <f t="shared" si="9"/>
        <v>113291.6051</v>
      </c>
      <c r="S28" s="6" t="str">
        <f t="shared" si="10"/>
        <v>Null staff</v>
      </c>
      <c r="T28" s="11">
        <f t="shared" si="18"/>
        <v>5571.718284</v>
      </c>
      <c r="U28" s="13">
        <v>1.0</v>
      </c>
    </row>
    <row r="29">
      <c r="A29" s="1">
        <v>1.0</v>
      </c>
      <c r="B29" s="1" t="s">
        <v>92</v>
      </c>
      <c r="C29" s="1">
        <v>1.0</v>
      </c>
      <c r="D29" s="1">
        <v>22.5</v>
      </c>
      <c r="E29" s="1">
        <v>14860.0</v>
      </c>
      <c r="F29" s="1">
        <v>17718.0</v>
      </c>
      <c r="I29" s="2"/>
      <c r="K29" s="3"/>
      <c r="L29" s="9">
        <f t="shared" si="3"/>
        <v>105654.6</v>
      </c>
      <c r="M29" s="10">
        <f t="shared" si="4"/>
        <v>125974.98</v>
      </c>
      <c r="N29" s="9">
        <f t="shared" si="5"/>
        <v>0</v>
      </c>
      <c r="O29" s="11">
        <f t="shared" si="6"/>
        <v>0</v>
      </c>
      <c r="P29" s="11">
        <f t="shared" si="7"/>
        <v>125974.98</v>
      </c>
      <c r="Q29" s="11">
        <f t="shared" si="8"/>
        <v>155335.8488</v>
      </c>
      <c r="R29" s="11">
        <f t="shared" si="9"/>
        <v>103557.2325</v>
      </c>
      <c r="S29" s="6" t="str">
        <f t="shared" si="10"/>
        <v>Ego Shock</v>
      </c>
      <c r="T29" s="11">
        <f t="shared" si="18"/>
        <v>6610.036117</v>
      </c>
    </row>
    <row r="30">
      <c r="B30" s="1" t="s">
        <v>93</v>
      </c>
      <c r="C30" s="1">
        <v>0.25</v>
      </c>
      <c r="D30" s="1">
        <v>4.0</v>
      </c>
      <c r="E30" s="1">
        <v>5094.0</v>
      </c>
      <c r="F30" s="1">
        <v>7919.0</v>
      </c>
      <c r="I30" s="2"/>
      <c r="K30" s="3"/>
      <c r="L30" s="9">
        <f t="shared" si="3"/>
        <v>36218.34</v>
      </c>
      <c r="M30" s="10">
        <f t="shared" si="4"/>
        <v>56304.09</v>
      </c>
      <c r="N30" s="9">
        <f t="shared" si="5"/>
        <v>0</v>
      </c>
      <c r="O30" s="11">
        <f t="shared" si="6"/>
        <v>0</v>
      </c>
      <c r="P30" s="11">
        <f t="shared" si="7"/>
        <v>56304.09</v>
      </c>
      <c r="Q30" s="11">
        <f t="shared" si="8"/>
        <v>48441.42878</v>
      </c>
      <c r="R30" s="11">
        <f t="shared" si="9"/>
        <v>64588.5717</v>
      </c>
      <c r="S30" s="6" t="str">
        <f t="shared" si="10"/>
        <v>Spellblade's counter</v>
      </c>
      <c r="T30" s="11">
        <f t="shared" si="18"/>
        <v>11397.98324</v>
      </c>
      <c r="U30" s="1">
        <v>1.0</v>
      </c>
    </row>
    <row r="31">
      <c r="A31" s="1">
        <v>1.0</v>
      </c>
      <c r="B31" s="1" t="s">
        <v>94</v>
      </c>
      <c r="C31" s="1">
        <v>0.75</v>
      </c>
      <c r="D31" s="1">
        <v>22.5</v>
      </c>
      <c r="E31" s="1">
        <v>4718.0</v>
      </c>
      <c r="F31" s="1">
        <v>6139.0</v>
      </c>
      <c r="I31" s="2"/>
      <c r="K31" s="3"/>
      <c r="L31" s="9">
        <f t="shared" si="3"/>
        <v>33544.98</v>
      </c>
      <c r="M31" s="10">
        <f t="shared" si="4"/>
        <v>43648.29</v>
      </c>
      <c r="N31" s="9">
        <f t="shared" si="5"/>
        <v>0</v>
      </c>
      <c r="O31" s="11">
        <f t="shared" si="6"/>
        <v>0</v>
      </c>
      <c r="P31" s="11">
        <f t="shared" si="7"/>
        <v>43648.29</v>
      </c>
      <c r="Q31" s="11">
        <f t="shared" si="8"/>
        <v>52252.14815</v>
      </c>
      <c r="R31" s="11">
        <f t="shared" si="9"/>
        <v>41801.71852</v>
      </c>
      <c r="S31" s="6" t="str">
        <f t="shared" si="10"/>
        <v>Stupefy</v>
      </c>
      <c r="T31" s="11">
        <f t="shared" si="18"/>
        <v>2247.404221</v>
      </c>
    </row>
    <row r="32">
      <c r="J32" s="2"/>
      <c r="L32" s="3"/>
      <c r="M32" s="9"/>
      <c r="N32" s="10"/>
      <c r="O32" s="9"/>
      <c r="P32" s="11"/>
      <c r="Q32" s="11"/>
      <c r="R32" s="11"/>
      <c r="S32" s="11"/>
      <c r="U32" s="11"/>
    </row>
    <row r="33">
      <c r="I33" s="2"/>
      <c r="K33" s="3"/>
      <c r="L33" s="9"/>
      <c r="M33" s="10"/>
      <c r="N33" s="9"/>
      <c r="O33" s="11"/>
      <c r="P33" s="11"/>
      <c r="Q33" s="11"/>
      <c r="R33" s="11"/>
      <c r="T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9">E27</f>
        <v>5787</v>
      </c>
      <c r="G61" s="6">
        <f t="shared" si="19"/>
        <v>6772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20">F$61*0.85^($E62-1)</f>
        <v>5787</v>
      </c>
      <c r="G62" s="6">
        <f t="shared" si="20"/>
        <v>6772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21">F$61*0.85^($D63-1)</f>
        <v>4918.95</v>
      </c>
      <c r="F63" s="6">
        <f t="shared" si="21"/>
        <v>5756.2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23">D63+1</f>
        <v>3</v>
      </c>
      <c r="E64" s="6">
        <f t="shared" ref="E64:F64" si="22">F$61*0.85^($D64-1)</f>
        <v>4181.1075</v>
      </c>
      <c r="F64" s="6">
        <f t="shared" si="22"/>
        <v>4892.77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23"/>
        <v>4</v>
      </c>
      <c r="E65" s="6">
        <f t="shared" ref="E65:F65" si="24">F$61*0.85^($D65-1)</f>
        <v>3553.941375</v>
      </c>
      <c r="F65" s="6">
        <f t="shared" si="24"/>
        <v>4158.8545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23"/>
        <v>5</v>
      </c>
      <c r="E66" s="6">
        <f t="shared" ref="E66:F66" si="25">F$61*0.85^($D66-1)</f>
        <v>3020.850169</v>
      </c>
      <c r="F66" s="6">
        <f t="shared" si="25"/>
        <v>3535.026325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23"/>
        <v>6</v>
      </c>
      <c r="E67" s="6">
        <f t="shared" ref="E67:F67" si="26">F$61*0.85^($D67-1)</f>
        <v>2567.722643</v>
      </c>
      <c r="F67" s="6">
        <f t="shared" si="26"/>
        <v>3004.772376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23"/>
        <v>7</v>
      </c>
      <c r="E68" s="6">
        <f t="shared" ref="E68:F68" si="27">F$61*0.85^($D68-1)</f>
        <v>2182.564247</v>
      </c>
      <c r="F68" s="6">
        <f t="shared" si="27"/>
        <v>2554.05652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23"/>
        <v>8</v>
      </c>
      <c r="E69" s="6">
        <f t="shared" ref="E69:F69" si="28">F$61*0.85^($D69-1)</f>
        <v>1855.17961</v>
      </c>
      <c r="F69" s="6">
        <f t="shared" si="28"/>
        <v>2170.948042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23"/>
        <v>9</v>
      </c>
      <c r="E70" s="6">
        <f t="shared" ref="E70:F70" si="29">F$61*0.85^($D70-1)</f>
        <v>1576.902668</v>
      </c>
      <c r="F70" s="6">
        <f t="shared" si="29"/>
        <v>1845.305836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23"/>
        <v>10</v>
      </c>
      <c r="E71" s="6">
        <f t="shared" ref="E71:F71" si="30">F$61*0.85^($D71-1)</f>
        <v>1340.367268</v>
      </c>
      <c r="F71" s="6">
        <f t="shared" si="30"/>
        <v>1568.50996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23"/>
        <v>11</v>
      </c>
      <c r="E72" s="6">
        <f t="shared" ref="E72:F72" si="31">F$61*0.85^($D72-1)</f>
        <v>1139.312178</v>
      </c>
      <c r="F72" s="6">
        <f t="shared" si="31"/>
        <v>1333.233466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23"/>
        <v>12</v>
      </c>
      <c r="E73" s="6">
        <f t="shared" ref="E73:F73" si="32">F$61*0.85^($D73-1)</f>
        <v>968.4153512</v>
      </c>
      <c r="F73" s="6">
        <f t="shared" si="32"/>
        <v>1133.248446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23"/>
        <v>13</v>
      </c>
      <c r="E74" s="6">
        <f t="shared" ref="E74:F74" si="33">F$61*0.85^($D74-1)</f>
        <v>823.1530485</v>
      </c>
      <c r="F74" s="6">
        <f t="shared" si="33"/>
        <v>963.2611793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23"/>
        <v>14</v>
      </c>
      <c r="E75" s="6">
        <f t="shared" ref="E75:F75" si="34">F$61*0.85^($D75-1)</f>
        <v>699.6800913</v>
      </c>
      <c r="F75" s="6">
        <f t="shared" si="34"/>
        <v>818.7720024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23"/>
        <v>15</v>
      </c>
      <c r="E76" s="6">
        <f t="shared" ref="E76:F76" si="35">F$61*0.85^($D76-1)</f>
        <v>594.7280776</v>
      </c>
      <c r="F76" s="6">
        <f t="shared" si="35"/>
        <v>695.9562021</v>
      </c>
      <c r="I76" s="2"/>
      <c r="K76" s="3"/>
      <c r="L76" s="4"/>
    </row>
    <row r="77">
      <c r="B77" s="1" t="s">
        <v>90</v>
      </c>
      <c r="D77" s="6">
        <f t="shared" si="23"/>
        <v>16</v>
      </c>
      <c r="E77" s="6">
        <f t="shared" ref="E77:F77" si="36">F$61*0.85^($D77-1)</f>
        <v>505.5188659</v>
      </c>
      <c r="F77" s="6">
        <f t="shared" si="36"/>
        <v>591.5627718</v>
      </c>
      <c r="I77" s="2"/>
      <c r="K77" s="3"/>
      <c r="L77" s="4"/>
    </row>
    <row r="78">
      <c r="D78" s="6">
        <f t="shared" si="23"/>
        <v>17</v>
      </c>
      <c r="E78" s="6">
        <f t="shared" ref="E78:F78" si="37">F$61*0.85^($D78-1)</f>
        <v>429.691036</v>
      </c>
      <c r="F78" s="6">
        <f t="shared" si="37"/>
        <v>502.828356</v>
      </c>
      <c r="I78" s="2"/>
      <c r="K78" s="3"/>
      <c r="L78" s="4"/>
    </row>
    <row r="79">
      <c r="D79" s="6">
        <f t="shared" si="23"/>
        <v>18</v>
      </c>
      <c r="E79" s="6">
        <f t="shared" ref="E79:F79" si="38">F$61*0.85^($D79-1)</f>
        <v>365.2373806</v>
      </c>
      <c r="F79" s="6">
        <f t="shared" si="38"/>
        <v>427.4041026</v>
      </c>
      <c r="I79" s="2"/>
      <c r="K79" s="3"/>
      <c r="L79" s="4"/>
    </row>
    <row r="80">
      <c r="D80" s="6">
        <f t="shared" si="23"/>
        <v>19</v>
      </c>
      <c r="E80" s="6">
        <f t="shared" ref="E80:F80" si="39">F$61*0.85^($D80-1)</f>
        <v>310.4517735</v>
      </c>
      <c r="F80" s="6">
        <f t="shared" si="39"/>
        <v>363.2934872</v>
      </c>
      <c r="I80" s="2"/>
      <c r="K80" s="3"/>
      <c r="L80" s="4"/>
    </row>
    <row r="81">
      <c r="D81" s="6">
        <f t="shared" si="23"/>
        <v>20</v>
      </c>
      <c r="E81" s="6">
        <f t="shared" ref="E81:F81" si="40">F$61*0.85^($D81-1)</f>
        <v>263.8840075</v>
      </c>
      <c r="F81" s="6">
        <f t="shared" si="40"/>
        <v>308.7994641</v>
      </c>
      <c r="I81" s="2"/>
      <c r="K81" s="3"/>
      <c r="L81" s="4"/>
    </row>
    <row r="82">
      <c r="E82" s="6">
        <f t="shared" ref="E82:F82" si="41">sum(E63:E81)</f>
        <v>31297.65729</v>
      </c>
      <c r="F82" s="6">
        <f t="shared" si="41"/>
        <v>36624.80304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U$54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5.444+1.5</f>
        <v>6.944</v>
      </c>
      <c r="I1" s="2"/>
      <c r="K1" s="3"/>
      <c r="L1" s="4"/>
    </row>
    <row r="2">
      <c r="A2" s="1" t="s">
        <v>1</v>
      </c>
      <c r="B2" s="5">
        <v>0.32</v>
      </c>
      <c r="I2" s="2"/>
      <c r="K2" s="3"/>
      <c r="L2" s="4"/>
    </row>
    <row r="3">
      <c r="A3" s="1" t="s">
        <v>2</v>
      </c>
      <c r="B3" s="19">
        <v>1.0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428</v>
      </c>
      <c r="C8" s="1">
        <v>0.25</v>
      </c>
      <c r="D8" s="1">
        <v>5.0</v>
      </c>
      <c r="E8" s="1">
        <v>31163.0</v>
      </c>
      <c r="F8" s="1">
        <v>44824.0</v>
      </c>
      <c r="G8" s="6">
        <f>9382+7818*3</f>
        <v>32836</v>
      </c>
      <c r="H8" s="6">
        <f>17424+14520*3</f>
        <v>60984</v>
      </c>
      <c r="I8" s="2"/>
      <c r="J8" s="1">
        <v>1.0</v>
      </c>
      <c r="K8" s="7">
        <v>1.0</v>
      </c>
      <c r="L8" s="9">
        <f t="shared" ref="L8:L13" si="1">if(E8*($B$1+$I8)&lt;(F8+1),F8+1,E8*($I8+$B$1))</f>
        <v>216395.872</v>
      </c>
      <c r="M8" s="10">
        <f t="shared" ref="M8:M13" si="2">F8*($B$1+$I8)</f>
        <v>311257.856</v>
      </c>
      <c r="N8" s="9">
        <f t="shared" ref="N8:N13" si="3">if(if(G8*($B$1+$I8)&lt;(H8+1),H8+1,G8*($I8+$B$1))=1,0,if(G8*($B$1+$I8)&lt;(H8+1),H8+1,G8*($I8+$B$1)))</f>
        <v>228013.184</v>
      </c>
      <c r="O8" s="11">
        <f t="shared" ref="O8:O28" si="4">H8*($B$1+$I8)</f>
        <v>423472.896</v>
      </c>
      <c r="P8" s="11">
        <f t="shared" ref="P8:P28" si="5">M8+O8*K8*J8</f>
        <v>734730.752</v>
      </c>
      <c r="Q8" s="11">
        <f t="shared" ref="Q8:Q13" si="6">(if($A8=1,$B$4,1)*((L8*E8+F8*M8)/(E8+F8)+if(G8&gt;0,(N8*G8+H8*O8)/(G8+H8)*J8*K8,0)))*(if($U8=0,1+$B$3,1))</f>
        <v>1254836.247</v>
      </c>
      <c r="R8" s="11">
        <f t="shared" ref="R8:R28" si="7">Q8/(C8+0.5*(1/(1+$B$5)))</f>
        <v>1673114.996</v>
      </c>
      <c r="S8" s="6" t="str">
        <f t="shared" ref="S8:S28" si="8">B8</f>
        <v>Defender's Charge</v>
      </c>
      <c r="T8" s="11">
        <f t="shared" ref="T8:T28" si="9">$Q8/(($C8+if($D8&lt;=$J8,$J8,$D8)))</f>
        <v>239016.428</v>
      </c>
    </row>
    <row r="9">
      <c r="B9" s="1" t="s">
        <v>429</v>
      </c>
      <c r="C9" s="1">
        <v>0.125</v>
      </c>
      <c r="D9" s="1">
        <v>4.0</v>
      </c>
      <c r="E9" s="1">
        <v>43140.0</v>
      </c>
      <c r="F9" s="1">
        <v>52727.0</v>
      </c>
      <c r="I9" s="2"/>
      <c r="K9" s="3"/>
      <c r="L9" s="9">
        <f t="shared" si="1"/>
        <v>299564.16</v>
      </c>
      <c r="M9" s="10">
        <f t="shared" si="2"/>
        <v>366136.288</v>
      </c>
      <c r="N9" s="9">
        <f t="shared" si="3"/>
        <v>0</v>
      </c>
      <c r="O9" s="11">
        <f t="shared" si="4"/>
        <v>0</v>
      </c>
      <c r="P9" s="11">
        <f t="shared" si="5"/>
        <v>366136.288</v>
      </c>
      <c r="Q9" s="11">
        <f t="shared" si="6"/>
        <v>336178.9346</v>
      </c>
      <c r="R9" s="11">
        <f t="shared" si="7"/>
        <v>537886.2953</v>
      </c>
      <c r="S9" s="6" t="str">
        <f t="shared" si="8"/>
        <v>Provoke</v>
      </c>
      <c r="T9" s="11">
        <f t="shared" si="9"/>
        <v>81497.92353</v>
      </c>
      <c r="U9" s="1">
        <v>1.0</v>
      </c>
    </row>
    <row r="10">
      <c r="B10" s="1" t="s">
        <v>430</v>
      </c>
      <c r="C10" s="1">
        <v>0.25</v>
      </c>
      <c r="D10" s="1">
        <v>10.0</v>
      </c>
      <c r="E10" s="1">
        <v>32441.0</v>
      </c>
      <c r="F10" s="1">
        <v>43973.0</v>
      </c>
      <c r="G10" s="1">
        <v>355.0</v>
      </c>
      <c r="H10" s="1">
        <v>4345.0</v>
      </c>
      <c r="I10" s="2"/>
      <c r="J10" s="1">
        <v>10.0</v>
      </c>
      <c r="K10" s="12">
        <f>1/5</f>
        <v>0.2</v>
      </c>
      <c r="L10" s="9">
        <f t="shared" si="1"/>
        <v>225270.304</v>
      </c>
      <c r="M10" s="10">
        <f t="shared" si="2"/>
        <v>305348.512</v>
      </c>
      <c r="N10" s="9">
        <f t="shared" si="3"/>
        <v>4346</v>
      </c>
      <c r="O10" s="11">
        <f t="shared" si="4"/>
        <v>30171.68</v>
      </c>
      <c r="P10" s="11">
        <f t="shared" si="5"/>
        <v>365691.872</v>
      </c>
      <c r="Q10" s="11">
        <f t="shared" si="6"/>
        <v>655587.8668</v>
      </c>
      <c r="R10" s="11">
        <f t="shared" si="7"/>
        <v>874117.1557</v>
      </c>
      <c r="S10" s="6" t="str">
        <f t="shared" si="8"/>
        <v>Ruin Spam</v>
      </c>
      <c r="T10" s="11">
        <f t="shared" si="9"/>
        <v>63959.79188</v>
      </c>
    </row>
    <row r="11">
      <c r="B11" s="1" t="s">
        <v>431</v>
      </c>
      <c r="C11" s="1">
        <v>0.25</v>
      </c>
      <c r="D11" s="1">
        <v>10.0</v>
      </c>
      <c r="E11" s="1">
        <v>37619.0</v>
      </c>
      <c r="F11" s="1">
        <v>52081.0</v>
      </c>
      <c r="I11" s="2"/>
      <c r="K11" s="3"/>
      <c r="L11" s="9">
        <f t="shared" si="1"/>
        <v>261226.336</v>
      </c>
      <c r="M11" s="10">
        <f t="shared" si="2"/>
        <v>361650.464</v>
      </c>
      <c r="N11" s="9">
        <f t="shared" si="3"/>
        <v>0</v>
      </c>
      <c r="O11" s="11">
        <f t="shared" si="4"/>
        <v>0</v>
      </c>
      <c r="P11" s="11">
        <f t="shared" si="5"/>
        <v>361650.464</v>
      </c>
      <c r="Q11" s="11">
        <f t="shared" si="6"/>
        <v>639067.8116</v>
      </c>
      <c r="R11" s="11">
        <f t="shared" si="7"/>
        <v>852090.4154</v>
      </c>
      <c r="S11" s="6" t="str">
        <f t="shared" si="8"/>
        <v>Concussion</v>
      </c>
      <c r="T11" s="11">
        <f t="shared" si="9"/>
        <v>62348.07918</v>
      </c>
    </row>
    <row r="12">
      <c r="B12" s="1" t="s">
        <v>432</v>
      </c>
      <c r="C12" s="1">
        <v>0.25</v>
      </c>
      <c r="D12" s="1">
        <v>5.0</v>
      </c>
      <c r="E12" s="1">
        <v>39731.0</v>
      </c>
      <c r="F12" s="1">
        <v>48560.0</v>
      </c>
      <c r="I12" s="2"/>
      <c r="K12" s="3"/>
      <c r="L12" s="9">
        <f t="shared" si="1"/>
        <v>275892.064</v>
      </c>
      <c r="M12" s="10">
        <f t="shared" si="2"/>
        <v>337200.64</v>
      </c>
      <c r="N12" s="9">
        <f t="shared" si="3"/>
        <v>0</v>
      </c>
      <c r="O12" s="11">
        <f t="shared" si="4"/>
        <v>0</v>
      </c>
      <c r="P12" s="11">
        <f t="shared" si="5"/>
        <v>337200.64</v>
      </c>
      <c r="Q12" s="11">
        <f t="shared" si="6"/>
        <v>309611.7461</v>
      </c>
      <c r="R12" s="11">
        <f t="shared" si="7"/>
        <v>412815.6614</v>
      </c>
      <c r="S12" s="6" t="str">
        <f t="shared" si="8"/>
        <v>Shout</v>
      </c>
      <c r="T12" s="11">
        <f t="shared" si="9"/>
        <v>58973.66592</v>
      </c>
      <c r="U12" s="1">
        <v>1.0</v>
      </c>
    </row>
    <row r="13">
      <c r="B13" s="1" t="s">
        <v>433</v>
      </c>
      <c r="C13" s="1">
        <v>0.25</v>
      </c>
      <c r="D13" s="1">
        <v>10.0</v>
      </c>
      <c r="E13" s="1">
        <v>32441.0</v>
      </c>
      <c r="F13" s="1">
        <v>43973.0</v>
      </c>
      <c r="G13" s="1">
        <v>355.0</v>
      </c>
      <c r="H13" s="1">
        <v>4345.0</v>
      </c>
      <c r="I13" s="2"/>
      <c r="J13" s="1">
        <v>20.0</v>
      </c>
      <c r="K13" s="12">
        <f>1/5</f>
        <v>0.2</v>
      </c>
      <c r="L13" s="9">
        <f t="shared" si="1"/>
        <v>225270.304</v>
      </c>
      <c r="M13" s="10">
        <f t="shared" si="2"/>
        <v>305348.512</v>
      </c>
      <c r="N13" s="9">
        <f t="shared" si="3"/>
        <v>4346</v>
      </c>
      <c r="O13" s="11">
        <f t="shared" si="4"/>
        <v>30171.68</v>
      </c>
      <c r="P13" s="11">
        <f t="shared" si="5"/>
        <v>426035.232</v>
      </c>
      <c r="Q13" s="11">
        <f t="shared" si="6"/>
        <v>768471.9345</v>
      </c>
      <c r="R13" s="11">
        <f t="shared" si="7"/>
        <v>1024629.246</v>
      </c>
      <c r="S13" s="6" t="str">
        <f t="shared" si="8"/>
        <v>Ruin</v>
      </c>
      <c r="T13" s="11">
        <f t="shared" si="9"/>
        <v>37949.23134</v>
      </c>
    </row>
    <row r="14">
      <c r="B14" s="1" t="s">
        <v>434</v>
      </c>
      <c r="C14" s="1">
        <v>0.25</v>
      </c>
      <c r="D14" s="1">
        <v>10.0</v>
      </c>
      <c r="E14" s="1">
        <v>27954.0</v>
      </c>
      <c r="F14" s="1">
        <v>36947.0</v>
      </c>
      <c r="G14" s="1">
        <v>5201.0</v>
      </c>
      <c r="H14" s="1">
        <v>5201.0</v>
      </c>
      <c r="I14" s="2"/>
      <c r="J14" s="1">
        <v>24.0</v>
      </c>
      <c r="K14" s="12">
        <f>1/4</f>
        <v>0.25</v>
      </c>
      <c r="L14" s="9">
        <f>if(F14*($B$1+$I14)&lt;(G14+1),G14+1,F14*($I14+$B$1))</f>
        <v>256559.968</v>
      </c>
      <c r="M14" s="10">
        <f>G14*($B$1+$I14)</f>
        <v>36115.744</v>
      </c>
      <c r="N14" s="9">
        <f>if(if(H14*($B$1+$I14)&lt;(H14+1),H14+1,H14*($I14+$B$1))=1,0,if(H14*($B$1+$I14)&lt;(H14+1),H14+1,H14*($I14+$B$1)))</f>
        <v>36115.744</v>
      </c>
      <c r="O14" s="11">
        <f t="shared" si="4"/>
        <v>36115.744</v>
      </c>
      <c r="P14" s="11">
        <f t="shared" si="5"/>
        <v>252810.208</v>
      </c>
      <c r="Q14" s="11">
        <f>(if($A14=1,$B$4,1)*((L14*F14+G14*M14)/(F14+G14)+if(H14&gt;0,(N14*H14+H14*O14)/(H14+H14)*J14*K14,0)))*(if($U14=0,1+$B$3,1))</f>
        <v>892103.8906</v>
      </c>
      <c r="R14" s="11">
        <f t="shared" si="7"/>
        <v>1189471.854</v>
      </c>
      <c r="S14" s="6" t="str">
        <f t="shared" si="8"/>
        <v>Sever</v>
      </c>
      <c r="T14" s="11">
        <f t="shared" si="9"/>
        <v>36787.7893</v>
      </c>
    </row>
    <row r="15">
      <c r="B15" s="1" t="s">
        <v>435</v>
      </c>
      <c r="C15" s="1">
        <v>0.25</v>
      </c>
      <c r="D15" s="1">
        <v>30.0</v>
      </c>
      <c r="E15" s="1">
        <v>60553.0</v>
      </c>
      <c r="F15" s="1">
        <v>87991.0</v>
      </c>
      <c r="I15" s="2"/>
      <c r="K15" s="3"/>
      <c r="L15" s="9">
        <f t="shared" ref="L15:L21" si="10">if(E15*($B$1+$I15)&lt;(F15+1),F15+1,E15*($I15+$B$1))</f>
        <v>420480.032</v>
      </c>
      <c r="M15" s="10">
        <f t="shared" ref="M15:M21" si="11">F15*($B$1+$I15)</f>
        <v>611009.504</v>
      </c>
      <c r="N15" s="9">
        <f t="shared" ref="N15:N21" si="12">if(if(G15*($B$1+$I15)&lt;(H15+1),H15+1,G15*($I15+$B$1))=1,0,if(G15*($B$1+$I15)&lt;(H15+1),H15+1,G15*($I15+$B$1)))</f>
        <v>0</v>
      </c>
      <c r="O15" s="11">
        <f t="shared" si="4"/>
        <v>0</v>
      </c>
      <c r="P15" s="11">
        <f t="shared" si="5"/>
        <v>611009.504</v>
      </c>
      <c r="Q15" s="11">
        <f t="shared" ref="Q15:Q21" si="13">(if($A15=1,$B$4,1)*((L15*E15+F15*M15)/(E15+F15)+if(G15&gt;0,(N15*G15+H15*O15)/(G15+H15)*J15*K15,0)))*(if($U15=0,1+$B$3,1))</f>
        <v>1066682.796</v>
      </c>
      <c r="R15" s="11">
        <f t="shared" si="7"/>
        <v>1422243.728</v>
      </c>
      <c r="S15" s="6" t="str">
        <f t="shared" si="8"/>
        <v>Decimate</v>
      </c>
      <c r="T15" s="11">
        <f t="shared" si="9"/>
        <v>35262.2412</v>
      </c>
    </row>
    <row r="16">
      <c r="B16" s="1" t="s">
        <v>436</v>
      </c>
      <c r="C16" s="1">
        <v>0.25</v>
      </c>
      <c r="D16" s="1">
        <v>5.0</v>
      </c>
      <c r="E16" s="1">
        <v>18921.0</v>
      </c>
      <c r="F16" s="1">
        <v>29627.0</v>
      </c>
      <c r="I16" s="2"/>
      <c r="K16" s="3"/>
      <c r="L16" s="9">
        <f t="shared" si="10"/>
        <v>131387.424</v>
      </c>
      <c r="M16" s="10">
        <f t="shared" si="11"/>
        <v>205729.888</v>
      </c>
      <c r="N16" s="9">
        <f t="shared" si="12"/>
        <v>0</v>
      </c>
      <c r="O16" s="11">
        <f t="shared" si="4"/>
        <v>0</v>
      </c>
      <c r="P16" s="11">
        <f t="shared" si="5"/>
        <v>205729.888</v>
      </c>
      <c r="Q16" s="11">
        <f t="shared" si="13"/>
        <v>176755.8054</v>
      </c>
      <c r="R16" s="11">
        <f t="shared" si="7"/>
        <v>235674.4072</v>
      </c>
      <c r="S16" s="6" t="str">
        <f t="shared" si="8"/>
        <v>Overpower</v>
      </c>
      <c r="T16" s="11">
        <f t="shared" si="9"/>
        <v>33667.77246</v>
      </c>
      <c r="U16" s="1">
        <v>1.0</v>
      </c>
    </row>
    <row r="17">
      <c r="B17" s="1" t="s">
        <v>437</v>
      </c>
      <c r="C17" s="1">
        <v>0.25</v>
      </c>
      <c r="D17" s="1">
        <v>5.0</v>
      </c>
      <c r="E17" s="1">
        <v>18856.0</v>
      </c>
      <c r="F17" s="1">
        <v>29525.0</v>
      </c>
      <c r="K17" s="3"/>
      <c r="L17" s="9">
        <f t="shared" si="10"/>
        <v>130936.064</v>
      </c>
      <c r="M17" s="10">
        <f t="shared" si="11"/>
        <v>205021.6</v>
      </c>
      <c r="N17" s="9">
        <f t="shared" si="12"/>
        <v>0</v>
      </c>
      <c r="O17" s="11">
        <f t="shared" si="4"/>
        <v>0</v>
      </c>
      <c r="P17" s="11">
        <f t="shared" si="5"/>
        <v>205021.6</v>
      </c>
      <c r="Q17" s="11">
        <f t="shared" si="13"/>
        <v>176147.52</v>
      </c>
      <c r="R17" s="11">
        <f t="shared" si="7"/>
        <v>234863.3599</v>
      </c>
      <c r="S17" s="6" t="str">
        <f t="shared" si="8"/>
        <v>Gut Kick</v>
      </c>
      <c r="T17" s="11">
        <f t="shared" si="9"/>
        <v>33551.90856</v>
      </c>
      <c r="U17" s="1">
        <v>1.0</v>
      </c>
    </row>
    <row r="18">
      <c r="B18" s="1" t="s">
        <v>438</v>
      </c>
      <c r="C18" s="1">
        <v>0.25</v>
      </c>
      <c r="D18" s="1">
        <v>22.5</v>
      </c>
      <c r="E18" s="1">
        <v>40677.0</v>
      </c>
      <c r="F18" s="1">
        <v>53008.0</v>
      </c>
      <c r="G18" s="1">
        <v>10163.0</v>
      </c>
      <c r="H18" s="1">
        <v>12421.0</v>
      </c>
      <c r="I18" s="2"/>
      <c r="J18" s="1">
        <v>20.0</v>
      </c>
      <c r="K18" s="12">
        <f>1/4</f>
        <v>0.25</v>
      </c>
      <c r="L18" s="9">
        <f t="shared" si="10"/>
        <v>282461.088</v>
      </c>
      <c r="M18" s="10">
        <f t="shared" si="11"/>
        <v>368087.552</v>
      </c>
      <c r="N18" s="9">
        <f t="shared" si="12"/>
        <v>70571.872</v>
      </c>
      <c r="O18" s="11">
        <f t="shared" si="4"/>
        <v>86251.424</v>
      </c>
      <c r="P18" s="11">
        <f t="shared" si="5"/>
        <v>799344.672</v>
      </c>
      <c r="Q18" s="11">
        <f t="shared" si="13"/>
        <v>726886.9137</v>
      </c>
      <c r="R18" s="11">
        <f t="shared" si="7"/>
        <v>969182.5516</v>
      </c>
      <c r="S18" s="6" t="str">
        <f t="shared" si="8"/>
        <v>Sentinel Strike</v>
      </c>
      <c r="T18" s="11">
        <f t="shared" si="9"/>
        <v>31951.07313</v>
      </c>
      <c r="U18" s="1">
        <v>1.0</v>
      </c>
    </row>
    <row r="19">
      <c r="B19" s="1" t="s">
        <v>439</v>
      </c>
      <c r="C19" s="1">
        <v>0.25</v>
      </c>
      <c r="D19" s="1">
        <v>15.0</v>
      </c>
      <c r="E19" s="1">
        <v>40084.0</v>
      </c>
      <c r="F19" s="1">
        <v>55940.0</v>
      </c>
      <c r="I19" s="2"/>
      <c r="K19" s="3"/>
      <c r="L19" s="9">
        <f t="shared" si="10"/>
        <v>278343.296</v>
      </c>
      <c r="M19" s="10">
        <f t="shared" si="11"/>
        <v>388447.36</v>
      </c>
      <c r="N19" s="9">
        <f t="shared" si="12"/>
        <v>0</v>
      </c>
      <c r="O19" s="11">
        <f t="shared" si="4"/>
        <v>0</v>
      </c>
      <c r="P19" s="11">
        <f t="shared" si="5"/>
        <v>388447.36</v>
      </c>
      <c r="Q19" s="11">
        <f t="shared" si="13"/>
        <v>342485.816</v>
      </c>
      <c r="R19" s="11">
        <f t="shared" si="7"/>
        <v>456647.7547</v>
      </c>
      <c r="S19" s="6" t="str">
        <f t="shared" si="8"/>
        <v>Lay Waste</v>
      </c>
      <c r="T19" s="11">
        <f t="shared" si="9"/>
        <v>22458.08629</v>
      </c>
      <c r="U19" s="1">
        <v>1.0</v>
      </c>
    </row>
    <row r="20">
      <c r="B20" s="1" t="s">
        <v>440</v>
      </c>
      <c r="C20" s="1">
        <v>0.25</v>
      </c>
      <c r="D20" s="1">
        <v>10.0</v>
      </c>
      <c r="E20" s="1">
        <v>20558.0</v>
      </c>
      <c r="F20" s="1">
        <v>32191.0</v>
      </c>
      <c r="I20" s="2"/>
      <c r="K20" s="3"/>
      <c r="L20" s="9">
        <f t="shared" si="10"/>
        <v>142754.752</v>
      </c>
      <c r="M20" s="10">
        <f t="shared" si="11"/>
        <v>223534.304</v>
      </c>
      <c r="N20" s="9">
        <f t="shared" si="12"/>
        <v>0</v>
      </c>
      <c r="O20" s="11">
        <f t="shared" si="4"/>
        <v>0</v>
      </c>
      <c r="P20" s="11">
        <f t="shared" si="5"/>
        <v>223534.304</v>
      </c>
      <c r="Q20" s="11">
        <f t="shared" si="13"/>
        <v>192051.8867</v>
      </c>
      <c r="R20" s="11">
        <f t="shared" si="7"/>
        <v>256069.1823</v>
      </c>
      <c r="S20" s="6" t="str">
        <f t="shared" si="8"/>
        <v>Bash</v>
      </c>
      <c r="T20" s="11">
        <f t="shared" si="9"/>
        <v>18736.76943</v>
      </c>
      <c r="U20" s="1">
        <v>1.0</v>
      </c>
    </row>
    <row r="21">
      <c r="B21" s="1" t="s">
        <v>441</v>
      </c>
      <c r="C21" s="1">
        <v>0.25</v>
      </c>
      <c r="D21" s="1">
        <v>15.0</v>
      </c>
      <c r="E21" s="1">
        <v>32266.0</v>
      </c>
      <c r="F21" s="1">
        <v>46250.0</v>
      </c>
      <c r="I21" s="2"/>
      <c r="K21" s="3"/>
      <c r="L21" s="9">
        <f t="shared" si="10"/>
        <v>224055.104</v>
      </c>
      <c r="M21" s="10">
        <f t="shared" si="11"/>
        <v>321160</v>
      </c>
      <c r="N21" s="9">
        <f t="shared" si="12"/>
        <v>0</v>
      </c>
      <c r="O21" s="11">
        <f t="shared" si="4"/>
        <v>0</v>
      </c>
      <c r="P21" s="11">
        <f t="shared" si="5"/>
        <v>321160</v>
      </c>
      <c r="Q21" s="11">
        <f t="shared" si="13"/>
        <v>281254.9287</v>
      </c>
      <c r="R21" s="11">
        <f t="shared" si="7"/>
        <v>375006.5717</v>
      </c>
      <c r="S21" s="6" t="str">
        <f t="shared" si="8"/>
        <v>Precise Strike</v>
      </c>
      <c r="T21" s="11">
        <f t="shared" si="9"/>
        <v>18442.94615</v>
      </c>
      <c r="U21" s="1">
        <v>1.0</v>
      </c>
    </row>
    <row r="22">
      <c r="B22" s="1" t="s">
        <v>442</v>
      </c>
      <c r="C22" s="1">
        <v>0.25</v>
      </c>
      <c r="D22" s="1">
        <v>30.0</v>
      </c>
      <c r="E22" s="1">
        <v>49092.0</v>
      </c>
      <c r="F22" s="1">
        <v>70046.0</v>
      </c>
      <c r="I22" s="2"/>
      <c r="K22" s="3"/>
      <c r="L22" s="9">
        <f>if(F22*($B$1+$I22)&lt;(G22+1),G22+1,F22*($I22+$B$1))</f>
        <v>486399.424</v>
      </c>
      <c r="M22" s="10">
        <f>G22*($B$1+$I22)</f>
        <v>0</v>
      </c>
      <c r="N22" s="9">
        <f>if(if(H22*($B$1+$I22)&lt;(H22+1),H22+1,H22*($I22+$B$1))=1,0,if(H22*($B$1+$I22)&lt;(H22+1),H22+1,H22*($I22+$B$1)))</f>
        <v>0</v>
      </c>
      <c r="O22" s="11">
        <f t="shared" si="4"/>
        <v>0</v>
      </c>
      <c r="P22" s="11">
        <f t="shared" si="5"/>
        <v>0</v>
      </c>
      <c r="Q22" s="11">
        <f>(if($A22=1,$B$4,1)*((L22*F22+G22*M22)/(F22+G22)+if(H22&gt;0,(N22*H22+H22*O22)/(H22+H22)*J22*K22,0)))*(if($U22=0,1+$B$3,1))</f>
        <v>486399.424</v>
      </c>
      <c r="R22" s="11">
        <f t="shared" si="7"/>
        <v>648532.5653</v>
      </c>
      <c r="S22" s="6" t="str">
        <f t="shared" si="8"/>
        <v>Slam</v>
      </c>
      <c r="T22" s="11">
        <f t="shared" si="9"/>
        <v>16079.3198</v>
      </c>
      <c r="U22" s="1">
        <v>1.0</v>
      </c>
    </row>
    <row r="23">
      <c r="A23" s="1">
        <v>1.0</v>
      </c>
      <c r="B23" s="1" t="s">
        <v>443</v>
      </c>
      <c r="C23" s="1">
        <v>0.75</v>
      </c>
      <c r="D23" s="1">
        <v>15.0</v>
      </c>
      <c r="E23" s="1">
        <v>26634.0</v>
      </c>
      <c r="F23" s="1">
        <v>40024.0</v>
      </c>
      <c r="I23" s="2"/>
      <c r="K23" s="3"/>
      <c r="L23" s="9">
        <f t="shared" ref="L23:L28" si="14">if(E23*($B$1+$I23)&lt;(F23+1),F23+1,E23*($I23+$B$1))</f>
        <v>184946.496</v>
      </c>
      <c r="M23" s="10">
        <f t="shared" ref="M23:M28" si="15">F23*($B$1+$I23)</f>
        <v>277926.656</v>
      </c>
      <c r="N23" s="9">
        <f t="shared" ref="N23:N28" si="16">if(if(G23*($B$1+$I23)&lt;(H23+1),H23+1,G23*($I23+$B$1))=1,0,if(G23*($B$1+$I23)&lt;(H23+1),H23+1,G23*($I23+$B$1)))</f>
        <v>0</v>
      </c>
      <c r="O23" s="11">
        <f t="shared" si="4"/>
        <v>0</v>
      </c>
      <c r="P23" s="11">
        <f t="shared" si="5"/>
        <v>277926.656</v>
      </c>
      <c r="Q23" s="11">
        <f t="shared" ref="Q23:Q28" si="17">(if($A23=1,$B$4,1)*((L23*E23+F23*M23)/(E23+F23)+if(G23&gt;0,(N23*G23+H23*O23)/(G23+H23)*J23*K23,0)))*(if($U23=0,1+$B$3,1))</f>
        <v>240775.3226</v>
      </c>
      <c r="R23" s="11">
        <f t="shared" si="7"/>
        <v>192620.2581</v>
      </c>
      <c r="S23" s="6" t="str">
        <f t="shared" si="8"/>
        <v>Assault</v>
      </c>
      <c r="T23" s="11">
        <f t="shared" si="9"/>
        <v>15287.32207</v>
      </c>
      <c r="U23" s="1">
        <v>1.0</v>
      </c>
    </row>
    <row r="24">
      <c r="B24" s="1" t="s">
        <v>444</v>
      </c>
      <c r="C24" s="1">
        <v>0.25</v>
      </c>
      <c r="D24" s="1">
        <v>5.0</v>
      </c>
      <c r="E24" s="1">
        <v>8143.0</v>
      </c>
      <c r="F24" s="1">
        <v>12750.0</v>
      </c>
      <c r="I24" s="2"/>
      <c r="K24" s="3"/>
      <c r="L24" s="9">
        <f t="shared" si="14"/>
        <v>56544.992</v>
      </c>
      <c r="M24" s="10">
        <f t="shared" si="15"/>
        <v>88536</v>
      </c>
      <c r="N24" s="9">
        <f t="shared" si="16"/>
        <v>0</v>
      </c>
      <c r="O24" s="11">
        <f t="shared" si="4"/>
        <v>0</v>
      </c>
      <c r="P24" s="11">
        <f t="shared" si="5"/>
        <v>88536</v>
      </c>
      <c r="Q24" s="11">
        <f t="shared" si="17"/>
        <v>76067.57621</v>
      </c>
      <c r="R24" s="11">
        <f t="shared" si="7"/>
        <v>101423.435</v>
      </c>
      <c r="S24" s="6" t="str">
        <f t="shared" si="8"/>
        <v>Taunting Blow</v>
      </c>
      <c r="T24" s="11">
        <f t="shared" si="9"/>
        <v>14489.06214</v>
      </c>
      <c r="U24" s="1">
        <v>1.0</v>
      </c>
    </row>
    <row r="25">
      <c r="B25" s="1" t="s">
        <v>445</v>
      </c>
      <c r="C25" s="1">
        <v>0.5</v>
      </c>
      <c r="D25" s="1">
        <v>60.0</v>
      </c>
      <c r="E25" s="1">
        <v>72243.0</v>
      </c>
      <c r="F25" s="1">
        <v>121032.0</v>
      </c>
      <c r="I25" s="2"/>
      <c r="K25" s="3"/>
      <c r="L25" s="9">
        <f t="shared" si="14"/>
        <v>501655.392</v>
      </c>
      <c r="M25" s="10">
        <f t="shared" si="15"/>
        <v>840446.208</v>
      </c>
      <c r="N25" s="9">
        <f t="shared" si="16"/>
        <v>0</v>
      </c>
      <c r="O25" s="11">
        <f t="shared" si="4"/>
        <v>0</v>
      </c>
      <c r="P25" s="11">
        <f t="shared" si="5"/>
        <v>840446.208</v>
      </c>
      <c r="Q25" s="11">
        <f t="shared" si="17"/>
        <v>713811.8015</v>
      </c>
      <c r="R25" s="11">
        <f t="shared" si="7"/>
        <v>713811.8015</v>
      </c>
      <c r="S25" s="6" t="str">
        <f t="shared" si="8"/>
        <v>Partisan Cleave</v>
      </c>
      <c r="T25" s="11">
        <f t="shared" si="9"/>
        <v>11798.54217</v>
      </c>
      <c r="U25" s="1">
        <v>1.0</v>
      </c>
    </row>
    <row r="26">
      <c r="B26" s="1" t="s">
        <v>446</v>
      </c>
      <c r="C26" s="1">
        <v>0.25</v>
      </c>
      <c r="D26" s="1">
        <v>30.0</v>
      </c>
      <c r="E26" s="1">
        <v>39001.0</v>
      </c>
      <c r="F26" s="1">
        <v>54244.0</v>
      </c>
      <c r="I26" s="2"/>
      <c r="K26" s="3"/>
      <c r="L26" s="9">
        <f t="shared" si="14"/>
        <v>270822.944</v>
      </c>
      <c r="M26" s="10">
        <f t="shared" si="15"/>
        <v>376670.336</v>
      </c>
      <c r="N26" s="9">
        <f t="shared" si="16"/>
        <v>0</v>
      </c>
      <c r="O26" s="11">
        <f t="shared" si="4"/>
        <v>0</v>
      </c>
      <c r="P26" s="11">
        <f t="shared" si="5"/>
        <v>376670.336</v>
      </c>
      <c r="Q26" s="11">
        <f t="shared" si="17"/>
        <v>332398.2127</v>
      </c>
      <c r="R26" s="11">
        <f t="shared" si="7"/>
        <v>443197.617</v>
      </c>
      <c r="S26" s="6" t="str">
        <f t="shared" si="8"/>
        <v>Retaliate</v>
      </c>
      <c r="T26" s="11">
        <f t="shared" si="9"/>
        <v>10988.37067</v>
      </c>
      <c r="U26" s="1">
        <v>1.0</v>
      </c>
    </row>
    <row r="27">
      <c r="A27" s="1">
        <v>1.0</v>
      </c>
      <c r="B27" s="1" t="s">
        <v>447</v>
      </c>
      <c r="C27" s="1">
        <v>0.25</v>
      </c>
      <c r="D27" s="1">
        <v>15.0</v>
      </c>
      <c r="E27" s="1">
        <v>13092.0</v>
      </c>
      <c r="F27" s="1">
        <v>20500.0</v>
      </c>
      <c r="I27" s="2"/>
      <c r="K27" s="3"/>
      <c r="L27" s="9">
        <f t="shared" si="14"/>
        <v>90910.848</v>
      </c>
      <c r="M27" s="10">
        <f t="shared" si="15"/>
        <v>142352</v>
      </c>
      <c r="N27" s="9">
        <f t="shared" si="16"/>
        <v>0</v>
      </c>
      <c r="O27" s="11">
        <f t="shared" si="4"/>
        <v>0</v>
      </c>
      <c r="P27" s="11">
        <f t="shared" si="5"/>
        <v>142352</v>
      </c>
      <c r="Q27" s="11">
        <f t="shared" si="17"/>
        <v>122303.5491</v>
      </c>
      <c r="R27" s="11">
        <f t="shared" si="7"/>
        <v>163071.3988</v>
      </c>
      <c r="S27" s="6" t="str">
        <f t="shared" si="8"/>
        <v>Taunting Ass</v>
      </c>
      <c r="T27" s="11">
        <f t="shared" si="9"/>
        <v>8019.90486</v>
      </c>
      <c r="U27" s="1">
        <v>1.0</v>
      </c>
    </row>
    <row r="28">
      <c r="B28" s="1" t="s">
        <v>448</v>
      </c>
      <c r="C28" s="1">
        <v>0.25</v>
      </c>
      <c r="D28" s="1">
        <v>90.0</v>
      </c>
      <c r="E28" s="1">
        <v>30932.0</v>
      </c>
      <c r="F28" s="1">
        <v>39063.0</v>
      </c>
      <c r="I28" s="2"/>
      <c r="K28" s="3"/>
      <c r="L28" s="9">
        <f t="shared" si="14"/>
        <v>214791.808</v>
      </c>
      <c r="M28" s="10">
        <f t="shared" si="15"/>
        <v>271253.472</v>
      </c>
      <c r="N28" s="9">
        <f t="shared" si="16"/>
        <v>0</v>
      </c>
      <c r="O28" s="11">
        <f t="shared" si="4"/>
        <v>0</v>
      </c>
      <c r="P28" s="11">
        <f t="shared" si="5"/>
        <v>271253.472</v>
      </c>
      <c r="Q28" s="11">
        <f t="shared" si="17"/>
        <v>246302.087</v>
      </c>
      <c r="R28" s="11">
        <f t="shared" si="7"/>
        <v>328402.7827</v>
      </c>
      <c r="S28" s="6" t="str">
        <f t="shared" si="8"/>
        <v>Sneering Ass</v>
      </c>
      <c r="T28" s="11">
        <f t="shared" si="9"/>
        <v>2729.108998</v>
      </c>
      <c r="U28" s="1">
        <v>1.0</v>
      </c>
    </row>
    <row r="29">
      <c r="I29" s="2"/>
      <c r="K29" s="3"/>
      <c r="L29" s="9"/>
      <c r="M29" s="10"/>
      <c r="N29" s="9"/>
      <c r="O29" s="11"/>
      <c r="P29" s="11"/>
      <c r="Q29" s="11"/>
      <c r="R29" s="11"/>
      <c r="T29" s="11"/>
    </row>
    <row r="30">
      <c r="I30" s="2"/>
      <c r="K30" s="3"/>
      <c r="L30" s="9"/>
      <c r="M30" s="10"/>
      <c r="N30" s="9"/>
      <c r="O30" s="11"/>
      <c r="P30" s="11"/>
      <c r="Q30" s="11"/>
      <c r="R30" s="11"/>
      <c r="T30" s="11"/>
    </row>
    <row r="31">
      <c r="I31" s="2"/>
      <c r="K31" s="3"/>
      <c r="L31" s="9"/>
      <c r="M31" s="10"/>
      <c r="N31" s="9"/>
      <c r="O31" s="11"/>
      <c r="P31" s="11"/>
      <c r="Q31" s="11"/>
      <c r="R31" s="11"/>
      <c r="T31" s="11"/>
    </row>
    <row r="32">
      <c r="J32" s="2"/>
      <c r="L32" s="3"/>
      <c r="M32" s="9"/>
      <c r="N32" s="10"/>
      <c r="O32" s="9"/>
      <c r="P32" s="11"/>
      <c r="Q32" s="11"/>
      <c r="R32" s="11"/>
      <c r="S32" s="11"/>
      <c r="U32" s="11"/>
    </row>
    <row r="33">
      <c r="I33" s="2"/>
      <c r="K33" s="3"/>
      <c r="L33" s="9"/>
      <c r="M33" s="10"/>
      <c r="N33" s="9"/>
      <c r="O33" s="11"/>
      <c r="P33" s="11"/>
      <c r="Q33" s="11"/>
      <c r="R33" s="11"/>
      <c r="T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8">E27</f>
        <v>13092</v>
      </c>
      <c r="G61" s="6">
        <f t="shared" si="18"/>
        <v>20500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19">F$61*0.85^($E62-1)</f>
        <v>13092</v>
      </c>
      <c r="G62" s="6">
        <f t="shared" si="19"/>
        <v>20500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20">F$61*0.85^($D63-1)</f>
        <v>11128.2</v>
      </c>
      <c r="F63" s="6">
        <f t="shared" si="20"/>
        <v>17425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22">D63+1</f>
        <v>3</v>
      </c>
      <c r="E64" s="6">
        <f t="shared" ref="E64:F64" si="21">F$61*0.85^($D64-1)</f>
        <v>9458.97</v>
      </c>
      <c r="F64" s="6">
        <f t="shared" si="21"/>
        <v>14811.25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22"/>
        <v>4</v>
      </c>
      <c r="E65" s="6">
        <f t="shared" ref="E65:F65" si="23">F$61*0.85^($D65-1)</f>
        <v>8040.1245</v>
      </c>
      <c r="F65" s="6">
        <f t="shared" si="23"/>
        <v>12589.5625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22"/>
        <v>5</v>
      </c>
      <c r="E66" s="6">
        <f t="shared" ref="E66:F66" si="24">F$61*0.85^($D66-1)</f>
        <v>6834.105825</v>
      </c>
      <c r="F66" s="6">
        <f t="shared" si="24"/>
        <v>10701.12813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22"/>
        <v>6</v>
      </c>
      <c r="E67" s="6">
        <f t="shared" ref="E67:F67" si="25">F$61*0.85^($D67-1)</f>
        <v>5808.989951</v>
      </c>
      <c r="F67" s="6">
        <f t="shared" si="25"/>
        <v>9095.958906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22"/>
        <v>7</v>
      </c>
      <c r="E68" s="6">
        <f t="shared" ref="E68:F68" si="26">F$61*0.85^($D68-1)</f>
        <v>4937.641459</v>
      </c>
      <c r="F68" s="6">
        <f t="shared" si="26"/>
        <v>7731.56507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22"/>
        <v>8</v>
      </c>
      <c r="E69" s="6">
        <f t="shared" ref="E69:F69" si="27">F$61*0.85^($D69-1)</f>
        <v>4196.99524</v>
      </c>
      <c r="F69" s="6">
        <f t="shared" si="27"/>
        <v>6571.83031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22"/>
        <v>9</v>
      </c>
      <c r="E70" s="6">
        <f t="shared" ref="E70:F70" si="28">F$61*0.85^($D70-1)</f>
        <v>3567.445954</v>
      </c>
      <c r="F70" s="6">
        <f t="shared" si="28"/>
        <v>5586.055763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22"/>
        <v>10</v>
      </c>
      <c r="E71" s="6">
        <f t="shared" ref="E71:F71" si="29">F$61*0.85^($D71-1)</f>
        <v>3032.329061</v>
      </c>
      <c r="F71" s="6">
        <f t="shared" si="29"/>
        <v>4748.147399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22"/>
        <v>11</v>
      </c>
      <c r="E72" s="6">
        <f t="shared" ref="E72:F72" si="30">F$61*0.85^($D72-1)</f>
        <v>2577.479702</v>
      </c>
      <c r="F72" s="6">
        <f t="shared" si="30"/>
        <v>4035.925289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22"/>
        <v>12</v>
      </c>
      <c r="E73" s="6">
        <f t="shared" ref="E73:F73" si="31">F$61*0.85^($D73-1)</f>
        <v>2190.857746</v>
      </c>
      <c r="F73" s="6">
        <f t="shared" si="31"/>
        <v>3430.536496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22"/>
        <v>13</v>
      </c>
      <c r="E74" s="6">
        <f t="shared" ref="E74:F74" si="32">F$61*0.85^($D74-1)</f>
        <v>1862.229084</v>
      </c>
      <c r="F74" s="6">
        <f t="shared" si="32"/>
        <v>2915.956021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22"/>
        <v>14</v>
      </c>
      <c r="E75" s="6">
        <f t="shared" ref="E75:F75" si="33">F$61*0.85^($D75-1)</f>
        <v>1582.894722</v>
      </c>
      <c r="F75" s="6">
        <f t="shared" si="33"/>
        <v>2478.562618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22"/>
        <v>15</v>
      </c>
      <c r="E76" s="6">
        <f t="shared" ref="E76:F76" si="34">F$61*0.85^($D76-1)</f>
        <v>1345.460513</v>
      </c>
      <c r="F76" s="6">
        <f t="shared" si="34"/>
        <v>2106.778225</v>
      </c>
      <c r="I76" s="2"/>
      <c r="K76" s="3"/>
      <c r="L76" s="4"/>
    </row>
    <row r="77">
      <c r="B77" s="1" t="s">
        <v>90</v>
      </c>
      <c r="D77" s="6">
        <f t="shared" si="22"/>
        <v>16</v>
      </c>
      <c r="E77" s="6">
        <f t="shared" ref="E77:F77" si="35">F$61*0.85^($D77-1)</f>
        <v>1143.641436</v>
      </c>
      <c r="F77" s="6">
        <f t="shared" si="35"/>
        <v>1790.761492</v>
      </c>
      <c r="I77" s="2"/>
      <c r="K77" s="3"/>
      <c r="L77" s="4"/>
    </row>
    <row r="78">
      <c r="D78" s="6">
        <f t="shared" si="22"/>
        <v>17</v>
      </c>
      <c r="E78" s="6">
        <f t="shared" ref="E78:F78" si="36">F$61*0.85^($D78-1)</f>
        <v>972.095221</v>
      </c>
      <c r="F78" s="6">
        <f t="shared" si="36"/>
        <v>1522.147268</v>
      </c>
      <c r="I78" s="2"/>
      <c r="K78" s="3"/>
      <c r="L78" s="4"/>
    </row>
    <row r="79">
      <c r="D79" s="6">
        <f t="shared" si="22"/>
        <v>18</v>
      </c>
      <c r="E79" s="6">
        <f t="shared" ref="E79:F79" si="37">F$61*0.85^($D79-1)</f>
        <v>826.2809379</v>
      </c>
      <c r="F79" s="6">
        <f t="shared" si="37"/>
        <v>1293.825178</v>
      </c>
      <c r="I79" s="2"/>
      <c r="K79" s="3"/>
      <c r="L79" s="4"/>
    </row>
    <row r="80">
      <c r="D80" s="6">
        <f t="shared" si="22"/>
        <v>19</v>
      </c>
      <c r="E80" s="6">
        <f t="shared" ref="E80:F80" si="38">F$61*0.85^($D80-1)</f>
        <v>702.3387972</v>
      </c>
      <c r="F80" s="6">
        <f t="shared" si="38"/>
        <v>1099.751401</v>
      </c>
      <c r="I80" s="2"/>
      <c r="K80" s="3"/>
      <c r="L80" s="4"/>
    </row>
    <row r="81">
      <c r="D81" s="6">
        <f t="shared" si="22"/>
        <v>20</v>
      </c>
      <c r="E81" s="6">
        <f t="shared" ref="E81:F81" si="39">F$61*0.85^($D81-1)</f>
        <v>596.9879776</v>
      </c>
      <c r="F81" s="6">
        <f t="shared" si="39"/>
        <v>934.7886909</v>
      </c>
      <c r="I81" s="2"/>
      <c r="K81" s="3"/>
      <c r="L81" s="4"/>
    </row>
    <row r="82">
      <c r="E82" s="6">
        <f t="shared" ref="E82:F82" si="40">sum(E63:E81)</f>
        <v>70805.06813</v>
      </c>
      <c r="F82" s="6">
        <f t="shared" si="40"/>
        <v>110869.5308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U$54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5.444+1.5</f>
        <v>6.944</v>
      </c>
      <c r="C1" s="54" t="s">
        <v>449</v>
      </c>
      <c r="I1" s="2"/>
      <c r="K1" s="3"/>
      <c r="L1" s="4"/>
    </row>
    <row r="2">
      <c r="A2" s="1" t="s">
        <v>1</v>
      </c>
      <c r="B2" s="5">
        <v>0.32</v>
      </c>
      <c r="C2" s="54" t="s">
        <v>450</v>
      </c>
      <c r="I2" s="2"/>
      <c r="K2" s="3"/>
      <c r="L2" s="4"/>
    </row>
    <row r="3">
      <c r="A3" s="1" t="s">
        <v>2</v>
      </c>
      <c r="B3" s="19">
        <v>0.06</v>
      </c>
      <c r="I3" s="2"/>
      <c r="K3" s="3"/>
      <c r="L3" s="4"/>
    </row>
    <row r="4">
      <c r="A4" s="1" t="s">
        <v>3</v>
      </c>
      <c r="B4" s="1">
        <v>2.0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A8" s="1">
        <v>1.0</v>
      </c>
      <c r="B8" s="1" t="s">
        <v>451</v>
      </c>
      <c r="C8" s="1">
        <v>0.5</v>
      </c>
      <c r="D8" s="1">
        <v>7.5</v>
      </c>
      <c r="E8" s="1">
        <v>29267.0</v>
      </c>
      <c r="F8" s="1">
        <v>43439.0</v>
      </c>
      <c r="G8" s="1">
        <v>4391.0</v>
      </c>
      <c r="H8" s="1">
        <v>8155.0</v>
      </c>
      <c r="I8" s="2"/>
      <c r="J8" s="1">
        <v>3.0</v>
      </c>
      <c r="K8" s="7">
        <v>1.0</v>
      </c>
      <c r="L8" s="9">
        <f t="shared" ref="L8:L11" si="1">if(E8*($B$1+$I8)&lt;(F8+1),F8+1,E8*($I8+$B$1))</f>
        <v>203230.048</v>
      </c>
      <c r="M8" s="10">
        <f t="shared" ref="M8:M11" si="2">F8*($B$1+$I8)</f>
        <v>301640.416</v>
      </c>
      <c r="N8" s="9">
        <f t="shared" ref="N8:N11" si="3">if(if(G8*($B$1+$I8)&lt;(H8+1),H8+1,G8*($I8+$B$1))=1,0,if(G8*($B$1+$I8)&lt;(H8+1),H8+1,G8*($I8+$B$1)))</f>
        <v>30491.104</v>
      </c>
      <c r="O8" s="11">
        <f t="shared" ref="O8:O28" si="4">H8*($B$1+$I8)</f>
        <v>56628.32</v>
      </c>
      <c r="P8" s="11">
        <f t="shared" ref="P8:P28" si="5">M8+O8*K8*J8</f>
        <v>471525.376</v>
      </c>
      <c r="Q8" s="11">
        <f t="shared" ref="Q8:Q11" si="6">(if($A8=1,$B$4,1)*((L8*E8+F8*M8)/(E8+F8)+if(G8&gt;0,(N8*G8+H8*O8)/(G8+H8)*J8*K8,0)))*(if($U8=0,1+$B$3,1))</f>
        <v>808935.8276</v>
      </c>
      <c r="R8" s="11">
        <f t="shared" ref="R8:R28" si="7">Q8/(C8+0.5*(1/(1+$B$2)))</f>
        <v>920513.1831</v>
      </c>
      <c r="S8" s="6" t="str">
        <f t="shared" ref="S8:S28" si="8">B8</f>
        <v>Saga of Bloodshed</v>
      </c>
      <c r="T8" s="11">
        <f t="shared" ref="T8:T28" si="9">$Q8/(($C8+if($D8&lt;=$J8,$J8,$D8)))</f>
        <v>101116.9784</v>
      </c>
      <c r="U8" s="1">
        <v>1.0</v>
      </c>
    </row>
    <row r="9">
      <c r="B9" s="1" t="s">
        <v>452</v>
      </c>
      <c r="C9" s="1">
        <v>0.125</v>
      </c>
      <c r="D9" s="1">
        <v>4.0</v>
      </c>
      <c r="E9" s="1">
        <v>45762.0</v>
      </c>
      <c r="F9" s="1">
        <v>55858.0</v>
      </c>
      <c r="I9" s="2"/>
      <c r="K9" s="3"/>
      <c r="L9" s="9">
        <f t="shared" si="1"/>
        <v>317771.328</v>
      </c>
      <c r="M9" s="10">
        <f t="shared" si="2"/>
        <v>387877.952</v>
      </c>
      <c r="N9" s="9">
        <f t="shared" si="3"/>
        <v>0</v>
      </c>
      <c r="O9" s="11">
        <f t="shared" si="4"/>
        <v>0</v>
      </c>
      <c r="P9" s="11">
        <f t="shared" si="5"/>
        <v>387877.952</v>
      </c>
      <c r="Q9" s="11">
        <f t="shared" si="6"/>
        <v>377685.6371</v>
      </c>
      <c r="R9" s="11">
        <f t="shared" si="7"/>
        <v>749691.791</v>
      </c>
      <c r="S9" s="6" t="str">
        <f t="shared" si="8"/>
        <v>Mock</v>
      </c>
      <c r="T9" s="11">
        <f t="shared" si="9"/>
        <v>91560.15445</v>
      </c>
    </row>
    <row r="10">
      <c r="A10" s="1">
        <v>1.0</v>
      </c>
      <c r="B10" s="1" t="s">
        <v>453</v>
      </c>
      <c r="C10" s="1">
        <v>0.125</v>
      </c>
      <c r="D10" s="1">
        <v>10.0</v>
      </c>
      <c r="E10" s="1">
        <v>42146.0</v>
      </c>
      <c r="F10" s="1">
        <v>51443.0</v>
      </c>
      <c r="I10" s="2"/>
      <c r="K10" s="3"/>
      <c r="L10" s="9">
        <f t="shared" si="1"/>
        <v>292661.824</v>
      </c>
      <c r="M10" s="10">
        <f t="shared" si="2"/>
        <v>357220.192</v>
      </c>
      <c r="N10" s="9">
        <f t="shared" si="3"/>
        <v>0</v>
      </c>
      <c r="O10" s="11">
        <f t="shared" si="4"/>
        <v>0</v>
      </c>
      <c r="P10" s="11">
        <f t="shared" si="5"/>
        <v>357220.192</v>
      </c>
      <c r="Q10" s="11">
        <f t="shared" si="6"/>
        <v>695672.863</v>
      </c>
      <c r="R10" s="11">
        <f t="shared" si="7"/>
        <v>1380884.48</v>
      </c>
      <c r="S10" s="6" t="str">
        <f t="shared" si="8"/>
        <v>Enrage</v>
      </c>
      <c r="T10" s="11">
        <f t="shared" si="9"/>
        <v>68708.43091</v>
      </c>
    </row>
    <row r="11">
      <c r="A11" s="1">
        <v>1.0</v>
      </c>
      <c r="B11" s="1" t="s">
        <v>454</v>
      </c>
      <c r="C11" s="1">
        <v>0.75</v>
      </c>
      <c r="D11" s="1">
        <v>22.5</v>
      </c>
      <c r="E11" s="1">
        <v>75790.0</v>
      </c>
      <c r="F11" s="1">
        <v>117313.0</v>
      </c>
      <c r="I11" s="2"/>
      <c r="K11" s="3"/>
      <c r="L11" s="9">
        <f t="shared" si="1"/>
        <v>526285.76</v>
      </c>
      <c r="M11" s="10">
        <f t="shared" si="2"/>
        <v>814621.472</v>
      </c>
      <c r="N11" s="9">
        <f t="shared" si="3"/>
        <v>0</v>
      </c>
      <c r="O11" s="11">
        <f t="shared" si="4"/>
        <v>0</v>
      </c>
      <c r="P11" s="11">
        <f t="shared" si="5"/>
        <v>814621.472</v>
      </c>
      <c r="Q11" s="11">
        <f t="shared" si="6"/>
        <v>1402908.153</v>
      </c>
      <c r="R11" s="11">
        <f t="shared" si="7"/>
        <v>1242844.806</v>
      </c>
      <c r="S11" s="6" t="str">
        <f t="shared" si="8"/>
        <v>Berserker Onslaught</v>
      </c>
      <c r="T11" s="11">
        <f t="shared" si="9"/>
        <v>60340.1356</v>
      </c>
      <c r="U11" s="1">
        <v>1.0</v>
      </c>
    </row>
    <row r="12">
      <c r="B12" s="1" t="s">
        <v>455</v>
      </c>
      <c r="C12" s="1">
        <v>0.25</v>
      </c>
      <c r="D12" s="1">
        <v>5.0</v>
      </c>
      <c r="E12" s="1">
        <v>17471.0</v>
      </c>
      <c r="F12" s="1">
        <v>37557.0</v>
      </c>
      <c r="I12" s="2"/>
      <c r="K12" s="3"/>
      <c r="L12" s="9">
        <f t="shared" ref="L12:L13" si="10">if(F12*($B$1+$I12)&lt;(G12+1),G12+1,F12*($I12+$B$1))</f>
        <v>260795.808</v>
      </c>
      <c r="M12" s="10">
        <f t="shared" ref="M12:M13" si="11">G12*($B$1+$I12)</f>
        <v>0</v>
      </c>
      <c r="N12" s="9">
        <f t="shared" ref="N12:N13" si="12">if(if(H12*($B$1+$I12)&lt;(H12+1),H12+1,H12*($I12+$B$1))=1,0,if(H12*($B$1+$I12)&lt;(H12+1),H12+1,H12*($I12+$B$1)))</f>
        <v>0</v>
      </c>
      <c r="O12" s="11">
        <f t="shared" si="4"/>
        <v>0</v>
      </c>
      <c r="P12" s="11">
        <f t="shared" si="5"/>
        <v>0</v>
      </c>
      <c r="Q12" s="11">
        <f t="shared" ref="Q12:Q13" si="13">(if($A12=1,$B$4,1)*((L12*F12+G12*M12)/(F12+G12)+if(H12&gt;0,(N12*H12+H12*O12)/(H12+H12)*J12*K12,0)))*(if($U12=0,1+$B$3,1))</f>
        <v>260795.808</v>
      </c>
      <c r="R12" s="11">
        <f t="shared" si="7"/>
        <v>414759.5983</v>
      </c>
      <c r="S12" s="6" t="str">
        <f t="shared" si="8"/>
        <v>Rupture</v>
      </c>
      <c r="T12" s="11">
        <f t="shared" si="9"/>
        <v>49675.392</v>
      </c>
      <c r="U12" s="1">
        <v>1.0</v>
      </c>
    </row>
    <row r="13">
      <c r="A13" s="1">
        <v>1.0</v>
      </c>
      <c r="B13" s="1" t="s">
        <v>445</v>
      </c>
      <c r="C13" s="1">
        <v>0.5</v>
      </c>
      <c r="D13" s="1">
        <v>60.0</v>
      </c>
      <c r="E13" s="1">
        <v>132435.0</v>
      </c>
      <c r="F13" s="1">
        <v>207262.0</v>
      </c>
      <c r="I13" s="2"/>
      <c r="K13" s="3"/>
      <c r="L13" s="9">
        <f t="shared" si="10"/>
        <v>1439227.328</v>
      </c>
      <c r="M13" s="10">
        <f t="shared" si="11"/>
        <v>0</v>
      </c>
      <c r="N13" s="9">
        <f t="shared" si="12"/>
        <v>0</v>
      </c>
      <c r="O13" s="11">
        <f t="shared" si="4"/>
        <v>0</v>
      </c>
      <c r="P13" s="11">
        <f t="shared" si="5"/>
        <v>0</v>
      </c>
      <c r="Q13" s="11">
        <f t="shared" si="13"/>
        <v>2878454.656</v>
      </c>
      <c r="R13" s="11">
        <f t="shared" si="7"/>
        <v>3275482.884</v>
      </c>
      <c r="S13" s="6" t="str">
        <f t="shared" si="8"/>
        <v>Partisan Cleave</v>
      </c>
      <c r="T13" s="11">
        <f t="shared" si="9"/>
        <v>47577.76291</v>
      </c>
      <c r="U13" s="1">
        <v>1.0</v>
      </c>
    </row>
    <row r="14">
      <c r="A14" s="1">
        <v>1.0</v>
      </c>
      <c r="B14" s="1" t="s">
        <v>456</v>
      </c>
      <c r="C14" s="1">
        <v>0.75</v>
      </c>
      <c r="D14" s="1">
        <v>90.0</v>
      </c>
      <c r="E14" s="1">
        <v>15330.0</v>
      </c>
      <c r="F14" s="1">
        <v>24343.0</v>
      </c>
      <c r="G14" s="1">
        <v>15330.0</v>
      </c>
      <c r="H14" s="1">
        <v>24343.0</v>
      </c>
      <c r="I14" s="2"/>
      <c r="J14" s="1">
        <v>13.0</v>
      </c>
      <c r="K14" s="7">
        <v>1.0</v>
      </c>
      <c r="L14" s="9">
        <f t="shared" ref="L14:L28" si="14">if(E14*($B$1+$I14)&lt;(F14+1),F14+1,E14*($I14+$B$1))</f>
        <v>106451.52</v>
      </c>
      <c r="M14" s="10">
        <f t="shared" ref="M14:M28" si="15">F14*($B$1+$I14)</f>
        <v>169037.792</v>
      </c>
      <c r="N14" s="9">
        <f t="shared" ref="N14:N28" si="16">if(if(G14*($B$1+$I14)&lt;(H14+1),H14+1,G14*($I14+$B$1))=1,0,if(G14*($B$1+$I14)&lt;(H14+1),H14+1,G14*($I14+$B$1)))</f>
        <v>106451.52</v>
      </c>
      <c r="O14" s="11">
        <f t="shared" si="4"/>
        <v>169037.792</v>
      </c>
      <c r="P14" s="11">
        <f t="shared" si="5"/>
        <v>2366529.088</v>
      </c>
      <c r="Q14" s="11">
        <f t="shared" ref="Q14:Q28" si="17">(if($A14=1,$B$4,1)*((L14*E14+F14*M14)/(E14+F14)+if(G14&gt;0,(N14*G14+H14*O14)/(G14+H14)*J14*K14,0)))*(if($U14=0,1+$B$3,1))</f>
        <v>4055909.198</v>
      </c>
      <c r="R14" s="11">
        <f t="shared" si="7"/>
        <v>3593154.458</v>
      </c>
      <c r="S14" s="6" t="str">
        <f t="shared" si="8"/>
        <v>Rampage</v>
      </c>
      <c r="T14" s="11">
        <f t="shared" si="9"/>
        <v>44693.21431</v>
      </c>
      <c r="U14" s="1">
        <v>1.0</v>
      </c>
    </row>
    <row r="15">
      <c r="B15" s="1" t="s">
        <v>457</v>
      </c>
      <c r="C15" s="1">
        <v>0.25</v>
      </c>
      <c r="D15" s="1">
        <v>5.0</v>
      </c>
      <c r="E15" s="1">
        <v>16174.0</v>
      </c>
      <c r="F15" s="1">
        <v>34769.0</v>
      </c>
      <c r="I15" s="2"/>
      <c r="K15" s="3"/>
      <c r="L15" s="9">
        <f t="shared" si="14"/>
        <v>112312.256</v>
      </c>
      <c r="M15" s="10">
        <f t="shared" si="15"/>
        <v>241435.936</v>
      </c>
      <c r="N15" s="9">
        <f t="shared" si="16"/>
        <v>0</v>
      </c>
      <c r="O15" s="11">
        <f t="shared" si="4"/>
        <v>0</v>
      </c>
      <c r="P15" s="11">
        <f t="shared" si="5"/>
        <v>241435.936</v>
      </c>
      <c r="Q15" s="11">
        <f t="shared" si="17"/>
        <v>200440.1878</v>
      </c>
      <c r="R15" s="11">
        <f t="shared" si="7"/>
        <v>318772.3469</v>
      </c>
      <c r="S15" s="6" t="str">
        <f t="shared" si="8"/>
        <v>Knee Break</v>
      </c>
      <c r="T15" s="11">
        <f t="shared" si="9"/>
        <v>38179.08339</v>
      </c>
      <c r="U15" s="1">
        <v>1.0</v>
      </c>
    </row>
    <row r="16">
      <c r="A16" s="1">
        <v>1.0</v>
      </c>
      <c r="B16" s="1" t="s">
        <v>458</v>
      </c>
      <c r="C16" s="1">
        <v>0.25</v>
      </c>
      <c r="D16" s="1">
        <v>30.0</v>
      </c>
      <c r="E16" s="1">
        <v>42453.0</v>
      </c>
      <c r="F16" s="1">
        <v>85322.0</v>
      </c>
      <c r="I16" s="2"/>
      <c r="K16" s="3"/>
      <c r="L16" s="9">
        <f t="shared" si="14"/>
        <v>294793.632</v>
      </c>
      <c r="M16" s="10">
        <f t="shared" si="15"/>
        <v>592475.968</v>
      </c>
      <c r="N16" s="9">
        <f t="shared" si="16"/>
        <v>0</v>
      </c>
      <c r="O16" s="11">
        <f t="shared" si="4"/>
        <v>0</v>
      </c>
      <c r="P16" s="11">
        <f t="shared" si="5"/>
        <v>592475.968</v>
      </c>
      <c r="Q16" s="11">
        <f t="shared" si="17"/>
        <v>987143.1595</v>
      </c>
      <c r="R16" s="11">
        <f t="shared" si="7"/>
        <v>1569914.422</v>
      </c>
      <c r="S16" s="6" t="str">
        <f t="shared" si="8"/>
        <v>Utter Destruction</v>
      </c>
      <c r="T16" s="11">
        <f t="shared" si="9"/>
        <v>32632.83172</v>
      </c>
      <c r="U16" s="1">
        <v>1.0</v>
      </c>
    </row>
    <row r="17">
      <c r="B17" s="1" t="s">
        <v>459</v>
      </c>
      <c r="C17" s="1">
        <v>0.25</v>
      </c>
      <c r="D17" s="1">
        <v>10.0</v>
      </c>
      <c r="E17" s="1">
        <v>37629.0</v>
      </c>
      <c r="F17" s="1">
        <v>53070.0</v>
      </c>
      <c r="K17" s="3"/>
      <c r="L17" s="9">
        <f t="shared" si="14"/>
        <v>261295.776</v>
      </c>
      <c r="M17" s="10">
        <f t="shared" si="15"/>
        <v>368518.08</v>
      </c>
      <c r="N17" s="9">
        <f t="shared" si="16"/>
        <v>0</v>
      </c>
      <c r="O17" s="11">
        <f t="shared" si="4"/>
        <v>0</v>
      </c>
      <c r="P17" s="11">
        <f t="shared" si="5"/>
        <v>368518.08</v>
      </c>
      <c r="Q17" s="11">
        <f t="shared" si="17"/>
        <v>324033.9283</v>
      </c>
      <c r="R17" s="11">
        <f t="shared" si="7"/>
        <v>515331.0667</v>
      </c>
      <c r="S17" s="6" t="str">
        <f t="shared" si="8"/>
        <v>Maul</v>
      </c>
      <c r="T17" s="11">
        <f t="shared" si="9"/>
        <v>31613.06617</v>
      </c>
      <c r="U17" s="1">
        <v>1.0</v>
      </c>
    </row>
    <row r="18">
      <c r="A18" s="1">
        <v>1.0</v>
      </c>
      <c r="B18" s="1" t="s">
        <v>460</v>
      </c>
      <c r="C18" s="1">
        <v>0.5</v>
      </c>
      <c r="D18" s="1">
        <v>22.5</v>
      </c>
      <c r="E18" s="1">
        <v>39790.0</v>
      </c>
      <c r="F18" s="1">
        <v>52429.0</v>
      </c>
      <c r="I18" s="2"/>
      <c r="K18" s="3"/>
      <c r="L18" s="9">
        <f t="shared" si="14"/>
        <v>276301.76</v>
      </c>
      <c r="M18" s="10">
        <f t="shared" si="15"/>
        <v>364066.976</v>
      </c>
      <c r="N18" s="9">
        <f t="shared" si="16"/>
        <v>0</v>
      </c>
      <c r="O18" s="11">
        <f t="shared" si="4"/>
        <v>0</v>
      </c>
      <c r="P18" s="11">
        <f t="shared" si="5"/>
        <v>364066.976</v>
      </c>
      <c r="Q18" s="11">
        <f t="shared" si="17"/>
        <v>652397.3263</v>
      </c>
      <c r="R18" s="11">
        <f t="shared" si="7"/>
        <v>742383.1644</v>
      </c>
      <c r="S18" s="6" t="str">
        <f t="shared" si="8"/>
        <v>Jeering Onslaught</v>
      </c>
      <c r="T18" s="11">
        <f t="shared" si="9"/>
        <v>28365.10114</v>
      </c>
      <c r="U18" s="1">
        <v>1.0</v>
      </c>
    </row>
    <row r="19">
      <c r="B19" s="1" t="s">
        <v>461</v>
      </c>
      <c r="C19" s="1">
        <v>0.25</v>
      </c>
      <c r="D19" s="1">
        <v>10.0</v>
      </c>
      <c r="E19" s="1">
        <v>23762.0</v>
      </c>
      <c r="F19" s="1">
        <v>50050.0</v>
      </c>
      <c r="I19" s="2"/>
      <c r="K19" s="3"/>
      <c r="L19" s="9">
        <f t="shared" si="14"/>
        <v>165003.328</v>
      </c>
      <c r="M19" s="10">
        <f t="shared" si="15"/>
        <v>347547.2</v>
      </c>
      <c r="N19" s="9">
        <f t="shared" si="16"/>
        <v>0</v>
      </c>
      <c r="O19" s="11">
        <f t="shared" si="4"/>
        <v>0</v>
      </c>
      <c r="P19" s="11">
        <f t="shared" si="5"/>
        <v>347547.2</v>
      </c>
      <c r="Q19" s="11">
        <f t="shared" si="17"/>
        <v>288781.5862</v>
      </c>
      <c r="R19" s="11">
        <f t="shared" si="7"/>
        <v>459267.1009</v>
      </c>
      <c r="S19" s="6" t="str">
        <f t="shared" si="8"/>
        <v>Head Crush</v>
      </c>
      <c r="T19" s="11">
        <f t="shared" si="9"/>
        <v>28173.81329</v>
      </c>
      <c r="U19" s="1">
        <v>1.0</v>
      </c>
    </row>
    <row r="20">
      <c r="B20" s="1" t="s">
        <v>462</v>
      </c>
      <c r="C20" s="1">
        <v>0.25</v>
      </c>
      <c r="D20" s="1">
        <v>5.0</v>
      </c>
      <c r="E20" s="1">
        <v>11389.0</v>
      </c>
      <c r="F20" s="1">
        <v>24483.0</v>
      </c>
      <c r="I20" s="2"/>
      <c r="K20" s="3"/>
      <c r="L20" s="9">
        <f t="shared" si="14"/>
        <v>79085.216</v>
      </c>
      <c r="M20" s="10">
        <f t="shared" si="15"/>
        <v>170009.952</v>
      </c>
      <c r="N20" s="9">
        <f t="shared" si="16"/>
        <v>0</v>
      </c>
      <c r="O20" s="11">
        <f t="shared" si="4"/>
        <v>0</v>
      </c>
      <c r="P20" s="11">
        <f t="shared" si="5"/>
        <v>170009.952</v>
      </c>
      <c r="Q20" s="11">
        <f t="shared" si="17"/>
        <v>141142.2608</v>
      </c>
      <c r="R20" s="11">
        <f t="shared" si="7"/>
        <v>224467.21</v>
      </c>
      <c r="S20" s="6" t="str">
        <f t="shared" si="8"/>
        <v>Raging Blow</v>
      </c>
      <c r="T20" s="11">
        <f t="shared" si="9"/>
        <v>26884.24015</v>
      </c>
      <c r="U20" s="1">
        <v>1.0</v>
      </c>
    </row>
    <row r="21">
      <c r="B21" s="1" t="s">
        <v>463</v>
      </c>
      <c r="C21" s="1">
        <v>0.25</v>
      </c>
      <c r="D21" s="1">
        <v>10.0</v>
      </c>
      <c r="E21" s="1">
        <v>19398.0</v>
      </c>
      <c r="F21" s="1">
        <v>41700.0</v>
      </c>
      <c r="I21" s="2"/>
      <c r="K21" s="3"/>
      <c r="L21" s="9">
        <f t="shared" si="14"/>
        <v>134699.712</v>
      </c>
      <c r="M21" s="10">
        <f t="shared" si="15"/>
        <v>289564.8</v>
      </c>
      <c r="N21" s="9">
        <f t="shared" si="16"/>
        <v>0</v>
      </c>
      <c r="O21" s="11">
        <f t="shared" si="4"/>
        <v>0</v>
      </c>
      <c r="P21" s="11">
        <f t="shared" si="5"/>
        <v>289564.8</v>
      </c>
      <c r="Q21" s="11">
        <f t="shared" si="17"/>
        <v>240396.6934</v>
      </c>
      <c r="R21" s="11">
        <f t="shared" si="7"/>
        <v>382317.6329</v>
      </c>
      <c r="S21" s="6" t="str">
        <f t="shared" si="8"/>
        <v>Body Check</v>
      </c>
      <c r="T21" s="11">
        <f t="shared" si="9"/>
        <v>23453.33594</v>
      </c>
      <c r="U21" s="1">
        <v>1.0</v>
      </c>
    </row>
    <row r="22">
      <c r="B22" s="1" t="s">
        <v>464</v>
      </c>
      <c r="C22" s="1">
        <v>0.0</v>
      </c>
      <c r="D22" s="1">
        <v>15.0</v>
      </c>
      <c r="E22" s="1">
        <v>12873.0</v>
      </c>
      <c r="F22" s="1">
        <v>18956.0</v>
      </c>
      <c r="G22" s="1">
        <v>12873.0</v>
      </c>
      <c r="H22" s="1">
        <v>18956.0</v>
      </c>
      <c r="I22" s="2"/>
      <c r="J22" s="1">
        <v>2.0</v>
      </c>
      <c r="K22" s="7">
        <v>1.0</v>
      </c>
      <c r="L22" s="9">
        <f t="shared" si="14"/>
        <v>89390.112</v>
      </c>
      <c r="M22" s="10">
        <f t="shared" si="15"/>
        <v>131630.464</v>
      </c>
      <c r="N22" s="9">
        <f t="shared" si="16"/>
        <v>89390.112</v>
      </c>
      <c r="O22" s="11">
        <f t="shared" si="4"/>
        <v>131630.464</v>
      </c>
      <c r="P22" s="11">
        <f t="shared" si="5"/>
        <v>394891.392</v>
      </c>
      <c r="Q22" s="11">
        <f t="shared" si="17"/>
        <v>343640.0126</v>
      </c>
      <c r="R22" s="11">
        <f t="shared" si="7"/>
        <v>907209.6333</v>
      </c>
      <c r="S22" s="6" t="str">
        <f t="shared" si="8"/>
        <v>Weapon Counter</v>
      </c>
      <c r="T22" s="11">
        <f t="shared" si="9"/>
        <v>22909.33418</v>
      </c>
      <c r="U22" s="1">
        <v>1.0</v>
      </c>
    </row>
    <row r="23">
      <c r="B23" s="1" t="s">
        <v>465</v>
      </c>
      <c r="C23" s="1">
        <v>0.25</v>
      </c>
      <c r="D23" s="1">
        <v>30.0</v>
      </c>
      <c r="E23" s="6">
        <f>26078+13236+15883</f>
        <v>55197</v>
      </c>
      <c r="F23" s="6">
        <f>38252+28452+34143</f>
        <v>100847</v>
      </c>
      <c r="I23" s="2"/>
      <c r="K23" s="3"/>
      <c r="L23" s="9">
        <f t="shared" si="14"/>
        <v>383287.968</v>
      </c>
      <c r="M23" s="10">
        <f t="shared" si="15"/>
        <v>700281.568</v>
      </c>
      <c r="N23" s="9">
        <f t="shared" si="16"/>
        <v>0</v>
      </c>
      <c r="O23" s="11">
        <f t="shared" si="4"/>
        <v>0</v>
      </c>
      <c r="P23" s="11">
        <f t="shared" si="5"/>
        <v>700281.568</v>
      </c>
      <c r="Q23" s="11">
        <f t="shared" si="17"/>
        <v>588152.3241</v>
      </c>
      <c r="R23" s="11">
        <f t="shared" si="7"/>
        <v>935374.7805</v>
      </c>
      <c r="S23" s="6" t="str">
        <f t="shared" si="8"/>
        <v>Frenzy</v>
      </c>
      <c r="T23" s="11">
        <f t="shared" si="9"/>
        <v>19443.05204</v>
      </c>
      <c r="U23" s="1">
        <v>1.0</v>
      </c>
    </row>
    <row r="24">
      <c r="A24" s="1">
        <v>1.0</v>
      </c>
      <c r="B24" s="1" t="s">
        <v>466</v>
      </c>
      <c r="C24" s="1">
        <v>0.25</v>
      </c>
      <c r="D24" s="1">
        <v>10.0</v>
      </c>
      <c r="E24" s="1">
        <v>13429.0</v>
      </c>
      <c r="F24" s="1">
        <v>13429.0</v>
      </c>
      <c r="I24" s="2"/>
      <c r="K24" s="3"/>
      <c r="L24" s="9">
        <f t="shared" si="14"/>
        <v>93250.976</v>
      </c>
      <c r="M24" s="10">
        <f t="shared" si="15"/>
        <v>93250.976</v>
      </c>
      <c r="N24" s="9">
        <f t="shared" si="16"/>
        <v>0</v>
      </c>
      <c r="O24" s="11">
        <f t="shared" si="4"/>
        <v>0</v>
      </c>
      <c r="P24" s="11">
        <f t="shared" si="5"/>
        <v>93250.976</v>
      </c>
      <c r="Q24" s="11">
        <f t="shared" si="17"/>
        <v>197692.0691</v>
      </c>
      <c r="R24" s="11">
        <f t="shared" si="7"/>
        <v>314401.8449</v>
      </c>
      <c r="S24" s="6" t="str">
        <f t="shared" si="8"/>
        <v>Mutilate Enc</v>
      </c>
      <c r="T24" s="11">
        <f t="shared" si="9"/>
        <v>19287.03113</v>
      </c>
    </row>
    <row r="25">
      <c r="B25" s="1" t="s">
        <v>467</v>
      </c>
      <c r="C25" s="1">
        <v>0.25</v>
      </c>
      <c r="D25" s="1">
        <v>15.0</v>
      </c>
      <c r="E25" s="1">
        <v>32108.0</v>
      </c>
      <c r="F25" s="1">
        <v>47067.0</v>
      </c>
      <c r="I25" s="2"/>
      <c r="K25" s="3"/>
      <c r="L25" s="9">
        <f t="shared" si="14"/>
        <v>222957.952</v>
      </c>
      <c r="M25" s="10">
        <f t="shared" si="15"/>
        <v>326833.248</v>
      </c>
      <c r="N25" s="9">
        <f t="shared" si="16"/>
        <v>0</v>
      </c>
      <c r="O25" s="11">
        <f t="shared" si="4"/>
        <v>0</v>
      </c>
      <c r="P25" s="11">
        <f t="shared" si="5"/>
        <v>326833.248</v>
      </c>
      <c r="Q25" s="11">
        <f t="shared" si="17"/>
        <v>284708.4863</v>
      </c>
      <c r="R25" s="11">
        <f t="shared" si="7"/>
        <v>452789.4</v>
      </c>
      <c r="S25" s="6" t="str">
        <f t="shared" si="8"/>
        <v>Master's Rage</v>
      </c>
      <c r="T25" s="11">
        <f t="shared" si="9"/>
        <v>18669.40894</v>
      </c>
      <c r="U25" s="1">
        <v>1.0</v>
      </c>
    </row>
    <row r="26">
      <c r="A26" s="1">
        <v>1.0</v>
      </c>
      <c r="B26" s="1" t="s">
        <v>468</v>
      </c>
      <c r="C26" s="1">
        <v>0.25</v>
      </c>
      <c r="D26" s="1">
        <v>30.0</v>
      </c>
      <c r="E26" s="1">
        <v>30180.0</v>
      </c>
      <c r="F26" s="1">
        <v>43564.0</v>
      </c>
      <c r="I26" s="2"/>
      <c r="K26" s="3"/>
      <c r="L26" s="9">
        <f t="shared" si="14"/>
        <v>209569.92</v>
      </c>
      <c r="M26" s="10">
        <f t="shared" si="15"/>
        <v>302508.416</v>
      </c>
      <c r="N26" s="9">
        <f t="shared" si="16"/>
        <v>0</v>
      </c>
      <c r="O26" s="11">
        <f t="shared" si="4"/>
        <v>0</v>
      </c>
      <c r="P26" s="11">
        <f t="shared" si="5"/>
        <v>302508.416</v>
      </c>
      <c r="Q26" s="11">
        <f t="shared" si="17"/>
        <v>528945.9975</v>
      </c>
      <c r="R26" s="11">
        <f t="shared" si="7"/>
        <v>841215.3213</v>
      </c>
      <c r="S26" s="6" t="str">
        <f t="shared" si="8"/>
        <v>Stunning Roar</v>
      </c>
      <c r="T26" s="11">
        <f t="shared" si="9"/>
        <v>17485.8181</v>
      </c>
      <c r="U26" s="1">
        <v>1.0</v>
      </c>
    </row>
    <row r="27">
      <c r="B27" s="1" t="s">
        <v>469</v>
      </c>
      <c r="C27" s="1">
        <v>0.25</v>
      </c>
      <c r="D27" s="1">
        <v>10.0</v>
      </c>
      <c r="E27" s="1">
        <v>14469.0</v>
      </c>
      <c r="F27" s="1">
        <v>20868.0</v>
      </c>
      <c r="G27" s="1">
        <v>5618.0</v>
      </c>
      <c r="H27" s="1">
        <v>5618.0</v>
      </c>
      <c r="I27" s="2"/>
      <c r="K27" s="3"/>
      <c r="L27" s="9">
        <f t="shared" si="14"/>
        <v>100472.736</v>
      </c>
      <c r="M27" s="10">
        <f t="shared" si="15"/>
        <v>144907.392</v>
      </c>
      <c r="N27" s="9">
        <f t="shared" si="16"/>
        <v>39011.392</v>
      </c>
      <c r="O27" s="11">
        <f t="shared" si="4"/>
        <v>39011.392</v>
      </c>
      <c r="P27" s="11">
        <f t="shared" si="5"/>
        <v>144907.392</v>
      </c>
      <c r="Q27" s="11">
        <f t="shared" si="17"/>
        <v>126713.2884</v>
      </c>
      <c r="R27" s="11">
        <f t="shared" si="7"/>
        <v>201519.9286</v>
      </c>
      <c r="S27" s="6" t="str">
        <f t="shared" si="8"/>
        <v>Mutaliate</v>
      </c>
      <c r="T27" s="11">
        <f t="shared" si="9"/>
        <v>12362.27204</v>
      </c>
      <c r="U27" s="1">
        <v>1.0</v>
      </c>
    </row>
    <row r="28">
      <c r="B28" s="1" t="s">
        <v>470</v>
      </c>
      <c r="C28" s="1">
        <v>0.25</v>
      </c>
      <c r="D28" s="1">
        <v>90.0</v>
      </c>
      <c r="E28" s="1">
        <v>36844.0</v>
      </c>
      <c r="F28" s="1">
        <v>44638.0</v>
      </c>
      <c r="I28" s="2"/>
      <c r="K28" s="3"/>
      <c r="L28" s="9">
        <f t="shared" si="14"/>
        <v>255844.736</v>
      </c>
      <c r="M28" s="10">
        <f t="shared" si="15"/>
        <v>309966.272</v>
      </c>
      <c r="N28" s="9">
        <f t="shared" si="16"/>
        <v>0</v>
      </c>
      <c r="O28" s="11">
        <f t="shared" si="4"/>
        <v>0</v>
      </c>
      <c r="P28" s="11">
        <f t="shared" si="5"/>
        <v>309966.272</v>
      </c>
      <c r="Q28" s="11">
        <f t="shared" si="17"/>
        <v>285493.9484</v>
      </c>
      <c r="R28" s="11">
        <f t="shared" si="7"/>
        <v>454038.5685</v>
      </c>
      <c r="S28" s="6" t="str">
        <f t="shared" si="8"/>
        <v>Sneering Assault</v>
      </c>
      <c r="T28" s="11">
        <f t="shared" si="9"/>
        <v>3163.367849</v>
      </c>
      <c r="U28" s="1">
        <v>1.0</v>
      </c>
    </row>
    <row r="29">
      <c r="A29" s="1">
        <v>1.0</v>
      </c>
      <c r="B29" s="1" t="s">
        <v>471</v>
      </c>
      <c r="C29" s="1">
        <v>0.5</v>
      </c>
      <c r="D29" s="1">
        <v>22.5</v>
      </c>
      <c r="E29" s="1">
        <v>11908.0</v>
      </c>
      <c r="F29" s="1">
        <v>17534.0</v>
      </c>
      <c r="I29" s="2"/>
      <c r="K29" s="3"/>
      <c r="L29" s="9"/>
      <c r="M29" s="10"/>
      <c r="N29" s="9"/>
      <c r="O29" s="11"/>
      <c r="P29" s="11"/>
      <c r="Q29" s="11"/>
      <c r="R29" s="11"/>
      <c r="T29" s="11"/>
    </row>
    <row r="30">
      <c r="B30" s="1" t="s">
        <v>472</v>
      </c>
      <c r="C30" s="1">
        <v>0.25</v>
      </c>
      <c r="D30" s="1">
        <v>15.0</v>
      </c>
      <c r="E30" s="1">
        <v>15465.0</v>
      </c>
      <c r="F30" s="1">
        <v>22772.0</v>
      </c>
      <c r="I30" s="2"/>
      <c r="K30" s="3"/>
      <c r="L30" s="9"/>
      <c r="M30" s="10"/>
      <c r="N30" s="9"/>
      <c r="O30" s="11"/>
      <c r="P30" s="11"/>
      <c r="Q30" s="11"/>
      <c r="R30" s="11"/>
      <c r="T30" s="11"/>
    </row>
    <row r="31">
      <c r="B31" s="1" t="s">
        <v>473</v>
      </c>
      <c r="C31" s="1">
        <v>0.25</v>
      </c>
      <c r="D31" s="1">
        <v>30.0</v>
      </c>
      <c r="E31" s="1">
        <v>32517.0</v>
      </c>
      <c r="F31" s="1">
        <v>64668.0</v>
      </c>
      <c r="I31" s="2"/>
      <c r="K31" s="3"/>
      <c r="L31" s="9"/>
      <c r="M31" s="10"/>
      <c r="N31" s="9"/>
      <c r="O31" s="11"/>
      <c r="P31" s="11"/>
      <c r="Q31" s="11"/>
      <c r="R31" s="11"/>
      <c r="T31" s="11"/>
    </row>
    <row r="32">
      <c r="A32" s="1">
        <v>1.0</v>
      </c>
      <c r="B32" s="1" t="s">
        <v>474</v>
      </c>
      <c r="C32" s="1">
        <v>0.75</v>
      </c>
      <c r="D32" s="1">
        <v>15.0</v>
      </c>
      <c r="E32" s="1">
        <v>52484.0</v>
      </c>
      <c r="F32" s="1">
        <v>106885.0</v>
      </c>
      <c r="J32" s="2"/>
      <c r="L32" s="3"/>
      <c r="M32" s="9"/>
      <c r="N32" s="10"/>
      <c r="O32" s="9"/>
      <c r="P32" s="11"/>
      <c r="Q32" s="11"/>
      <c r="R32" s="11"/>
      <c r="S32" s="11"/>
      <c r="U32" s="11"/>
    </row>
    <row r="33">
      <c r="A33" s="1">
        <v>1.0</v>
      </c>
      <c r="B33" s="1" t="s">
        <v>475</v>
      </c>
      <c r="C33" s="1">
        <v>0.125</v>
      </c>
      <c r="D33" s="1">
        <v>90.0</v>
      </c>
      <c r="E33" s="1">
        <v>97614.0</v>
      </c>
      <c r="F33" s="1">
        <v>133243.0</v>
      </c>
      <c r="I33" s="2"/>
      <c r="K33" s="3"/>
      <c r="L33" s="9"/>
      <c r="M33" s="10"/>
      <c r="N33" s="9"/>
      <c r="O33" s="11"/>
      <c r="P33" s="11"/>
      <c r="Q33" s="11"/>
      <c r="R33" s="11"/>
      <c r="T33" s="11"/>
    </row>
    <row r="34"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8">E27</f>
        <v>14469</v>
      </c>
      <c r="G61" s="6">
        <f t="shared" si="18"/>
        <v>20868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19">F$61*0.85^($E62-1)</f>
        <v>14469</v>
      </c>
      <c r="G62" s="6">
        <f t="shared" si="19"/>
        <v>20868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20">F$61*0.85^($D63-1)</f>
        <v>12298.65</v>
      </c>
      <c r="F63" s="6">
        <f t="shared" si="20"/>
        <v>17737.8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22">D63+1</f>
        <v>3</v>
      </c>
      <c r="E64" s="6">
        <f t="shared" ref="E64:F64" si="21">F$61*0.85^($D64-1)</f>
        <v>10453.8525</v>
      </c>
      <c r="F64" s="6">
        <f t="shared" si="21"/>
        <v>15077.13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22"/>
        <v>4</v>
      </c>
      <c r="E65" s="6">
        <f t="shared" ref="E65:F65" si="23">F$61*0.85^($D65-1)</f>
        <v>8885.774625</v>
      </c>
      <c r="F65" s="6">
        <f t="shared" si="23"/>
        <v>12815.5605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22"/>
        <v>5</v>
      </c>
      <c r="E66" s="6">
        <f t="shared" ref="E66:F66" si="24">F$61*0.85^($D66-1)</f>
        <v>7552.908431</v>
      </c>
      <c r="F66" s="6">
        <f t="shared" si="24"/>
        <v>10893.22643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22"/>
        <v>6</v>
      </c>
      <c r="E67" s="6">
        <f t="shared" ref="E67:F67" si="25">F$61*0.85^($D67-1)</f>
        <v>6419.972167</v>
      </c>
      <c r="F67" s="6">
        <f t="shared" si="25"/>
        <v>9259.242461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22"/>
        <v>7</v>
      </c>
      <c r="E68" s="6">
        <f t="shared" ref="E68:F68" si="26">F$61*0.85^($D68-1)</f>
        <v>5456.976342</v>
      </c>
      <c r="F68" s="6">
        <f t="shared" si="26"/>
        <v>7870.356092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22"/>
        <v>8</v>
      </c>
      <c r="E69" s="6">
        <f t="shared" ref="E69:F69" si="27">F$61*0.85^($D69-1)</f>
        <v>4638.42989</v>
      </c>
      <c r="F69" s="6">
        <f t="shared" si="27"/>
        <v>6689.802678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22"/>
        <v>9</v>
      </c>
      <c r="E70" s="6">
        <f t="shared" ref="E70:F70" si="28">F$61*0.85^($D70-1)</f>
        <v>3942.665407</v>
      </c>
      <c r="F70" s="6">
        <f t="shared" si="28"/>
        <v>5686.332277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22"/>
        <v>10</v>
      </c>
      <c r="E71" s="6">
        <f t="shared" ref="E71:F71" si="29">F$61*0.85^($D71-1)</f>
        <v>3351.265596</v>
      </c>
      <c r="F71" s="6">
        <f t="shared" si="29"/>
        <v>4833.382435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22"/>
        <v>11</v>
      </c>
      <c r="E72" s="6">
        <f t="shared" ref="E72:F72" si="30">F$61*0.85^($D72-1)</f>
        <v>2848.575756</v>
      </c>
      <c r="F72" s="6">
        <f t="shared" si="30"/>
        <v>4108.37507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22"/>
        <v>12</v>
      </c>
      <c r="E73" s="6">
        <f t="shared" ref="E73:F73" si="31">F$61*0.85^($D73-1)</f>
        <v>2421.289393</v>
      </c>
      <c r="F73" s="6">
        <f t="shared" si="31"/>
        <v>3492.118809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22"/>
        <v>13</v>
      </c>
      <c r="E74" s="6">
        <f t="shared" ref="E74:F74" si="32">F$61*0.85^($D74-1)</f>
        <v>2058.095984</v>
      </c>
      <c r="F74" s="6">
        <f t="shared" si="32"/>
        <v>2968.300988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22"/>
        <v>14</v>
      </c>
      <c r="E75" s="6">
        <f t="shared" ref="E75:F75" si="33">F$61*0.85^($D75-1)</f>
        <v>1749.381586</v>
      </c>
      <c r="F75" s="6">
        <f t="shared" si="33"/>
        <v>2523.05584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22"/>
        <v>15</v>
      </c>
      <c r="E76" s="6">
        <f t="shared" ref="E76:F76" si="34">F$61*0.85^($D76-1)</f>
        <v>1486.974348</v>
      </c>
      <c r="F76" s="6">
        <f t="shared" si="34"/>
        <v>2144.597464</v>
      </c>
      <c r="I76" s="2"/>
      <c r="K76" s="3"/>
      <c r="L76" s="4"/>
    </row>
    <row r="77">
      <c r="B77" s="1" t="s">
        <v>90</v>
      </c>
      <c r="D77" s="6">
        <f t="shared" si="22"/>
        <v>16</v>
      </c>
      <c r="E77" s="6">
        <f t="shared" ref="E77:F77" si="35">F$61*0.85^($D77-1)</f>
        <v>1263.928196</v>
      </c>
      <c r="F77" s="6">
        <f t="shared" si="35"/>
        <v>1822.907844</v>
      </c>
      <c r="I77" s="2"/>
      <c r="K77" s="3"/>
      <c r="L77" s="4"/>
    </row>
    <row r="78">
      <c r="D78" s="6">
        <f t="shared" si="22"/>
        <v>17</v>
      </c>
      <c r="E78" s="6">
        <f t="shared" ref="E78:F78" si="36">F$61*0.85^($D78-1)</f>
        <v>1074.338967</v>
      </c>
      <c r="F78" s="6">
        <f t="shared" si="36"/>
        <v>1549.471668</v>
      </c>
      <c r="I78" s="2"/>
      <c r="K78" s="3"/>
      <c r="L78" s="4"/>
    </row>
    <row r="79">
      <c r="D79" s="6">
        <f t="shared" si="22"/>
        <v>18</v>
      </c>
      <c r="E79" s="6">
        <f t="shared" ref="E79:F79" si="37">F$61*0.85^($D79-1)</f>
        <v>913.1881217</v>
      </c>
      <c r="F79" s="6">
        <f t="shared" si="37"/>
        <v>1317.050917</v>
      </c>
      <c r="I79" s="2"/>
      <c r="K79" s="3"/>
      <c r="L79" s="4"/>
    </row>
    <row r="80">
      <c r="D80" s="6">
        <f t="shared" si="22"/>
        <v>19</v>
      </c>
      <c r="E80" s="6">
        <f t="shared" ref="E80:F80" si="38">F$61*0.85^($D80-1)</f>
        <v>776.2099035</v>
      </c>
      <c r="F80" s="6">
        <f t="shared" si="38"/>
        <v>1119.49328</v>
      </c>
      <c r="I80" s="2"/>
      <c r="K80" s="3"/>
      <c r="L80" s="4"/>
    </row>
    <row r="81">
      <c r="D81" s="6">
        <f t="shared" si="22"/>
        <v>20</v>
      </c>
      <c r="E81" s="6">
        <f t="shared" ref="E81:F81" si="39">F$61*0.85^($D81-1)</f>
        <v>659.778418</v>
      </c>
      <c r="F81" s="6">
        <f t="shared" si="39"/>
        <v>951.5692878</v>
      </c>
      <c r="I81" s="2"/>
      <c r="K81" s="3"/>
      <c r="L81" s="4"/>
    </row>
    <row r="82">
      <c r="E82" s="6">
        <f t="shared" ref="E82:F82" si="40">sum(E63:E81)</f>
        <v>78252.25563</v>
      </c>
      <c r="F82" s="6">
        <f t="shared" si="40"/>
        <v>112859.774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U$54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5.401+1.5</f>
        <v>6.901</v>
      </c>
      <c r="C1" s="55"/>
      <c r="I1" s="2"/>
      <c r="K1" s="3"/>
      <c r="L1" s="4"/>
    </row>
    <row r="2">
      <c r="A2" s="1" t="s">
        <v>1</v>
      </c>
      <c r="B2" s="5">
        <v>0.32</v>
      </c>
      <c r="C2" s="55"/>
      <c r="I2" s="2"/>
      <c r="K2" s="3"/>
      <c r="L2" s="4"/>
    </row>
    <row r="3">
      <c r="A3" s="1" t="s">
        <v>2</v>
      </c>
      <c r="B3" s="19">
        <v>0.06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472</v>
      </c>
      <c r="C8" s="1">
        <v>0.25</v>
      </c>
      <c r="D8" s="1">
        <v>15.0</v>
      </c>
      <c r="E8" s="1">
        <v>8554.0</v>
      </c>
      <c r="F8" s="1">
        <v>12421.0</v>
      </c>
      <c r="I8" s="2"/>
      <c r="K8" s="3"/>
      <c r="L8" s="9">
        <f t="shared" ref="L8:L33" si="1">if(E8*($B$1+$I8)&lt;(F8+1),F8+1,E8*($I8+$B$1))</f>
        <v>59031.154</v>
      </c>
      <c r="M8" s="10">
        <f t="shared" ref="M8:M33" si="2">F8*($B$1+$I8)</f>
        <v>85717.321</v>
      </c>
      <c r="N8" s="9">
        <f t="shared" ref="N8:N33" si="3">if(if(G8*($B$1+$I8)&lt;(H8+1),H8+1,G8*($I8+$B$1))=1,0,if(G8*($B$1+$I8)&lt;(H8+1),H8+1,G8*($I8+$B$1)))</f>
        <v>0</v>
      </c>
      <c r="O8" s="11">
        <f t="shared" ref="O8:O33" si="4">H8*($B$1+$I8)</f>
        <v>0</v>
      </c>
      <c r="P8" s="11">
        <f t="shared" ref="P8:P33" si="5">M8+O8*K8*J8</f>
        <v>85717.321</v>
      </c>
      <c r="Q8" s="11">
        <f t="shared" ref="Q8:Q33" si="6">(if($A8=1,$B$4,1)*((L8*E8+F8*M8)/(E8+F8)+if(G8&gt;0,(N8*G8+H8*O8)/(G8+H8)*J8*K8,0)))*(if($U8=0,1+$B$3,1))</f>
        <v>79324.25152</v>
      </c>
      <c r="R8" s="11">
        <f t="shared" ref="R8:R33" si="7">Q8/(C8+0.5*(1/(1+$B$2)))</f>
        <v>126154.2313</v>
      </c>
      <c r="S8" s="6" t="str">
        <f t="shared" ref="S8:S33" si="8">B8</f>
        <v>Accel Strike</v>
      </c>
      <c r="T8" s="11">
        <f t="shared" ref="T8:T33" si="9">$Q8/(($C8+if($D8&lt;=$J8,$J8,$D8)))</f>
        <v>5201.590263</v>
      </c>
    </row>
    <row r="9">
      <c r="A9" s="1">
        <v>1.0</v>
      </c>
      <c r="B9" s="1" t="s">
        <v>454</v>
      </c>
      <c r="C9" s="1">
        <v>0.75</v>
      </c>
      <c r="D9" s="1">
        <v>22.5</v>
      </c>
      <c r="E9" s="1">
        <v>45531.0</v>
      </c>
      <c r="F9" s="1">
        <v>68946.0</v>
      </c>
      <c r="I9" s="2"/>
      <c r="K9" s="3"/>
      <c r="L9" s="9">
        <f t="shared" si="1"/>
        <v>314209.431</v>
      </c>
      <c r="M9" s="10">
        <f t="shared" si="2"/>
        <v>475796.346</v>
      </c>
      <c r="N9" s="9">
        <f t="shared" si="3"/>
        <v>0</v>
      </c>
      <c r="O9" s="11">
        <f t="shared" si="4"/>
        <v>0</v>
      </c>
      <c r="P9" s="11">
        <f t="shared" si="5"/>
        <v>475796.346</v>
      </c>
      <c r="Q9" s="11">
        <f t="shared" si="6"/>
        <v>411528.2937</v>
      </c>
      <c r="R9" s="11">
        <f t="shared" si="7"/>
        <v>364575.4011</v>
      </c>
      <c r="S9" s="6" t="str">
        <f t="shared" si="8"/>
        <v>Berserker Onslaught</v>
      </c>
      <c r="T9" s="11">
        <f t="shared" si="9"/>
        <v>17700.14166</v>
      </c>
      <c r="U9" s="1">
        <v>1.0</v>
      </c>
    </row>
    <row r="10">
      <c r="A10" s="1">
        <v>1.0</v>
      </c>
      <c r="B10" s="1" t="s">
        <v>474</v>
      </c>
      <c r="C10" s="1">
        <v>0.75</v>
      </c>
      <c r="D10" s="1">
        <v>15.0</v>
      </c>
      <c r="E10" s="1">
        <v>30594.0</v>
      </c>
      <c r="F10" s="1">
        <v>59531.0</v>
      </c>
      <c r="J10" s="2"/>
      <c r="K10" s="3"/>
      <c r="L10" s="9">
        <f t="shared" si="1"/>
        <v>211129.194</v>
      </c>
      <c r="M10" s="10">
        <f t="shared" si="2"/>
        <v>410823.431</v>
      </c>
      <c r="N10" s="9">
        <f t="shared" si="3"/>
        <v>0</v>
      </c>
      <c r="O10" s="11">
        <f t="shared" si="4"/>
        <v>0</v>
      </c>
      <c r="P10" s="11">
        <f t="shared" si="5"/>
        <v>410823.431</v>
      </c>
      <c r="Q10" s="11">
        <f t="shared" si="6"/>
        <v>363616.9454</v>
      </c>
      <c r="R10" s="11">
        <f t="shared" si="7"/>
        <v>322130.4483</v>
      </c>
      <c r="S10" s="6" t="str">
        <f t="shared" si="8"/>
        <v>Bloodbath</v>
      </c>
      <c r="T10" s="11">
        <f t="shared" si="9"/>
        <v>23086.79019</v>
      </c>
      <c r="U10" s="11"/>
    </row>
    <row r="11">
      <c r="B11" s="1" t="s">
        <v>463</v>
      </c>
      <c r="C11" s="1">
        <v>0.25</v>
      </c>
      <c r="D11" s="1">
        <v>10.0</v>
      </c>
      <c r="E11" s="1">
        <v>8125.0</v>
      </c>
      <c r="F11" s="1">
        <v>17296.0</v>
      </c>
      <c r="I11" s="2"/>
      <c r="K11" s="3"/>
      <c r="L11" s="9">
        <f t="shared" si="1"/>
        <v>56070.625</v>
      </c>
      <c r="M11" s="10">
        <f t="shared" si="2"/>
        <v>119359.696</v>
      </c>
      <c r="N11" s="9">
        <f t="shared" si="3"/>
        <v>0</v>
      </c>
      <c r="O11" s="11">
        <f t="shared" si="4"/>
        <v>0</v>
      </c>
      <c r="P11" s="11">
        <f t="shared" si="5"/>
        <v>119359.696</v>
      </c>
      <c r="Q11" s="11">
        <f t="shared" si="6"/>
        <v>99131.39256</v>
      </c>
      <c r="R11" s="11">
        <f t="shared" si="7"/>
        <v>157654.7448</v>
      </c>
      <c r="S11" s="6" t="str">
        <f t="shared" si="8"/>
        <v>Body Check</v>
      </c>
      <c r="T11" s="11">
        <f t="shared" si="9"/>
        <v>9671.355371</v>
      </c>
      <c r="U11" s="1">
        <v>1.0</v>
      </c>
    </row>
    <row r="12">
      <c r="B12" s="1" t="s">
        <v>473</v>
      </c>
      <c r="C12" s="1">
        <v>0.25</v>
      </c>
      <c r="D12" s="1">
        <v>30.0</v>
      </c>
      <c r="E12" s="1">
        <v>11409.0</v>
      </c>
      <c r="F12" s="1">
        <v>23711.0</v>
      </c>
      <c r="I12" s="2"/>
      <c r="K12" s="3"/>
      <c r="L12" s="9">
        <f t="shared" si="1"/>
        <v>78733.509</v>
      </c>
      <c r="M12" s="10">
        <f t="shared" si="2"/>
        <v>163629.611</v>
      </c>
      <c r="N12" s="9">
        <f t="shared" si="3"/>
        <v>0</v>
      </c>
      <c r="O12" s="11">
        <f t="shared" si="4"/>
        <v>0</v>
      </c>
      <c r="P12" s="11">
        <f t="shared" si="5"/>
        <v>163629.611</v>
      </c>
      <c r="Q12" s="11">
        <f t="shared" si="6"/>
        <v>144213.4923</v>
      </c>
      <c r="R12" s="11">
        <f t="shared" si="7"/>
        <v>229351.5781</v>
      </c>
      <c r="S12" s="6" t="str">
        <f t="shared" si="8"/>
        <v>Demolish</v>
      </c>
      <c r="T12" s="11">
        <f t="shared" si="9"/>
        <v>4767.388175</v>
      </c>
    </row>
    <row r="13">
      <c r="A13" s="1">
        <v>1.0</v>
      </c>
      <c r="B13" s="1" t="s">
        <v>471</v>
      </c>
      <c r="C13" s="1">
        <v>0.5</v>
      </c>
      <c r="D13" s="1">
        <v>22.5</v>
      </c>
      <c r="E13" s="1">
        <v>6587.0</v>
      </c>
      <c r="F13" s="1">
        <v>9564.0</v>
      </c>
      <c r="I13" s="2"/>
      <c r="K13" s="3"/>
      <c r="L13" s="9">
        <f t="shared" si="1"/>
        <v>45456.887</v>
      </c>
      <c r="M13" s="10">
        <f t="shared" si="2"/>
        <v>66001.164</v>
      </c>
      <c r="N13" s="9">
        <f t="shared" si="3"/>
        <v>0</v>
      </c>
      <c r="O13" s="11">
        <f t="shared" si="4"/>
        <v>0</v>
      </c>
      <c r="P13" s="11">
        <f t="shared" si="5"/>
        <v>66001.164</v>
      </c>
      <c r="Q13" s="11">
        <f t="shared" si="6"/>
        <v>61079.76138</v>
      </c>
      <c r="R13" s="11">
        <f t="shared" si="7"/>
        <v>69504.55605</v>
      </c>
      <c r="S13" s="6" t="str">
        <f t="shared" si="8"/>
        <v>Dragoon Spin</v>
      </c>
      <c r="T13" s="11">
        <f t="shared" si="9"/>
        <v>2655.641799</v>
      </c>
    </row>
    <row r="14">
      <c r="A14" s="1">
        <v>1.0</v>
      </c>
      <c r="B14" s="1" t="s">
        <v>453</v>
      </c>
      <c r="C14" s="1">
        <v>0.125</v>
      </c>
      <c r="D14" s="1">
        <v>10.0</v>
      </c>
      <c r="E14" s="1">
        <v>24762.0</v>
      </c>
      <c r="F14" s="1">
        <v>30232.0</v>
      </c>
      <c r="I14" s="2"/>
      <c r="K14" s="3"/>
      <c r="L14" s="9">
        <f t="shared" si="1"/>
        <v>170882.562</v>
      </c>
      <c r="M14" s="10">
        <f t="shared" si="2"/>
        <v>208631.032</v>
      </c>
      <c r="N14" s="9">
        <f t="shared" si="3"/>
        <v>0</v>
      </c>
      <c r="O14" s="11">
        <f t="shared" si="4"/>
        <v>0</v>
      </c>
      <c r="P14" s="11">
        <f t="shared" si="5"/>
        <v>208631.032</v>
      </c>
      <c r="Q14" s="11">
        <f t="shared" si="6"/>
        <v>203132.1781</v>
      </c>
      <c r="R14" s="11">
        <f t="shared" si="7"/>
        <v>403209.7369</v>
      </c>
      <c r="S14" s="6" t="str">
        <f t="shared" si="8"/>
        <v>Enrage</v>
      </c>
      <c r="T14" s="11">
        <f t="shared" si="9"/>
        <v>20062.43734</v>
      </c>
    </row>
    <row r="15">
      <c r="B15" s="1" t="s">
        <v>465</v>
      </c>
      <c r="C15" s="1">
        <v>0.25</v>
      </c>
      <c r="D15" s="1">
        <v>30.0</v>
      </c>
      <c r="E15" s="6">
        <f>16764+7251+8702</f>
        <v>32717</v>
      </c>
      <c r="F15" s="6">
        <f>23319+15070+18084</f>
        <v>56473</v>
      </c>
      <c r="I15" s="2"/>
      <c r="K15" s="3"/>
      <c r="L15" s="9">
        <f t="shared" si="1"/>
        <v>225780.017</v>
      </c>
      <c r="M15" s="10">
        <f t="shared" si="2"/>
        <v>389720.173</v>
      </c>
      <c r="N15" s="9">
        <f t="shared" si="3"/>
        <v>0</v>
      </c>
      <c r="O15" s="11">
        <f t="shared" si="4"/>
        <v>0</v>
      </c>
      <c r="P15" s="11">
        <f t="shared" si="5"/>
        <v>389720.173</v>
      </c>
      <c r="Q15" s="11">
        <f t="shared" si="6"/>
        <v>329583.0491</v>
      </c>
      <c r="R15" s="11">
        <f t="shared" si="7"/>
        <v>524156.1744</v>
      </c>
      <c r="S15" s="6" t="str">
        <f t="shared" si="8"/>
        <v>Frenzy</v>
      </c>
      <c r="T15" s="11">
        <f t="shared" si="9"/>
        <v>10895.30741</v>
      </c>
      <c r="U15" s="1">
        <v>1.0</v>
      </c>
    </row>
    <row r="16">
      <c r="B16" s="1" t="s">
        <v>461</v>
      </c>
      <c r="C16" s="1">
        <v>0.25</v>
      </c>
      <c r="D16" s="1">
        <v>10.0</v>
      </c>
      <c r="E16" s="1">
        <v>13212.0</v>
      </c>
      <c r="F16" s="1">
        <v>27457.0</v>
      </c>
      <c r="I16" s="2"/>
      <c r="K16" s="3"/>
      <c r="L16" s="9">
        <f t="shared" si="1"/>
        <v>91176.012</v>
      </c>
      <c r="M16" s="10">
        <f t="shared" si="2"/>
        <v>189480.757</v>
      </c>
      <c r="N16" s="9">
        <f t="shared" si="3"/>
        <v>0</v>
      </c>
      <c r="O16" s="11">
        <f t="shared" si="4"/>
        <v>0</v>
      </c>
      <c r="P16" s="11">
        <f t="shared" si="5"/>
        <v>189480.757</v>
      </c>
      <c r="Q16" s="11">
        <f t="shared" si="6"/>
        <v>157544.8281</v>
      </c>
      <c r="R16" s="11">
        <f t="shared" si="7"/>
        <v>250553.2207</v>
      </c>
      <c r="S16" s="6" t="str">
        <f t="shared" si="8"/>
        <v>Head Crush</v>
      </c>
      <c r="T16" s="11">
        <f t="shared" si="9"/>
        <v>15370.22714</v>
      </c>
      <c r="U16" s="1">
        <v>1.0</v>
      </c>
    </row>
    <row r="17">
      <c r="A17" s="1">
        <v>1.0</v>
      </c>
      <c r="B17" s="1" t="s">
        <v>475</v>
      </c>
      <c r="C17" s="1">
        <v>0.125</v>
      </c>
      <c r="D17" s="1">
        <v>90.0</v>
      </c>
      <c r="E17" s="1">
        <v>52795.0</v>
      </c>
      <c r="F17" s="1">
        <v>71287.0</v>
      </c>
      <c r="I17" s="2"/>
      <c r="K17" s="3"/>
      <c r="L17" s="9">
        <f t="shared" si="1"/>
        <v>364338.295</v>
      </c>
      <c r="M17" s="10">
        <f t="shared" si="2"/>
        <v>491951.587</v>
      </c>
      <c r="N17" s="9">
        <f t="shared" si="3"/>
        <v>0</v>
      </c>
      <c r="O17" s="11">
        <f t="shared" si="4"/>
        <v>0</v>
      </c>
      <c r="P17" s="11">
        <f t="shared" si="5"/>
        <v>491951.587</v>
      </c>
      <c r="Q17" s="11">
        <f t="shared" si="6"/>
        <v>463913.3206</v>
      </c>
      <c r="R17" s="11">
        <f t="shared" si="7"/>
        <v>920850.5011</v>
      </c>
      <c r="S17" s="6" t="str">
        <f t="shared" si="8"/>
        <v>Insolence</v>
      </c>
      <c r="T17" s="11">
        <f t="shared" si="9"/>
        <v>5147.443225</v>
      </c>
    </row>
    <row r="18">
      <c r="A18" s="1">
        <v>1.0</v>
      </c>
      <c r="B18" s="1" t="s">
        <v>460</v>
      </c>
      <c r="C18" s="1">
        <v>0.5</v>
      </c>
      <c r="D18" s="1">
        <v>22.5</v>
      </c>
      <c r="E18" s="1">
        <v>23105.0</v>
      </c>
      <c r="F18" s="1">
        <v>29883.0</v>
      </c>
      <c r="I18" s="2"/>
      <c r="K18" s="3"/>
      <c r="L18" s="9">
        <f t="shared" si="1"/>
        <v>159447.605</v>
      </c>
      <c r="M18" s="10">
        <f t="shared" si="2"/>
        <v>206222.583</v>
      </c>
      <c r="N18" s="9">
        <f t="shared" si="3"/>
        <v>0</v>
      </c>
      <c r="O18" s="11">
        <f t="shared" si="4"/>
        <v>0</v>
      </c>
      <c r="P18" s="11">
        <f t="shared" si="5"/>
        <v>206222.583</v>
      </c>
      <c r="Q18" s="11">
        <f t="shared" si="6"/>
        <v>185826.7223</v>
      </c>
      <c r="R18" s="11">
        <f t="shared" si="7"/>
        <v>211457.9943</v>
      </c>
      <c r="S18" s="6" t="str">
        <f t="shared" si="8"/>
        <v>Jeering Onslaught</v>
      </c>
      <c r="T18" s="11">
        <f t="shared" si="9"/>
        <v>8079.422709</v>
      </c>
      <c r="U18" s="1">
        <v>1.0</v>
      </c>
    </row>
    <row r="19">
      <c r="B19" s="1" t="s">
        <v>457</v>
      </c>
      <c r="C19" s="1">
        <v>0.25</v>
      </c>
      <c r="D19" s="1">
        <v>5.0</v>
      </c>
      <c r="E19" s="1">
        <v>8861.0</v>
      </c>
      <c r="F19" s="1">
        <v>18415.0</v>
      </c>
      <c r="I19" s="2"/>
      <c r="K19" s="3"/>
      <c r="L19" s="9">
        <f t="shared" si="1"/>
        <v>61149.761</v>
      </c>
      <c r="M19" s="10">
        <f t="shared" si="2"/>
        <v>127081.915</v>
      </c>
      <c r="N19" s="9">
        <f t="shared" si="3"/>
        <v>0</v>
      </c>
      <c r="O19" s="11">
        <f t="shared" si="4"/>
        <v>0</v>
      </c>
      <c r="P19" s="11">
        <f t="shared" si="5"/>
        <v>127081.915</v>
      </c>
      <c r="Q19" s="11">
        <f t="shared" si="6"/>
        <v>105662.9087</v>
      </c>
      <c r="R19" s="11">
        <f t="shared" si="7"/>
        <v>168042.2162</v>
      </c>
      <c r="S19" s="6" t="str">
        <f t="shared" si="8"/>
        <v>Knee Break</v>
      </c>
      <c r="T19" s="11">
        <f t="shared" si="9"/>
        <v>20126.26832</v>
      </c>
      <c r="U19" s="1">
        <v>1.0</v>
      </c>
    </row>
    <row r="20">
      <c r="B20" s="1" t="s">
        <v>467</v>
      </c>
      <c r="C20" s="1">
        <v>0.25</v>
      </c>
      <c r="D20" s="1">
        <v>15.0</v>
      </c>
      <c r="E20" s="1">
        <v>18684.0</v>
      </c>
      <c r="F20" s="1">
        <v>27128.0</v>
      </c>
      <c r="I20" s="2"/>
      <c r="K20" s="3"/>
      <c r="L20" s="9">
        <f t="shared" si="1"/>
        <v>128938.284</v>
      </c>
      <c r="M20" s="10">
        <f t="shared" si="2"/>
        <v>187210.328</v>
      </c>
      <c r="N20" s="9">
        <f t="shared" si="3"/>
        <v>0</v>
      </c>
      <c r="O20" s="11">
        <f t="shared" si="4"/>
        <v>0</v>
      </c>
      <c r="P20" s="11">
        <f t="shared" si="5"/>
        <v>187210.328</v>
      </c>
      <c r="Q20" s="11">
        <f t="shared" si="6"/>
        <v>163444.6144</v>
      </c>
      <c r="R20" s="11">
        <f t="shared" si="7"/>
        <v>259936.0133</v>
      </c>
      <c r="S20" s="6" t="str">
        <f t="shared" si="8"/>
        <v>Master's Rage</v>
      </c>
      <c r="T20" s="11">
        <f t="shared" si="9"/>
        <v>10717.67963</v>
      </c>
      <c r="U20" s="1">
        <v>1.0</v>
      </c>
    </row>
    <row r="21">
      <c r="B21" s="1" t="s">
        <v>459</v>
      </c>
      <c r="C21" s="1">
        <v>0.25</v>
      </c>
      <c r="D21" s="1">
        <v>10.0</v>
      </c>
      <c r="E21" s="1">
        <v>22595.0</v>
      </c>
      <c r="F21" s="1">
        <v>32808.0</v>
      </c>
      <c r="K21" s="3"/>
      <c r="L21" s="9">
        <f t="shared" si="1"/>
        <v>155928.095</v>
      </c>
      <c r="M21" s="10">
        <f t="shared" si="2"/>
        <v>226408.008</v>
      </c>
      <c r="N21" s="9">
        <f t="shared" si="3"/>
        <v>0</v>
      </c>
      <c r="O21" s="11">
        <f t="shared" si="4"/>
        <v>0</v>
      </c>
      <c r="P21" s="11">
        <f t="shared" si="5"/>
        <v>226408.008</v>
      </c>
      <c r="Q21" s="11">
        <f t="shared" si="6"/>
        <v>197664.1921</v>
      </c>
      <c r="R21" s="11">
        <f t="shared" si="7"/>
        <v>314357.5103</v>
      </c>
      <c r="S21" s="6" t="str">
        <f t="shared" si="8"/>
        <v>Maul</v>
      </c>
      <c r="T21" s="11">
        <f t="shared" si="9"/>
        <v>19284.31142</v>
      </c>
      <c r="U21" s="1">
        <v>1.0</v>
      </c>
    </row>
    <row r="22">
      <c r="B22" s="1" t="s">
        <v>452</v>
      </c>
      <c r="C22" s="1">
        <v>0.125</v>
      </c>
      <c r="D22" s="1">
        <v>4.0</v>
      </c>
      <c r="E22" s="1">
        <v>24174.0</v>
      </c>
      <c r="F22" s="1">
        <v>29514.0</v>
      </c>
      <c r="I22" s="2"/>
      <c r="K22" s="3"/>
      <c r="L22" s="9">
        <f t="shared" si="1"/>
        <v>166824.774</v>
      </c>
      <c r="M22" s="10">
        <f t="shared" si="2"/>
        <v>203676.114</v>
      </c>
      <c r="N22" s="9">
        <f t="shared" si="3"/>
        <v>0</v>
      </c>
      <c r="O22" s="11">
        <f t="shared" si="4"/>
        <v>0</v>
      </c>
      <c r="P22" s="11">
        <f t="shared" si="5"/>
        <v>203676.114</v>
      </c>
      <c r="Q22" s="11">
        <f t="shared" si="6"/>
        <v>198308.1145</v>
      </c>
      <c r="R22" s="11">
        <f t="shared" si="7"/>
        <v>393634.1521</v>
      </c>
      <c r="S22" s="6" t="str">
        <f t="shared" si="8"/>
        <v>Mock</v>
      </c>
      <c r="T22" s="11">
        <f t="shared" si="9"/>
        <v>48074.69442</v>
      </c>
    </row>
    <row r="23">
      <c r="B23" s="1" t="s">
        <v>469</v>
      </c>
      <c r="C23" s="1">
        <v>0.25</v>
      </c>
      <c r="D23" s="1">
        <v>10.0</v>
      </c>
      <c r="E23" s="1">
        <v>7986.0</v>
      </c>
      <c r="F23" s="1">
        <v>11470.0</v>
      </c>
      <c r="G23" s="1">
        <v>3137.0</v>
      </c>
      <c r="H23" s="1">
        <v>3137.0</v>
      </c>
      <c r="I23" s="2"/>
      <c r="K23" s="3"/>
      <c r="L23" s="9">
        <f t="shared" si="1"/>
        <v>55111.386</v>
      </c>
      <c r="M23" s="10">
        <f t="shared" si="2"/>
        <v>79154.47</v>
      </c>
      <c r="N23" s="9">
        <f t="shared" si="3"/>
        <v>21648.437</v>
      </c>
      <c r="O23" s="11">
        <f t="shared" si="4"/>
        <v>21648.437</v>
      </c>
      <c r="P23" s="11">
        <f t="shared" si="5"/>
        <v>79154.47</v>
      </c>
      <c r="Q23" s="11">
        <f t="shared" si="6"/>
        <v>69285.63423</v>
      </c>
      <c r="R23" s="11">
        <f t="shared" si="7"/>
        <v>110189.2014</v>
      </c>
      <c r="S23" s="6" t="str">
        <f t="shared" si="8"/>
        <v>Mutaliate</v>
      </c>
      <c r="T23" s="11">
        <f t="shared" si="9"/>
        <v>6759.574071</v>
      </c>
      <c r="U23" s="1">
        <v>1.0</v>
      </c>
    </row>
    <row r="24">
      <c r="A24" s="1">
        <v>1.0</v>
      </c>
      <c r="B24" s="1" t="s">
        <v>466</v>
      </c>
      <c r="C24" s="1">
        <v>0.25</v>
      </c>
      <c r="D24" s="1">
        <v>10.0</v>
      </c>
      <c r="E24" s="1">
        <v>7031.0</v>
      </c>
      <c r="F24" s="6">
        <f>E24</f>
        <v>7031</v>
      </c>
      <c r="I24" s="2"/>
      <c r="K24" s="3"/>
      <c r="L24" s="9">
        <f t="shared" si="1"/>
        <v>48520.931</v>
      </c>
      <c r="M24" s="10">
        <f t="shared" si="2"/>
        <v>48520.931</v>
      </c>
      <c r="N24" s="9">
        <f t="shared" si="3"/>
        <v>0</v>
      </c>
      <c r="O24" s="11">
        <f t="shared" si="4"/>
        <v>0</v>
      </c>
      <c r="P24" s="11">
        <f t="shared" si="5"/>
        <v>48520.931</v>
      </c>
      <c r="Q24" s="11">
        <f t="shared" si="6"/>
        <v>51432.18686</v>
      </c>
      <c r="R24" s="11">
        <f t="shared" si="7"/>
        <v>81795.76705</v>
      </c>
      <c r="S24" s="6" t="str">
        <f t="shared" si="8"/>
        <v>Mutilate Enc</v>
      </c>
      <c r="T24" s="11">
        <f t="shared" si="9"/>
        <v>5017.774328</v>
      </c>
    </row>
    <row r="25">
      <c r="A25" s="1">
        <v>1.0</v>
      </c>
      <c r="B25" s="1" t="s">
        <v>445</v>
      </c>
      <c r="C25" s="1">
        <v>0.5</v>
      </c>
      <c r="D25" s="1">
        <v>60.0</v>
      </c>
      <c r="E25" s="1">
        <v>74397.0</v>
      </c>
      <c r="F25" s="1">
        <v>113991.0</v>
      </c>
      <c r="I25" s="2"/>
      <c r="K25" s="3"/>
      <c r="L25" s="9">
        <f t="shared" si="1"/>
        <v>513413.697</v>
      </c>
      <c r="M25" s="10">
        <f t="shared" si="2"/>
        <v>786651.891</v>
      </c>
      <c r="N25" s="9">
        <f t="shared" si="3"/>
        <v>0</v>
      </c>
      <c r="O25" s="11">
        <f t="shared" si="4"/>
        <v>0</v>
      </c>
      <c r="P25" s="11">
        <f t="shared" si="5"/>
        <v>786651.891</v>
      </c>
      <c r="Q25" s="11">
        <f t="shared" si="6"/>
        <v>678746.3879</v>
      </c>
      <c r="R25" s="11">
        <f t="shared" si="7"/>
        <v>772366.5793</v>
      </c>
      <c r="S25" s="6" t="str">
        <f t="shared" si="8"/>
        <v>Partisan Cleave</v>
      </c>
      <c r="T25" s="11">
        <f t="shared" si="9"/>
        <v>11218.94856</v>
      </c>
      <c r="U25" s="1">
        <v>1.0</v>
      </c>
    </row>
    <row r="26">
      <c r="B26" s="1" t="s">
        <v>462</v>
      </c>
      <c r="C26" s="1">
        <v>0.25</v>
      </c>
      <c r="D26" s="1">
        <v>5.0</v>
      </c>
      <c r="E26" s="1">
        <v>6876.0</v>
      </c>
      <c r="F26" s="1">
        <v>14289.0</v>
      </c>
      <c r="I26" s="2"/>
      <c r="K26" s="3"/>
      <c r="L26" s="9">
        <f t="shared" si="1"/>
        <v>47451.276</v>
      </c>
      <c r="M26" s="10">
        <f t="shared" si="2"/>
        <v>98608.389</v>
      </c>
      <c r="N26" s="9">
        <f t="shared" si="3"/>
        <v>0</v>
      </c>
      <c r="O26" s="11">
        <f t="shared" si="4"/>
        <v>0</v>
      </c>
      <c r="P26" s="11">
        <f t="shared" si="5"/>
        <v>98608.389</v>
      </c>
      <c r="Q26" s="11">
        <f t="shared" si="6"/>
        <v>81988.67206</v>
      </c>
      <c r="R26" s="11">
        <f t="shared" si="7"/>
        <v>130391.623</v>
      </c>
      <c r="S26" s="6" t="str">
        <f t="shared" si="8"/>
        <v>Raging Blow</v>
      </c>
      <c r="T26" s="11">
        <f t="shared" si="9"/>
        <v>15616.88992</v>
      </c>
      <c r="U26" s="1">
        <v>1.0</v>
      </c>
    </row>
    <row r="27">
      <c r="A27" s="1">
        <v>1.0</v>
      </c>
      <c r="B27" s="1" t="s">
        <v>456</v>
      </c>
      <c r="C27" s="1">
        <v>0.75</v>
      </c>
      <c r="D27" s="1">
        <v>90.0</v>
      </c>
      <c r="E27" s="1">
        <v>8710.0</v>
      </c>
      <c r="F27" s="1">
        <v>13592.0</v>
      </c>
      <c r="G27" s="6">
        <f t="shared" ref="G27:H27" si="10">E27</f>
        <v>8710</v>
      </c>
      <c r="H27" s="6">
        <f t="shared" si="10"/>
        <v>13592</v>
      </c>
      <c r="I27" s="2"/>
      <c r="J27" s="1">
        <v>13.0</v>
      </c>
      <c r="K27" s="7">
        <v>1.0</v>
      </c>
      <c r="L27" s="9">
        <f t="shared" si="1"/>
        <v>60107.71</v>
      </c>
      <c r="M27" s="10">
        <f t="shared" si="2"/>
        <v>93798.392</v>
      </c>
      <c r="N27" s="9">
        <f t="shared" si="3"/>
        <v>60107.71</v>
      </c>
      <c r="O27" s="11">
        <f t="shared" si="4"/>
        <v>93798.392</v>
      </c>
      <c r="P27" s="11">
        <f t="shared" si="5"/>
        <v>1313177.488</v>
      </c>
      <c r="Q27" s="11">
        <f t="shared" si="6"/>
        <v>1128967.921</v>
      </c>
      <c r="R27" s="11">
        <f t="shared" si="7"/>
        <v>1000159.5</v>
      </c>
      <c r="S27" s="6" t="str">
        <f t="shared" si="8"/>
        <v>Rampage</v>
      </c>
      <c r="T27" s="11">
        <f t="shared" si="9"/>
        <v>12440.41786</v>
      </c>
      <c r="U27" s="1">
        <v>1.0</v>
      </c>
    </row>
    <row r="28">
      <c r="B28" s="1" t="s">
        <v>455</v>
      </c>
      <c r="C28" s="1">
        <v>0.25</v>
      </c>
      <c r="D28" s="1">
        <v>5.0</v>
      </c>
      <c r="E28" s="1">
        <v>9766.0</v>
      </c>
      <c r="F28" s="1">
        <v>20296.0</v>
      </c>
      <c r="I28" s="2"/>
      <c r="K28" s="3"/>
      <c r="L28" s="9">
        <f t="shared" si="1"/>
        <v>67395.166</v>
      </c>
      <c r="M28" s="10">
        <f t="shared" si="2"/>
        <v>140062.696</v>
      </c>
      <c r="N28" s="9">
        <f t="shared" si="3"/>
        <v>0</v>
      </c>
      <c r="O28" s="11">
        <f t="shared" si="4"/>
        <v>0</v>
      </c>
      <c r="P28" s="11">
        <f t="shared" si="5"/>
        <v>140062.696</v>
      </c>
      <c r="Q28" s="11">
        <f t="shared" si="6"/>
        <v>116455.7804</v>
      </c>
      <c r="R28" s="11">
        <f t="shared" si="7"/>
        <v>185206.7832</v>
      </c>
      <c r="S28" s="6" t="str">
        <f t="shared" si="8"/>
        <v>Rupture</v>
      </c>
      <c r="T28" s="11">
        <f t="shared" si="9"/>
        <v>22182.0534</v>
      </c>
      <c r="U28" s="1">
        <v>1.0</v>
      </c>
    </row>
    <row r="29">
      <c r="A29" s="1">
        <v>1.0</v>
      </c>
      <c r="B29" s="1" t="s">
        <v>451</v>
      </c>
      <c r="C29" s="1">
        <v>0.5</v>
      </c>
      <c r="D29" s="1">
        <v>7.5</v>
      </c>
      <c r="E29" s="1">
        <v>17133.0</v>
      </c>
      <c r="F29" s="1">
        <v>24632.0</v>
      </c>
      <c r="G29" s="1">
        <v>2379.0</v>
      </c>
      <c r="H29" s="1">
        <v>4418.0</v>
      </c>
      <c r="I29" s="2"/>
      <c r="J29" s="1">
        <v>3.0</v>
      </c>
      <c r="K29" s="7">
        <v>1.0</v>
      </c>
      <c r="L29" s="9">
        <f t="shared" si="1"/>
        <v>118234.833</v>
      </c>
      <c r="M29" s="10">
        <f t="shared" si="2"/>
        <v>169985.432</v>
      </c>
      <c r="N29" s="9">
        <f t="shared" si="3"/>
        <v>16417.479</v>
      </c>
      <c r="O29" s="11">
        <f t="shared" si="4"/>
        <v>30488.618</v>
      </c>
      <c r="P29" s="11">
        <f t="shared" si="5"/>
        <v>261451.286</v>
      </c>
      <c r="Q29" s="11">
        <f t="shared" si="6"/>
        <v>225446.9484</v>
      </c>
      <c r="R29" s="11">
        <f t="shared" si="7"/>
        <v>256543.0793</v>
      </c>
      <c r="S29" s="6" t="str">
        <f t="shared" si="8"/>
        <v>Saga of Bloodshed</v>
      </c>
      <c r="T29" s="11">
        <f t="shared" si="9"/>
        <v>28180.86855</v>
      </c>
      <c r="U29" s="1">
        <v>1.0</v>
      </c>
    </row>
    <row r="30">
      <c r="B30" s="1" t="s">
        <v>470</v>
      </c>
      <c r="C30" s="1">
        <v>0.25</v>
      </c>
      <c r="D30" s="1">
        <v>90.0</v>
      </c>
      <c r="E30" s="1">
        <v>23038.0</v>
      </c>
      <c r="F30" s="1">
        <v>27162.0</v>
      </c>
      <c r="I30" s="2"/>
      <c r="K30" s="3"/>
      <c r="L30" s="9">
        <f t="shared" si="1"/>
        <v>158985.238</v>
      </c>
      <c r="M30" s="10">
        <f t="shared" si="2"/>
        <v>187444.962</v>
      </c>
      <c r="N30" s="9">
        <f t="shared" si="3"/>
        <v>0</v>
      </c>
      <c r="O30" s="11">
        <f t="shared" si="4"/>
        <v>0</v>
      </c>
      <c r="P30" s="11">
        <f t="shared" si="5"/>
        <v>187444.962</v>
      </c>
      <c r="Q30" s="11">
        <f t="shared" si="6"/>
        <v>174384.103</v>
      </c>
      <c r="R30" s="11">
        <f t="shared" si="7"/>
        <v>277333.7542</v>
      </c>
      <c r="S30" s="6" t="str">
        <f t="shared" si="8"/>
        <v>Sneering Assault</v>
      </c>
      <c r="T30" s="11">
        <f t="shared" si="9"/>
        <v>1932.233828</v>
      </c>
      <c r="U30" s="1">
        <v>1.0</v>
      </c>
    </row>
    <row r="31">
      <c r="A31" s="1">
        <v>1.0</v>
      </c>
      <c r="B31" s="1" t="s">
        <v>468</v>
      </c>
      <c r="C31" s="1">
        <v>0.25</v>
      </c>
      <c r="D31" s="1">
        <v>30.0</v>
      </c>
      <c r="E31" s="1">
        <v>16342.0</v>
      </c>
      <c r="F31" s="1">
        <v>23728.0</v>
      </c>
      <c r="I31" s="2"/>
      <c r="K31" s="3"/>
      <c r="L31" s="9">
        <f t="shared" si="1"/>
        <v>112776.142</v>
      </c>
      <c r="M31" s="10">
        <f t="shared" si="2"/>
        <v>163746.928</v>
      </c>
      <c r="N31" s="9">
        <f t="shared" si="3"/>
        <v>0</v>
      </c>
      <c r="O31" s="11">
        <f t="shared" si="4"/>
        <v>0</v>
      </c>
      <c r="P31" s="11">
        <f t="shared" si="5"/>
        <v>163746.928</v>
      </c>
      <c r="Q31" s="11">
        <f t="shared" si="6"/>
        <v>142959.1919</v>
      </c>
      <c r="R31" s="11">
        <f t="shared" si="7"/>
        <v>227356.7871</v>
      </c>
      <c r="S31" s="6" t="str">
        <f t="shared" si="8"/>
        <v>Stunning Roar</v>
      </c>
      <c r="T31" s="11">
        <f t="shared" si="9"/>
        <v>4725.9237</v>
      </c>
      <c r="U31" s="1">
        <v>1.0</v>
      </c>
    </row>
    <row r="32">
      <c r="A32" s="1">
        <v>1.0</v>
      </c>
      <c r="B32" s="1" t="s">
        <v>458</v>
      </c>
      <c r="C32" s="1">
        <v>0.25</v>
      </c>
      <c r="D32" s="1">
        <v>30.0</v>
      </c>
      <c r="E32" s="1">
        <v>26706.0</v>
      </c>
      <c r="F32" s="1">
        <v>51453.0</v>
      </c>
      <c r="I32" s="2"/>
      <c r="K32" s="3"/>
      <c r="L32" s="9">
        <f t="shared" si="1"/>
        <v>184298.106</v>
      </c>
      <c r="M32" s="10">
        <f t="shared" si="2"/>
        <v>355077.153</v>
      </c>
      <c r="N32" s="9">
        <f t="shared" si="3"/>
        <v>0</v>
      </c>
      <c r="O32" s="11">
        <f t="shared" si="4"/>
        <v>0</v>
      </c>
      <c r="P32" s="11">
        <f t="shared" si="5"/>
        <v>355077.153</v>
      </c>
      <c r="Q32" s="11">
        <f t="shared" si="6"/>
        <v>296723.9854</v>
      </c>
      <c r="R32" s="11">
        <f t="shared" si="7"/>
        <v>471898.3864</v>
      </c>
      <c r="S32" s="6" t="str">
        <f t="shared" si="8"/>
        <v>Utter Destruction</v>
      </c>
      <c r="T32" s="11">
        <f t="shared" si="9"/>
        <v>9809.057367</v>
      </c>
      <c r="U32" s="1">
        <v>1.0</v>
      </c>
    </row>
    <row r="33">
      <c r="B33" s="1" t="s">
        <v>464</v>
      </c>
      <c r="C33" s="1">
        <v>0.0</v>
      </c>
      <c r="D33" s="1">
        <v>15.0</v>
      </c>
      <c r="E33" s="1">
        <v>5310.0</v>
      </c>
      <c r="F33" s="1">
        <v>7787.0</v>
      </c>
      <c r="G33" s="1">
        <v>5310.0</v>
      </c>
      <c r="H33" s="1">
        <v>7787.0</v>
      </c>
      <c r="I33" s="2"/>
      <c r="J33" s="1">
        <v>2.0</v>
      </c>
      <c r="K33" s="7">
        <v>1.0</v>
      </c>
      <c r="L33" s="9">
        <f t="shared" si="1"/>
        <v>36644.31</v>
      </c>
      <c r="M33" s="10">
        <f t="shared" si="2"/>
        <v>53738.087</v>
      </c>
      <c r="N33" s="9">
        <f t="shared" si="3"/>
        <v>36644.31</v>
      </c>
      <c r="O33" s="11">
        <f t="shared" si="4"/>
        <v>53738.087</v>
      </c>
      <c r="P33" s="11">
        <f t="shared" si="5"/>
        <v>161214.261</v>
      </c>
      <c r="Q33" s="11">
        <f t="shared" si="6"/>
        <v>140422.9449</v>
      </c>
      <c r="R33" s="11">
        <f t="shared" si="7"/>
        <v>370716.5744</v>
      </c>
      <c r="S33" s="6" t="str">
        <f t="shared" si="8"/>
        <v>Weapon Counter</v>
      </c>
      <c r="T33" s="11">
        <f t="shared" si="9"/>
        <v>9361.529657</v>
      </c>
      <c r="U33" s="1">
        <v>1.0</v>
      </c>
    </row>
    <row r="34">
      <c r="A34" s="1">
        <v>1.0</v>
      </c>
      <c r="B34" s="1" t="s">
        <v>476</v>
      </c>
      <c r="C34" s="1">
        <v>0.0</v>
      </c>
      <c r="D34" s="6">
        <f>(2.5+0.25)*3+30</f>
        <v>38.25</v>
      </c>
      <c r="E34" s="6">
        <f>18386*(1+2+3+4)</f>
        <v>183860</v>
      </c>
      <c r="F34" s="6">
        <f>26591*(1+2+3+4)</f>
        <v>265910</v>
      </c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1">E27</f>
        <v>8710</v>
      </c>
      <c r="G61" s="6">
        <f t="shared" si="11"/>
        <v>13592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12">F$61*0.85^($E62-1)</f>
        <v>8710</v>
      </c>
      <c r="G62" s="6">
        <f t="shared" si="12"/>
        <v>13592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13">F$61*0.85^($D63-1)</f>
        <v>7403.5</v>
      </c>
      <c r="F63" s="6">
        <f t="shared" si="13"/>
        <v>11553.2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15">D63+1</f>
        <v>3</v>
      </c>
      <c r="E64" s="6">
        <f t="shared" ref="E64:F64" si="14">F$61*0.85^($D64-1)</f>
        <v>6292.975</v>
      </c>
      <c r="F64" s="6">
        <f t="shared" si="14"/>
        <v>9820.22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15"/>
        <v>4</v>
      </c>
      <c r="E65" s="6">
        <f t="shared" ref="E65:F65" si="16">F$61*0.85^($D65-1)</f>
        <v>5349.02875</v>
      </c>
      <c r="F65" s="6">
        <f t="shared" si="16"/>
        <v>8347.187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15"/>
        <v>5</v>
      </c>
      <c r="E66" s="6">
        <f t="shared" ref="E66:F66" si="17">F$61*0.85^($D66-1)</f>
        <v>4546.674438</v>
      </c>
      <c r="F66" s="6">
        <f t="shared" si="17"/>
        <v>7095.10895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15"/>
        <v>6</v>
      </c>
      <c r="E67" s="6">
        <f t="shared" ref="E67:F67" si="18">F$61*0.85^($D67-1)</f>
        <v>3864.673272</v>
      </c>
      <c r="F67" s="6">
        <f t="shared" si="18"/>
        <v>6030.842608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15"/>
        <v>7</v>
      </c>
      <c r="E68" s="6">
        <f t="shared" ref="E68:F68" si="19">F$61*0.85^($D68-1)</f>
        <v>3284.972281</v>
      </c>
      <c r="F68" s="6">
        <f t="shared" si="19"/>
        <v>5126.216216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15"/>
        <v>8</v>
      </c>
      <c r="E69" s="6">
        <f t="shared" ref="E69:F69" si="20">F$61*0.85^($D69-1)</f>
        <v>2792.226439</v>
      </c>
      <c r="F69" s="6">
        <f t="shared" si="20"/>
        <v>4357.283784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15"/>
        <v>9</v>
      </c>
      <c r="E70" s="6">
        <f t="shared" ref="E70:F70" si="21">F$61*0.85^($D70-1)</f>
        <v>2373.392473</v>
      </c>
      <c r="F70" s="6">
        <f t="shared" si="21"/>
        <v>3703.691216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15"/>
        <v>10</v>
      </c>
      <c r="E71" s="6">
        <f t="shared" ref="E71:F71" si="22">F$61*0.85^($D71-1)</f>
        <v>2017.383602</v>
      </c>
      <c r="F71" s="6">
        <f t="shared" si="22"/>
        <v>3148.137534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15"/>
        <v>11</v>
      </c>
      <c r="E72" s="6">
        <f t="shared" ref="E72:F72" si="23">F$61*0.85^($D72-1)</f>
        <v>1714.776062</v>
      </c>
      <c r="F72" s="6">
        <f t="shared" si="23"/>
        <v>2675.916904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15"/>
        <v>12</v>
      </c>
      <c r="E73" s="6">
        <f t="shared" ref="E73:F73" si="24">F$61*0.85^($D73-1)</f>
        <v>1457.559653</v>
      </c>
      <c r="F73" s="6">
        <f t="shared" si="24"/>
        <v>2274.529368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15"/>
        <v>13</v>
      </c>
      <c r="E74" s="6">
        <f t="shared" ref="E74:F74" si="25">F$61*0.85^($D74-1)</f>
        <v>1238.925705</v>
      </c>
      <c r="F74" s="6">
        <f t="shared" si="25"/>
        <v>1933.349963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15"/>
        <v>14</v>
      </c>
      <c r="E75" s="6">
        <f t="shared" ref="E75:F75" si="26">F$61*0.85^($D75-1)</f>
        <v>1053.086849</v>
      </c>
      <c r="F75" s="6">
        <f t="shared" si="26"/>
        <v>1643.347469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15"/>
        <v>15</v>
      </c>
      <c r="E76" s="6">
        <f t="shared" ref="E76:F76" si="27">F$61*0.85^($D76-1)</f>
        <v>895.1238216</v>
      </c>
      <c r="F76" s="6">
        <f t="shared" si="27"/>
        <v>1396.845348</v>
      </c>
      <c r="I76" s="2"/>
      <c r="K76" s="3"/>
      <c r="L76" s="4"/>
    </row>
    <row r="77">
      <c r="B77" s="1" t="s">
        <v>90</v>
      </c>
      <c r="D77" s="6">
        <f t="shared" si="15"/>
        <v>16</v>
      </c>
      <c r="E77" s="6">
        <f t="shared" ref="E77:F77" si="28">F$61*0.85^($D77-1)</f>
        <v>760.8552484</v>
      </c>
      <c r="F77" s="6">
        <f t="shared" si="28"/>
        <v>1187.318546</v>
      </c>
      <c r="I77" s="2"/>
      <c r="K77" s="3"/>
      <c r="L77" s="4"/>
    </row>
    <row r="78">
      <c r="D78" s="6">
        <f t="shared" si="15"/>
        <v>17</v>
      </c>
      <c r="E78" s="6">
        <f t="shared" ref="E78:F78" si="29">F$61*0.85^($D78-1)</f>
        <v>646.7269611</v>
      </c>
      <c r="F78" s="6">
        <f t="shared" si="29"/>
        <v>1009.220764</v>
      </c>
      <c r="I78" s="2"/>
      <c r="K78" s="3"/>
      <c r="L78" s="4"/>
    </row>
    <row r="79">
      <c r="D79" s="6">
        <f t="shared" si="15"/>
        <v>18</v>
      </c>
      <c r="E79" s="6">
        <f t="shared" ref="E79:F79" si="30">F$61*0.85^($D79-1)</f>
        <v>549.7179169</v>
      </c>
      <c r="F79" s="6">
        <f t="shared" si="30"/>
        <v>857.8376495</v>
      </c>
      <c r="I79" s="2"/>
      <c r="K79" s="3"/>
      <c r="L79" s="4"/>
    </row>
    <row r="80">
      <c r="D80" s="6">
        <f t="shared" si="15"/>
        <v>19</v>
      </c>
      <c r="E80" s="6">
        <f t="shared" ref="E80:F80" si="31">F$61*0.85^($D80-1)</f>
        <v>467.2602294</v>
      </c>
      <c r="F80" s="6">
        <f t="shared" si="31"/>
        <v>729.1620021</v>
      </c>
      <c r="I80" s="2"/>
      <c r="K80" s="3"/>
      <c r="L80" s="4"/>
    </row>
    <row r="81">
      <c r="D81" s="6">
        <f t="shared" si="15"/>
        <v>20</v>
      </c>
      <c r="E81" s="6">
        <f t="shared" ref="E81:F81" si="32">F$61*0.85^($D81-1)</f>
        <v>397.171195</v>
      </c>
      <c r="F81" s="6">
        <f t="shared" si="32"/>
        <v>619.7877018</v>
      </c>
      <c r="I81" s="2"/>
      <c r="K81" s="3"/>
      <c r="L81" s="4"/>
    </row>
    <row r="82">
      <c r="E82" s="6">
        <f t="shared" ref="E82:F82" si="33">sum(E63:E81)</f>
        <v>47106.0299</v>
      </c>
      <c r="F82" s="6">
        <f t="shared" si="33"/>
        <v>73509.20302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U$54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5.401+1.5</f>
        <v>6.901</v>
      </c>
      <c r="C1" s="55"/>
      <c r="I1" s="2"/>
      <c r="K1" s="3"/>
      <c r="L1" s="4"/>
    </row>
    <row r="2">
      <c r="A2" s="1" t="s">
        <v>1</v>
      </c>
      <c r="B2" s="5">
        <v>0.32</v>
      </c>
      <c r="C2" s="55"/>
      <c r="I2" s="2"/>
      <c r="K2" s="3"/>
      <c r="L2" s="4"/>
    </row>
    <row r="3">
      <c r="A3" s="1" t="s">
        <v>2</v>
      </c>
      <c r="B3" s="19">
        <v>0.06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1" t="s">
        <v>472</v>
      </c>
      <c r="C8" s="1">
        <v>0.25</v>
      </c>
      <c r="D8" s="1">
        <v>15.0</v>
      </c>
      <c r="E8" s="1">
        <v>8554.0</v>
      </c>
      <c r="F8" s="1">
        <v>12421.0</v>
      </c>
      <c r="I8" s="2"/>
      <c r="K8" s="3"/>
      <c r="L8" s="9">
        <f t="shared" ref="L8:L33" si="1">if(E8*($B$1+$I8)&lt;(F8+1),F8+1,E8*($I8+$B$1))</f>
        <v>59031.154</v>
      </c>
      <c r="M8" s="10">
        <f t="shared" ref="M8:M33" si="2">F8*($B$1+$I8)</f>
        <v>85717.321</v>
      </c>
      <c r="N8" s="9">
        <f t="shared" ref="N8:N33" si="3">if(if(G8*($B$1+$I8)&lt;(H8+1),H8+1,G8*($I8+$B$1))=1,0,if(G8*($B$1+$I8)&lt;(H8+1),H8+1,G8*($I8+$B$1)))</f>
        <v>0</v>
      </c>
      <c r="O8" s="11">
        <f t="shared" ref="O8:O33" si="4">H8*($B$1+$I8)</f>
        <v>0</v>
      </c>
      <c r="P8" s="11">
        <f t="shared" ref="P8:P33" si="5">M8+O8*K8*J8</f>
        <v>85717.321</v>
      </c>
      <c r="Q8" s="11">
        <f t="shared" ref="Q8:Q33" si="6">(if($A8=1,$B$4,1)*((L8*E8+F8*M8)/(E8+F8)+if(G8&gt;0,(N8*G8+H8*O8)/(G8+H8)*J8*K8,0)))*(if($U8=0,1+$B$3,1))</f>
        <v>79324.25152</v>
      </c>
      <c r="R8" s="11">
        <f t="shared" ref="R8:R33" si="7">Q8/(C8+0.5*(1/(1+$B$2)))</f>
        <v>126154.2313</v>
      </c>
      <c r="S8" s="6" t="str">
        <f t="shared" ref="S8:S33" si="8">B8</f>
        <v>Accel Strike</v>
      </c>
      <c r="T8" s="11">
        <f t="shared" ref="T8:T33" si="9">$Q8/(($C8+if($D8&lt;=$J8,$J8,$D8)))</f>
        <v>5201.590263</v>
      </c>
    </row>
    <row r="9">
      <c r="A9" s="1">
        <v>1.0</v>
      </c>
      <c r="B9" s="1" t="s">
        <v>454</v>
      </c>
      <c r="C9" s="1">
        <v>0.75</v>
      </c>
      <c r="D9" s="1">
        <v>22.5</v>
      </c>
      <c r="E9" s="1">
        <v>45531.0</v>
      </c>
      <c r="F9" s="1">
        <v>68946.0</v>
      </c>
      <c r="I9" s="2"/>
      <c r="K9" s="3"/>
      <c r="L9" s="9">
        <f t="shared" si="1"/>
        <v>314209.431</v>
      </c>
      <c r="M9" s="10">
        <f t="shared" si="2"/>
        <v>475796.346</v>
      </c>
      <c r="N9" s="9">
        <f t="shared" si="3"/>
        <v>0</v>
      </c>
      <c r="O9" s="11">
        <f t="shared" si="4"/>
        <v>0</v>
      </c>
      <c r="P9" s="11">
        <f t="shared" si="5"/>
        <v>475796.346</v>
      </c>
      <c r="Q9" s="11">
        <f t="shared" si="6"/>
        <v>411528.2937</v>
      </c>
      <c r="R9" s="11">
        <f t="shared" si="7"/>
        <v>364575.4011</v>
      </c>
      <c r="S9" s="6" t="str">
        <f t="shared" si="8"/>
        <v>Berserker Onslaught</v>
      </c>
      <c r="T9" s="11">
        <f t="shared" si="9"/>
        <v>17700.14166</v>
      </c>
      <c r="U9" s="1">
        <v>1.0</v>
      </c>
    </row>
    <row r="10">
      <c r="A10" s="1">
        <v>1.0</v>
      </c>
      <c r="B10" s="1" t="s">
        <v>474</v>
      </c>
      <c r="C10" s="1">
        <v>0.75</v>
      </c>
      <c r="D10" s="1">
        <v>15.0</v>
      </c>
      <c r="E10" s="1">
        <v>30594.0</v>
      </c>
      <c r="F10" s="1">
        <v>59531.0</v>
      </c>
      <c r="J10" s="2"/>
      <c r="K10" s="3"/>
      <c r="L10" s="9">
        <f t="shared" si="1"/>
        <v>211129.194</v>
      </c>
      <c r="M10" s="10">
        <f t="shared" si="2"/>
        <v>410823.431</v>
      </c>
      <c r="N10" s="9">
        <f t="shared" si="3"/>
        <v>0</v>
      </c>
      <c r="O10" s="11">
        <f t="shared" si="4"/>
        <v>0</v>
      </c>
      <c r="P10" s="11">
        <f t="shared" si="5"/>
        <v>410823.431</v>
      </c>
      <c r="Q10" s="11">
        <f t="shared" si="6"/>
        <v>363616.9454</v>
      </c>
      <c r="R10" s="11">
        <f t="shared" si="7"/>
        <v>322130.4483</v>
      </c>
      <c r="S10" s="6" t="str">
        <f t="shared" si="8"/>
        <v>Bloodbath</v>
      </c>
      <c r="T10" s="11">
        <f t="shared" si="9"/>
        <v>23086.79019</v>
      </c>
      <c r="U10" s="11"/>
    </row>
    <row r="11">
      <c r="B11" s="1" t="s">
        <v>463</v>
      </c>
      <c r="C11" s="1">
        <v>0.25</v>
      </c>
      <c r="D11" s="1">
        <v>10.0</v>
      </c>
      <c r="E11" s="1">
        <v>8125.0</v>
      </c>
      <c r="F11" s="1">
        <v>17296.0</v>
      </c>
      <c r="I11" s="2"/>
      <c r="K11" s="3"/>
      <c r="L11" s="9">
        <f t="shared" si="1"/>
        <v>56070.625</v>
      </c>
      <c r="M11" s="10">
        <f t="shared" si="2"/>
        <v>119359.696</v>
      </c>
      <c r="N11" s="9">
        <f t="shared" si="3"/>
        <v>0</v>
      </c>
      <c r="O11" s="11">
        <f t="shared" si="4"/>
        <v>0</v>
      </c>
      <c r="P11" s="11">
        <f t="shared" si="5"/>
        <v>119359.696</v>
      </c>
      <c r="Q11" s="11">
        <f t="shared" si="6"/>
        <v>99131.39256</v>
      </c>
      <c r="R11" s="11">
        <f t="shared" si="7"/>
        <v>157654.7448</v>
      </c>
      <c r="S11" s="6" t="str">
        <f t="shared" si="8"/>
        <v>Body Check</v>
      </c>
      <c r="T11" s="11">
        <f t="shared" si="9"/>
        <v>9671.355371</v>
      </c>
      <c r="U11" s="1">
        <v>1.0</v>
      </c>
    </row>
    <row r="12">
      <c r="B12" s="1" t="s">
        <v>473</v>
      </c>
      <c r="C12" s="1">
        <v>0.25</v>
      </c>
      <c r="D12" s="1">
        <v>30.0</v>
      </c>
      <c r="E12" s="1">
        <v>11409.0</v>
      </c>
      <c r="F12" s="1">
        <v>23711.0</v>
      </c>
      <c r="I12" s="2"/>
      <c r="K12" s="3"/>
      <c r="L12" s="9">
        <f t="shared" si="1"/>
        <v>78733.509</v>
      </c>
      <c r="M12" s="10">
        <f t="shared" si="2"/>
        <v>163629.611</v>
      </c>
      <c r="N12" s="9">
        <f t="shared" si="3"/>
        <v>0</v>
      </c>
      <c r="O12" s="11">
        <f t="shared" si="4"/>
        <v>0</v>
      </c>
      <c r="P12" s="11">
        <f t="shared" si="5"/>
        <v>163629.611</v>
      </c>
      <c r="Q12" s="11">
        <f t="shared" si="6"/>
        <v>144213.4923</v>
      </c>
      <c r="R12" s="11">
        <f t="shared" si="7"/>
        <v>229351.5781</v>
      </c>
      <c r="S12" s="6" t="str">
        <f t="shared" si="8"/>
        <v>Demolish</v>
      </c>
      <c r="T12" s="11">
        <f t="shared" si="9"/>
        <v>4767.388175</v>
      </c>
    </row>
    <row r="13">
      <c r="A13" s="1">
        <v>1.0</v>
      </c>
      <c r="B13" s="1" t="s">
        <v>471</v>
      </c>
      <c r="C13" s="1">
        <v>0.5</v>
      </c>
      <c r="D13" s="1">
        <v>22.5</v>
      </c>
      <c r="E13" s="1">
        <v>6587.0</v>
      </c>
      <c r="F13" s="1">
        <v>9564.0</v>
      </c>
      <c r="I13" s="2"/>
      <c r="K13" s="3"/>
      <c r="L13" s="9">
        <f t="shared" si="1"/>
        <v>45456.887</v>
      </c>
      <c r="M13" s="10">
        <f t="shared" si="2"/>
        <v>66001.164</v>
      </c>
      <c r="N13" s="9">
        <f t="shared" si="3"/>
        <v>0</v>
      </c>
      <c r="O13" s="11">
        <f t="shared" si="4"/>
        <v>0</v>
      </c>
      <c r="P13" s="11">
        <f t="shared" si="5"/>
        <v>66001.164</v>
      </c>
      <c r="Q13" s="11">
        <f t="shared" si="6"/>
        <v>61079.76138</v>
      </c>
      <c r="R13" s="11">
        <f t="shared" si="7"/>
        <v>69504.55605</v>
      </c>
      <c r="S13" s="6" t="str">
        <f t="shared" si="8"/>
        <v>Dragoon Spin</v>
      </c>
      <c r="T13" s="11">
        <f t="shared" si="9"/>
        <v>2655.641799</v>
      </c>
    </row>
    <row r="14">
      <c r="A14" s="1">
        <v>1.0</v>
      </c>
      <c r="B14" s="1" t="s">
        <v>453</v>
      </c>
      <c r="C14" s="1">
        <v>0.125</v>
      </c>
      <c r="D14" s="1">
        <v>10.0</v>
      </c>
      <c r="E14" s="1">
        <v>24762.0</v>
      </c>
      <c r="F14" s="1">
        <v>30232.0</v>
      </c>
      <c r="I14" s="2"/>
      <c r="K14" s="3"/>
      <c r="L14" s="9">
        <f t="shared" si="1"/>
        <v>170882.562</v>
      </c>
      <c r="M14" s="10">
        <f t="shared" si="2"/>
        <v>208631.032</v>
      </c>
      <c r="N14" s="9">
        <f t="shared" si="3"/>
        <v>0</v>
      </c>
      <c r="O14" s="11">
        <f t="shared" si="4"/>
        <v>0</v>
      </c>
      <c r="P14" s="11">
        <f t="shared" si="5"/>
        <v>208631.032</v>
      </c>
      <c r="Q14" s="11">
        <f t="shared" si="6"/>
        <v>203132.1781</v>
      </c>
      <c r="R14" s="11">
        <f t="shared" si="7"/>
        <v>403209.7369</v>
      </c>
      <c r="S14" s="6" t="str">
        <f t="shared" si="8"/>
        <v>Enrage</v>
      </c>
      <c r="T14" s="11">
        <f t="shared" si="9"/>
        <v>20062.43734</v>
      </c>
    </row>
    <row r="15">
      <c r="B15" s="1" t="s">
        <v>465</v>
      </c>
      <c r="C15" s="1">
        <v>0.25</v>
      </c>
      <c r="D15" s="1">
        <v>30.0</v>
      </c>
      <c r="E15" s="6">
        <f>16764+7251+8702</f>
        <v>32717</v>
      </c>
      <c r="F15" s="6">
        <f>23319+15070+18084</f>
        <v>56473</v>
      </c>
      <c r="I15" s="2"/>
      <c r="K15" s="3"/>
      <c r="L15" s="9">
        <f t="shared" si="1"/>
        <v>225780.017</v>
      </c>
      <c r="M15" s="10">
        <f t="shared" si="2"/>
        <v>389720.173</v>
      </c>
      <c r="N15" s="9">
        <f t="shared" si="3"/>
        <v>0</v>
      </c>
      <c r="O15" s="11">
        <f t="shared" si="4"/>
        <v>0</v>
      </c>
      <c r="P15" s="11">
        <f t="shared" si="5"/>
        <v>389720.173</v>
      </c>
      <c r="Q15" s="11">
        <f t="shared" si="6"/>
        <v>329583.0491</v>
      </c>
      <c r="R15" s="11">
        <f t="shared" si="7"/>
        <v>524156.1744</v>
      </c>
      <c r="S15" s="6" t="str">
        <f t="shared" si="8"/>
        <v>Frenzy</v>
      </c>
      <c r="T15" s="11">
        <f t="shared" si="9"/>
        <v>10895.30741</v>
      </c>
      <c r="U15" s="1">
        <v>1.0</v>
      </c>
    </row>
    <row r="16">
      <c r="B16" s="1" t="s">
        <v>461</v>
      </c>
      <c r="C16" s="1">
        <v>0.25</v>
      </c>
      <c r="D16" s="1">
        <v>10.0</v>
      </c>
      <c r="E16" s="1">
        <v>13212.0</v>
      </c>
      <c r="F16" s="1">
        <v>27457.0</v>
      </c>
      <c r="I16" s="2"/>
      <c r="K16" s="3"/>
      <c r="L16" s="9">
        <f t="shared" si="1"/>
        <v>91176.012</v>
      </c>
      <c r="M16" s="10">
        <f t="shared" si="2"/>
        <v>189480.757</v>
      </c>
      <c r="N16" s="9">
        <f t="shared" si="3"/>
        <v>0</v>
      </c>
      <c r="O16" s="11">
        <f t="shared" si="4"/>
        <v>0</v>
      </c>
      <c r="P16" s="11">
        <f t="shared" si="5"/>
        <v>189480.757</v>
      </c>
      <c r="Q16" s="11">
        <f t="shared" si="6"/>
        <v>157544.8281</v>
      </c>
      <c r="R16" s="11">
        <f t="shared" si="7"/>
        <v>250553.2207</v>
      </c>
      <c r="S16" s="6" t="str">
        <f t="shared" si="8"/>
        <v>Head Crush</v>
      </c>
      <c r="T16" s="11">
        <f t="shared" si="9"/>
        <v>15370.22714</v>
      </c>
      <c r="U16" s="1">
        <v>1.0</v>
      </c>
    </row>
    <row r="17">
      <c r="A17" s="1">
        <v>1.0</v>
      </c>
      <c r="B17" s="1" t="s">
        <v>475</v>
      </c>
      <c r="C17" s="1">
        <v>0.125</v>
      </c>
      <c r="D17" s="1">
        <v>90.0</v>
      </c>
      <c r="E17" s="1">
        <v>52795.0</v>
      </c>
      <c r="F17" s="1">
        <v>71287.0</v>
      </c>
      <c r="I17" s="2"/>
      <c r="K17" s="3"/>
      <c r="L17" s="9">
        <f t="shared" si="1"/>
        <v>364338.295</v>
      </c>
      <c r="M17" s="10">
        <f t="shared" si="2"/>
        <v>491951.587</v>
      </c>
      <c r="N17" s="9">
        <f t="shared" si="3"/>
        <v>0</v>
      </c>
      <c r="O17" s="11">
        <f t="shared" si="4"/>
        <v>0</v>
      </c>
      <c r="P17" s="11">
        <f t="shared" si="5"/>
        <v>491951.587</v>
      </c>
      <c r="Q17" s="11">
        <f t="shared" si="6"/>
        <v>463913.3206</v>
      </c>
      <c r="R17" s="11">
        <f t="shared" si="7"/>
        <v>920850.5011</v>
      </c>
      <c r="S17" s="6" t="str">
        <f t="shared" si="8"/>
        <v>Insolence</v>
      </c>
      <c r="T17" s="11">
        <f t="shared" si="9"/>
        <v>5147.443225</v>
      </c>
    </row>
    <row r="18">
      <c r="A18" s="1">
        <v>1.0</v>
      </c>
      <c r="B18" s="1" t="s">
        <v>460</v>
      </c>
      <c r="C18" s="1">
        <v>0.5</v>
      </c>
      <c r="D18" s="1">
        <v>22.5</v>
      </c>
      <c r="E18" s="1">
        <v>23105.0</v>
      </c>
      <c r="F18" s="1">
        <v>29883.0</v>
      </c>
      <c r="I18" s="2"/>
      <c r="K18" s="3"/>
      <c r="L18" s="9">
        <f t="shared" si="1"/>
        <v>159447.605</v>
      </c>
      <c r="M18" s="10">
        <f t="shared" si="2"/>
        <v>206222.583</v>
      </c>
      <c r="N18" s="9">
        <f t="shared" si="3"/>
        <v>0</v>
      </c>
      <c r="O18" s="11">
        <f t="shared" si="4"/>
        <v>0</v>
      </c>
      <c r="P18" s="11">
        <f t="shared" si="5"/>
        <v>206222.583</v>
      </c>
      <c r="Q18" s="11">
        <f t="shared" si="6"/>
        <v>185826.7223</v>
      </c>
      <c r="R18" s="11">
        <f t="shared" si="7"/>
        <v>211457.9943</v>
      </c>
      <c r="S18" s="6" t="str">
        <f t="shared" si="8"/>
        <v>Jeering Onslaught</v>
      </c>
      <c r="T18" s="11">
        <f t="shared" si="9"/>
        <v>8079.422709</v>
      </c>
      <c r="U18" s="1">
        <v>1.0</v>
      </c>
    </row>
    <row r="19">
      <c r="B19" s="1" t="s">
        <v>457</v>
      </c>
      <c r="C19" s="1">
        <v>0.25</v>
      </c>
      <c r="D19" s="1">
        <v>5.0</v>
      </c>
      <c r="E19" s="1">
        <v>8861.0</v>
      </c>
      <c r="F19" s="1">
        <v>18415.0</v>
      </c>
      <c r="I19" s="2"/>
      <c r="K19" s="3"/>
      <c r="L19" s="9">
        <f t="shared" si="1"/>
        <v>61149.761</v>
      </c>
      <c r="M19" s="10">
        <f t="shared" si="2"/>
        <v>127081.915</v>
      </c>
      <c r="N19" s="9">
        <f t="shared" si="3"/>
        <v>0</v>
      </c>
      <c r="O19" s="11">
        <f t="shared" si="4"/>
        <v>0</v>
      </c>
      <c r="P19" s="11">
        <f t="shared" si="5"/>
        <v>127081.915</v>
      </c>
      <c r="Q19" s="11">
        <f t="shared" si="6"/>
        <v>105662.9087</v>
      </c>
      <c r="R19" s="11">
        <f t="shared" si="7"/>
        <v>168042.2162</v>
      </c>
      <c r="S19" s="6" t="str">
        <f t="shared" si="8"/>
        <v>Knee Break</v>
      </c>
      <c r="T19" s="11">
        <f t="shared" si="9"/>
        <v>20126.26832</v>
      </c>
      <c r="U19" s="1">
        <v>1.0</v>
      </c>
    </row>
    <row r="20">
      <c r="B20" s="1" t="s">
        <v>467</v>
      </c>
      <c r="C20" s="1">
        <v>0.25</v>
      </c>
      <c r="D20" s="1">
        <v>15.0</v>
      </c>
      <c r="E20" s="1">
        <v>18684.0</v>
      </c>
      <c r="F20" s="1">
        <v>27128.0</v>
      </c>
      <c r="I20" s="2"/>
      <c r="K20" s="3"/>
      <c r="L20" s="9">
        <f t="shared" si="1"/>
        <v>128938.284</v>
      </c>
      <c r="M20" s="10">
        <f t="shared" si="2"/>
        <v>187210.328</v>
      </c>
      <c r="N20" s="9">
        <f t="shared" si="3"/>
        <v>0</v>
      </c>
      <c r="O20" s="11">
        <f t="shared" si="4"/>
        <v>0</v>
      </c>
      <c r="P20" s="11">
        <f t="shared" si="5"/>
        <v>187210.328</v>
      </c>
      <c r="Q20" s="11">
        <f t="shared" si="6"/>
        <v>163444.6144</v>
      </c>
      <c r="R20" s="11">
        <f t="shared" si="7"/>
        <v>259936.0133</v>
      </c>
      <c r="S20" s="6" t="str">
        <f t="shared" si="8"/>
        <v>Master's Rage</v>
      </c>
      <c r="T20" s="11">
        <f t="shared" si="9"/>
        <v>10717.67963</v>
      </c>
      <c r="U20" s="1">
        <v>1.0</v>
      </c>
    </row>
    <row r="21">
      <c r="B21" s="1" t="s">
        <v>459</v>
      </c>
      <c r="C21" s="1">
        <v>0.25</v>
      </c>
      <c r="D21" s="1">
        <v>10.0</v>
      </c>
      <c r="E21" s="1">
        <v>22595.0</v>
      </c>
      <c r="F21" s="1">
        <v>32808.0</v>
      </c>
      <c r="K21" s="3"/>
      <c r="L21" s="9">
        <f t="shared" si="1"/>
        <v>155928.095</v>
      </c>
      <c r="M21" s="10">
        <f t="shared" si="2"/>
        <v>226408.008</v>
      </c>
      <c r="N21" s="9">
        <f t="shared" si="3"/>
        <v>0</v>
      </c>
      <c r="O21" s="11">
        <f t="shared" si="4"/>
        <v>0</v>
      </c>
      <c r="P21" s="11">
        <f t="shared" si="5"/>
        <v>226408.008</v>
      </c>
      <c r="Q21" s="11">
        <f t="shared" si="6"/>
        <v>197664.1921</v>
      </c>
      <c r="R21" s="11">
        <f t="shared" si="7"/>
        <v>314357.5103</v>
      </c>
      <c r="S21" s="6" t="str">
        <f t="shared" si="8"/>
        <v>Maul</v>
      </c>
      <c r="T21" s="11">
        <f t="shared" si="9"/>
        <v>19284.31142</v>
      </c>
      <c r="U21" s="1">
        <v>1.0</v>
      </c>
    </row>
    <row r="22">
      <c r="B22" s="1" t="s">
        <v>452</v>
      </c>
      <c r="C22" s="1">
        <v>0.125</v>
      </c>
      <c r="D22" s="1">
        <v>4.0</v>
      </c>
      <c r="E22" s="1">
        <v>24174.0</v>
      </c>
      <c r="F22" s="1">
        <v>29514.0</v>
      </c>
      <c r="I22" s="2"/>
      <c r="K22" s="3"/>
      <c r="L22" s="9">
        <f t="shared" si="1"/>
        <v>166824.774</v>
      </c>
      <c r="M22" s="10">
        <f t="shared" si="2"/>
        <v>203676.114</v>
      </c>
      <c r="N22" s="9">
        <f t="shared" si="3"/>
        <v>0</v>
      </c>
      <c r="O22" s="11">
        <f t="shared" si="4"/>
        <v>0</v>
      </c>
      <c r="P22" s="11">
        <f t="shared" si="5"/>
        <v>203676.114</v>
      </c>
      <c r="Q22" s="11">
        <f t="shared" si="6"/>
        <v>198308.1145</v>
      </c>
      <c r="R22" s="11">
        <f t="shared" si="7"/>
        <v>393634.1521</v>
      </c>
      <c r="S22" s="6" t="str">
        <f t="shared" si="8"/>
        <v>Mock</v>
      </c>
      <c r="T22" s="11">
        <f t="shared" si="9"/>
        <v>48074.69442</v>
      </c>
    </row>
    <row r="23">
      <c r="B23" s="1" t="s">
        <v>469</v>
      </c>
      <c r="C23" s="1">
        <v>0.25</v>
      </c>
      <c r="D23" s="1">
        <v>10.0</v>
      </c>
      <c r="E23" s="1">
        <v>7986.0</v>
      </c>
      <c r="F23" s="1">
        <v>11470.0</v>
      </c>
      <c r="G23" s="1">
        <v>3137.0</v>
      </c>
      <c r="H23" s="1">
        <v>3137.0</v>
      </c>
      <c r="I23" s="2"/>
      <c r="K23" s="3"/>
      <c r="L23" s="9">
        <f t="shared" si="1"/>
        <v>55111.386</v>
      </c>
      <c r="M23" s="10">
        <f t="shared" si="2"/>
        <v>79154.47</v>
      </c>
      <c r="N23" s="9">
        <f t="shared" si="3"/>
        <v>21648.437</v>
      </c>
      <c r="O23" s="11">
        <f t="shared" si="4"/>
        <v>21648.437</v>
      </c>
      <c r="P23" s="11">
        <f t="shared" si="5"/>
        <v>79154.47</v>
      </c>
      <c r="Q23" s="11">
        <f t="shared" si="6"/>
        <v>69285.63423</v>
      </c>
      <c r="R23" s="11">
        <f t="shared" si="7"/>
        <v>110189.2014</v>
      </c>
      <c r="S23" s="6" t="str">
        <f t="shared" si="8"/>
        <v>Mutaliate</v>
      </c>
      <c r="T23" s="11">
        <f t="shared" si="9"/>
        <v>6759.574071</v>
      </c>
      <c r="U23" s="1">
        <v>1.0</v>
      </c>
    </row>
    <row r="24">
      <c r="A24" s="1">
        <v>1.0</v>
      </c>
      <c r="B24" s="1" t="s">
        <v>466</v>
      </c>
      <c r="C24" s="1">
        <v>0.25</v>
      </c>
      <c r="D24" s="1">
        <v>10.0</v>
      </c>
      <c r="E24" s="1">
        <v>7031.0</v>
      </c>
      <c r="F24" s="6">
        <f>E24</f>
        <v>7031</v>
      </c>
      <c r="I24" s="2"/>
      <c r="K24" s="3"/>
      <c r="L24" s="9">
        <f t="shared" si="1"/>
        <v>48520.931</v>
      </c>
      <c r="M24" s="10">
        <f t="shared" si="2"/>
        <v>48520.931</v>
      </c>
      <c r="N24" s="9">
        <f t="shared" si="3"/>
        <v>0</v>
      </c>
      <c r="O24" s="11">
        <f t="shared" si="4"/>
        <v>0</v>
      </c>
      <c r="P24" s="11">
        <f t="shared" si="5"/>
        <v>48520.931</v>
      </c>
      <c r="Q24" s="11">
        <f t="shared" si="6"/>
        <v>51432.18686</v>
      </c>
      <c r="R24" s="11">
        <f t="shared" si="7"/>
        <v>81795.76705</v>
      </c>
      <c r="S24" s="6" t="str">
        <f t="shared" si="8"/>
        <v>Mutilate Enc</v>
      </c>
      <c r="T24" s="11">
        <f t="shared" si="9"/>
        <v>5017.774328</v>
      </c>
    </row>
    <row r="25">
      <c r="A25" s="1">
        <v>1.0</v>
      </c>
      <c r="B25" s="1" t="s">
        <v>445</v>
      </c>
      <c r="C25" s="1">
        <v>0.5</v>
      </c>
      <c r="D25" s="1">
        <v>60.0</v>
      </c>
      <c r="E25" s="1">
        <v>74397.0</v>
      </c>
      <c r="F25" s="1">
        <v>113991.0</v>
      </c>
      <c r="I25" s="2"/>
      <c r="K25" s="3"/>
      <c r="L25" s="9">
        <f t="shared" si="1"/>
        <v>513413.697</v>
      </c>
      <c r="M25" s="10">
        <f t="shared" si="2"/>
        <v>786651.891</v>
      </c>
      <c r="N25" s="9">
        <f t="shared" si="3"/>
        <v>0</v>
      </c>
      <c r="O25" s="11">
        <f t="shared" si="4"/>
        <v>0</v>
      </c>
      <c r="P25" s="11">
        <f t="shared" si="5"/>
        <v>786651.891</v>
      </c>
      <c r="Q25" s="11">
        <f t="shared" si="6"/>
        <v>678746.3879</v>
      </c>
      <c r="R25" s="11">
        <f t="shared" si="7"/>
        <v>772366.5793</v>
      </c>
      <c r="S25" s="6" t="str">
        <f t="shared" si="8"/>
        <v>Partisan Cleave</v>
      </c>
      <c r="T25" s="11">
        <f t="shared" si="9"/>
        <v>11218.94856</v>
      </c>
      <c r="U25" s="1">
        <v>1.0</v>
      </c>
    </row>
    <row r="26">
      <c r="B26" s="1" t="s">
        <v>462</v>
      </c>
      <c r="C26" s="1">
        <v>0.25</v>
      </c>
      <c r="D26" s="1">
        <v>5.0</v>
      </c>
      <c r="E26" s="1">
        <v>6876.0</v>
      </c>
      <c r="F26" s="1">
        <v>14289.0</v>
      </c>
      <c r="I26" s="2"/>
      <c r="K26" s="3"/>
      <c r="L26" s="9">
        <f t="shared" si="1"/>
        <v>47451.276</v>
      </c>
      <c r="M26" s="10">
        <f t="shared" si="2"/>
        <v>98608.389</v>
      </c>
      <c r="N26" s="9">
        <f t="shared" si="3"/>
        <v>0</v>
      </c>
      <c r="O26" s="11">
        <f t="shared" si="4"/>
        <v>0</v>
      </c>
      <c r="P26" s="11">
        <f t="shared" si="5"/>
        <v>98608.389</v>
      </c>
      <c r="Q26" s="11">
        <f t="shared" si="6"/>
        <v>81988.67206</v>
      </c>
      <c r="R26" s="11">
        <f t="shared" si="7"/>
        <v>130391.623</v>
      </c>
      <c r="S26" s="6" t="str">
        <f t="shared" si="8"/>
        <v>Raging Blow</v>
      </c>
      <c r="T26" s="11">
        <f t="shared" si="9"/>
        <v>15616.88992</v>
      </c>
      <c r="U26" s="1">
        <v>1.0</v>
      </c>
    </row>
    <row r="27">
      <c r="A27" s="1">
        <v>1.0</v>
      </c>
      <c r="B27" s="1" t="s">
        <v>456</v>
      </c>
      <c r="C27" s="1">
        <v>0.75</v>
      </c>
      <c r="D27" s="1">
        <v>90.0</v>
      </c>
      <c r="E27" s="1">
        <v>8710.0</v>
      </c>
      <c r="F27" s="1">
        <v>13592.0</v>
      </c>
      <c r="G27" s="6">
        <f t="shared" ref="G27:H27" si="10">E27</f>
        <v>8710</v>
      </c>
      <c r="H27" s="6">
        <f t="shared" si="10"/>
        <v>13592</v>
      </c>
      <c r="I27" s="2"/>
      <c r="J27" s="1">
        <v>13.0</v>
      </c>
      <c r="K27" s="7">
        <v>1.0</v>
      </c>
      <c r="L27" s="9">
        <f t="shared" si="1"/>
        <v>60107.71</v>
      </c>
      <c r="M27" s="10">
        <f t="shared" si="2"/>
        <v>93798.392</v>
      </c>
      <c r="N27" s="9">
        <f t="shared" si="3"/>
        <v>60107.71</v>
      </c>
      <c r="O27" s="11">
        <f t="shared" si="4"/>
        <v>93798.392</v>
      </c>
      <c r="P27" s="11">
        <f t="shared" si="5"/>
        <v>1313177.488</v>
      </c>
      <c r="Q27" s="11">
        <f t="shared" si="6"/>
        <v>1128967.921</v>
      </c>
      <c r="R27" s="11">
        <f t="shared" si="7"/>
        <v>1000159.5</v>
      </c>
      <c r="S27" s="6" t="str">
        <f t="shared" si="8"/>
        <v>Rampage</v>
      </c>
      <c r="T27" s="11">
        <f t="shared" si="9"/>
        <v>12440.41786</v>
      </c>
      <c r="U27" s="1">
        <v>1.0</v>
      </c>
    </row>
    <row r="28">
      <c r="B28" s="1" t="s">
        <v>455</v>
      </c>
      <c r="C28" s="1">
        <v>0.25</v>
      </c>
      <c r="D28" s="1">
        <v>5.0</v>
      </c>
      <c r="E28" s="1">
        <v>9766.0</v>
      </c>
      <c r="F28" s="1">
        <v>20296.0</v>
      </c>
      <c r="I28" s="2"/>
      <c r="K28" s="3"/>
      <c r="L28" s="9">
        <f t="shared" si="1"/>
        <v>67395.166</v>
      </c>
      <c r="M28" s="10">
        <f t="shared" si="2"/>
        <v>140062.696</v>
      </c>
      <c r="N28" s="9">
        <f t="shared" si="3"/>
        <v>0</v>
      </c>
      <c r="O28" s="11">
        <f t="shared" si="4"/>
        <v>0</v>
      </c>
      <c r="P28" s="11">
        <f t="shared" si="5"/>
        <v>140062.696</v>
      </c>
      <c r="Q28" s="11">
        <f t="shared" si="6"/>
        <v>116455.7804</v>
      </c>
      <c r="R28" s="11">
        <f t="shared" si="7"/>
        <v>185206.7832</v>
      </c>
      <c r="S28" s="6" t="str">
        <f t="shared" si="8"/>
        <v>Rupture</v>
      </c>
      <c r="T28" s="11">
        <f t="shared" si="9"/>
        <v>22182.0534</v>
      </c>
      <c r="U28" s="1">
        <v>1.0</v>
      </c>
    </row>
    <row r="29">
      <c r="A29" s="1">
        <v>1.0</v>
      </c>
      <c r="B29" s="1" t="s">
        <v>451</v>
      </c>
      <c r="C29" s="1">
        <v>0.5</v>
      </c>
      <c r="D29" s="1">
        <v>7.5</v>
      </c>
      <c r="E29" s="1">
        <v>17133.0</v>
      </c>
      <c r="F29" s="1">
        <v>24632.0</v>
      </c>
      <c r="G29" s="1">
        <v>2379.0</v>
      </c>
      <c r="H29" s="1">
        <v>4418.0</v>
      </c>
      <c r="I29" s="2"/>
      <c r="J29" s="1">
        <v>3.0</v>
      </c>
      <c r="K29" s="7">
        <v>1.0</v>
      </c>
      <c r="L29" s="9">
        <f t="shared" si="1"/>
        <v>118234.833</v>
      </c>
      <c r="M29" s="10">
        <f t="shared" si="2"/>
        <v>169985.432</v>
      </c>
      <c r="N29" s="9">
        <f t="shared" si="3"/>
        <v>16417.479</v>
      </c>
      <c r="O29" s="11">
        <f t="shared" si="4"/>
        <v>30488.618</v>
      </c>
      <c r="P29" s="11">
        <f t="shared" si="5"/>
        <v>261451.286</v>
      </c>
      <c r="Q29" s="11">
        <f t="shared" si="6"/>
        <v>225446.9484</v>
      </c>
      <c r="R29" s="11">
        <f t="shared" si="7"/>
        <v>256543.0793</v>
      </c>
      <c r="S29" s="6" t="str">
        <f t="shared" si="8"/>
        <v>Saga of Bloodshed</v>
      </c>
      <c r="T29" s="11">
        <f t="shared" si="9"/>
        <v>28180.86855</v>
      </c>
      <c r="U29" s="1">
        <v>1.0</v>
      </c>
    </row>
    <row r="30">
      <c r="B30" s="1" t="s">
        <v>470</v>
      </c>
      <c r="C30" s="1">
        <v>0.25</v>
      </c>
      <c r="D30" s="1">
        <v>90.0</v>
      </c>
      <c r="E30" s="1">
        <v>23038.0</v>
      </c>
      <c r="F30" s="1">
        <v>27162.0</v>
      </c>
      <c r="I30" s="2"/>
      <c r="K30" s="3"/>
      <c r="L30" s="9">
        <f t="shared" si="1"/>
        <v>158985.238</v>
      </c>
      <c r="M30" s="10">
        <f t="shared" si="2"/>
        <v>187444.962</v>
      </c>
      <c r="N30" s="9">
        <f t="shared" si="3"/>
        <v>0</v>
      </c>
      <c r="O30" s="11">
        <f t="shared" si="4"/>
        <v>0</v>
      </c>
      <c r="P30" s="11">
        <f t="shared" si="5"/>
        <v>187444.962</v>
      </c>
      <c r="Q30" s="11">
        <f t="shared" si="6"/>
        <v>174384.103</v>
      </c>
      <c r="R30" s="11">
        <f t="shared" si="7"/>
        <v>277333.7542</v>
      </c>
      <c r="S30" s="6" t="str">
        <f t="shared" si="8"/>
        <v>Sneering Assault</v>
      </c>
      <c r="T30" s="11">
        <f t="shared" si="9"/>
        <v>1932.233828</v>
      </c>
      <c r="U30" s="1">
        <v>1.0</v>
      </c>
    </row>
    <row r="31">
      <c r="A31" s="1">
        <v>1.0</v>
      </c>
      <c r="B31" s="1" t="s">
        <v>468</v>
      </c>
      <c r="C31" s="1">
        <v>0.25</v>
      </c>
      <c r="D31" s="1">
        <v>30.0</v>
      </c>
      <c r="E31" s="1">
        <v>16342.0</v>
      </c>
      <c r="F31" s="1">
        <v>23728.0</v>
      </c>
      <c r="I31" s="2"/>
      <c r="K31" s="3"/>
      <c r="L31" s="9">
        <f t="shared" si="1"/>
        <v>112776.142</v>
      </c>
      <c r="M31" s="10">
        <f t="shared" si="2"/>
        <v>163746.928</v>
      </c>
      <c r="N31" s="9">
        <f t="shared" si="3"/>
        <v>0</v>
      </c>
      <c r="O31" s="11">
        <f t="shared" si="4"/>
        <v>0</v>
      </c>
      <c r="P31" s="11">
        <f t="shared" si="5"/>
        <v>163746.928</v>
      </c>
      <c r="Q31" s="11">
        <f t="shared" si="6"/>
        <v>142959.1919</v>
      </c>
      <c r="R31" s="11">
        <f t="shared" si="7"/>
        <v>227356.7871</v>
      </c>
      <c r="S31" s="6" t="str">
        <f t="shared" si="8"/>
        <v>Stunning Roar</v>
      </c>
      <c r="T31" s="11">
        <f t="shared" si="9"/>
        <v>4725.9237</v>
      </c>
      <c r="U31" s="1">
        <v>1.0</v>
      </c>
    </row>
    <row r="32">
      <c r="A32" s="1">
        <v>1.0</v>
      </c>
      <c r="B32" s="1" t="s">
        <v>458</v>
      </c>
      <c r="C32" s="1">
        <v>0.25</v>
      </c>
      <c r="D32" s="1">
        <v>30.0</v>
      </c>
      <c r="E32" s="1">
        <v>26706.0</v>
      </c>
      <c r="F32" s="1">
        <v>51453.0</v>
      </c>
      <c r="I32" s="2"/>
      <c r="K32" s="3"/>
      <c r="L32" s="9">
        <f t="shared" si="1"/>
        <v>184298.106</v>
      </c>
      <c r="M32" s="10">
        <f t="shared" si="2"/>
        <v>355077.153</v>
      </c>
      <c r="N32" s="9">
        <f t="shared" si="3"/>
        <v>0</v>
      </c>
      <c r="O32" s="11">
        <f t="shared" si="4"/>
        <v>0</v>
      </c>
      <c r="P32" s="11">
        <f t="shared" si="5"/>
        <v>355077.153</v>
      </c>
      <c r="Q32" s="11">
        <f t="shared" si="6"/>
        <v>296723.9854</v>
      </c>
      <c r="R32" s="11">
        <f t="shared" si="7"/>
        <v>471898.3864</v>
      </c>
      <c r="S32" s="6" t="str">
        <f t="shared" si="8"/>
        <v>Utter Destruction</v>
      </c>
      <c r="T32" s="11">
        <f t="shared" si="9"/>
        <v>9809.057367</v>
      </c>
      <c r="U32" s="1">
        <v>1.0</v>
      </c>
    </row>
    <row r="33">
      <c r="B33" s="1" t="s">
        <v>464</v>
      </c>
      <c r="C33" s="1">
        <v>0.0</v>
      </c>
      <c r="D33" s="1">
        <v>15.0</v>
      </c>
      <c r="E33" s="1">
        <v>5310.0</v>
      </c>
      <c r="F33" s="1">
        <v>7787.0</v>
      </c>
      <c r="G33" s="1">
        <v>5310.0</v>
      </c>
      <c r="H33" s="1">
        <v>7787.0</v>
      </c>
      <c r="I33" s="2"/>
      <c r="J33" s="1">
        <v>2.0</v>
      </c>
      <c r="K33" s="7">
        <v>1.0</v>
      </c>
      <c r="L33" s="9">
        <f t="shared" si="1"/>
        <v>36644.31</v>
      </c>
      <c r="M33" s="10">
        <f t="shared" si="2"/>
        <v>53738.087</v>
      </c>
      <c r="N33" s="9">
        <f t="shared" si="3"/>
        <v>36644.31</v>
      </c>
      <c r="O33" s="11">
        <f t="shared" si="4"/>
        <v>53738.087</v>
      </c>
      <c r="P33" s="11">
        <f t="shared" si="5"/>
        <v>161214.261</v>
      </c>
      <c r="Q33" s="11">
        <f t="shared" si="6"/>
        <v>140422.9449</v>
      </c>
      <c r="R33" s="11">
        <f t="shared" si="7"/>
        <v>370716.5744</v>
      </c>
      <c r="S33" s="6" t="str">
        <f t="shared" si="8"/>
        <v>Weapon Counter</v>
      </c>
      <c r="T33" s="11">
        <f t="shared" si="9"/>
        <v>9361.529657</v>
      </c>
      <c r="U33" s="1">
        <v>1.0</v>
      </c>
    </row>
    <row r="34">
      <c r="A34" s="1">
        <v>1.0</v>
      </c>
      <c r="B34" s="1" t="s">
        <v>476</v>
      </c>
      <c r="C34" s="1">
        <v>0.0</v>
      </c>
      <c r="D34" s="6">
        <f>(2.5+0.25)*3+30</f>
        <v>38.25</v>
      </c>
      <c r="E34" s="6">
        <f>18386*(1+2+3+4)</f>
        <v>183860</v>
      </c>
      <c r="F34" s="6">
        <f>26591*(1+2+3+4)</f>
        <v>265910</v>
      </c>
      <c r="I34" s="2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74</v>
      </c>
      <c r="F61" s="6">
        <f t="shared" ref="F61:G61" si="11">E27</f>
        <v>8710</v>
      </c>
      <c r="G61" s="6">
        <f t="shared" si="11"/>
        <v>13592</v>
      </c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B62" s="1" t="s">
        <v>73</v>
      </c>
      <c r="E62" s="1">
        <v>1.0</v>
      </c>
      <c r="F62" s="6">
        <f t="shared" ref="F62:G62" si="12">F$61*0.85^($E62-1)</f>
        <v>8710</v>
      </c>
      <c r="G62" s="6">
        <f t="shared" si="12"/>
        <v>13592</v>
      </c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B63" s="1" t="s">
        <v>75</v>
      </c>
      <c r="D63" s="6">
        <f>E62+1</f>
        <v>2</v>
      </c>
      <c r="E63" s="6">
        <f t="shared" ref="E63:F63" si="13">F$61*0.85^($D63-1)</f>
        <v>7403.5</v>
      </c>
      <c r="F63" s="6">
        <f t="shared" si="13"/>
        <v>11553.2</v>
      </c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B64" s="1" t="s">
        <v>79</v>
      </c>
      <c r="D64" s="6">
        <f t="shared" ref="D64:D81" si="15">D63+1</f>
        <v>3</v>
      </c>
      <c r="E64" s="6">
        <f t="shared" ref="E64:F64" si="14">F$61*0.85^($D64-1)</f>
        <v>6292.975</v>
      </c>
      <c r="F64" s="6">
        <f t="shared" si="14"/>
        <v>9820.22</v>
      </c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B65" s="1" t="s">
        <v>76</v>
      </c>
      <c r="D65" s="6">
        <f t="shared" si="15"/>
        <v>4</v>
      </c>
      <c r="E65" s="6">
        <f t="shared" ref="E65:F65" si="16">F$61*0.85^($D65-1)</f>
        <v>5349.02875</v>
      </c>
      <c r="F65" s="6">
        <f t="shared" si="16"/>
        <v>8347.187</v>
      </c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B66" s="1" t="s">
        <v>77</v>
      </c>
      <c r="D66" s="6">
        <f t="shared" si="15"/>
        <v>5</v>
      </c>
      <c r="E66" s="6">
        <f t="shared" ref="E66:F66" si="17">F$61*0.85^($D66-1)</f>
        <v>4546.674438</v>
      </c>
      <c r="F66" s="6">
        <f t="shared" si="17"/>
        <v>7095.10895</v>
      </c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B67" s="1" t="s">
        <v>82</v>
      </c>
      <c r="D67" s="6">
        <f t="shared" si="15"/>
        <v>6</v>
      </c>
      <c r="E67" s="6">
        <f t="shared" ref="E67:F67" si="18">F$61*0.85^($D67-1)</f>
        <v>3864.673272</v>
      </c>
      <c r="F67" s="6">
        <f t="shared" si="18"/>
        <v>6030.842608</v>
      </c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B68" s="1" t="s">
        <v>84</v>
      </c>
      <c r="D68" s="6">
        <f t="shared" si="15"/>
        <v>7</v>
      </c>
      <c r="E68" s="6">
        <f t="shared" ref="E68:F68" si="19">F$61*0.85^($D68-1)</f>
        <v>3284.972281</v>
      </c>
      <c r="F68" s="6">
        <f t="shared" si="19"/>
        <v>5126.216216</v>
      </c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B69" s="1" t="s">
        <v>81</v>
      </c>
      <c r="D69" s="6">
        <f t="shared" si="15"/>
        <v>8</v>
      </c>
      <c r="E69" s="6">
        <f t="shared" ref="E69:F69" si="20">F$61*0.85^($D69-1)</f>
        <v>2792.226439</v>
      </c>
      <c r="F69" s="6">
        <f t="shared" si="20"/>
        <v>4357.283784</v>
      </c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B70" s="1" t="s">
        <v>89</v>
      </c>
      <c r="D70" s="6">
        <f t="shared" si="15"/>
        <v>9</v>
      </c>
      <c r="E70" s="6">
        <f t="shared" ref="E70:F70" si="21">F$61*0.85^($D70-1)</f>
        <v>2373.392473</v>
      </c>
      <c r="F70" s="6">
        <f t="shared" si="21"/>
        <v>3703.691216</v>
      </c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B71" s="1" t="s">
        <v>88</v>
      </c>
      <c r="D71" s="6">
        <f t="shared" si="15"/>
        <v>10</v>
      </c>
      <c r="E71" s="6">
        <f t="shared" ref="E71:F71" si="22">F$61*0.85^($D71-1)</f>
        <v>2017.383602</v>
      </c>
      <c r="F71" s="6">
        <f t="shared" si="22"/>
        <v>3148.137534</v>
      </c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B72" s="1" t="s">
        <v>85</v>
      </c>
      <c r="D72" s="6">
        <f t="shared" si="15"/>
        <v>11</v>
      </c>
      <c r="E72" s="6">
        <f t="shared" ref="E72:F72" si="23">F$61*0.85^($D72-1)</f>
        <v>1714.776062</v>
      </c>
      <c r="F72" s="6">
        <f t="shared" si="23"/>
        <v>2675.916904</v>
      </c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B73" s="1" t="s">
        <v>86</v>
      </c>
      <c r="D73" s="6">
        <f t="shared" si="15"/>
        <v>12</v>
      </c>
      <c r="E73" s="6">
        <f t="shared" ref="E73:F73" si="24">F$61*0.85^($D73-1)</f>
        <v>1457.559653</v>
      </c>
      <c r="F73" s="6">
        <f t="shared" si="24"/>
        <v>2274.529368</v>
      </c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B74" s="1" t="s">
        <v>93</v>
      </c>
      <c r="D74" s="6">
        <f t="shared" si="15"/>
        <v>13</v>
      </c>
      <c r="E74" s="6">
        <f t="shared" ref="E74:F74" si="25">F$61*0.85^($D74-1)</f>
        <v>1238.925705</v>
      </c>
      <c r="F74" s="6">
        <f t="shared" si="25"/>
        <v>1933.349963</v>
      </c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B75" s="1" t="s">
        <v>92</v>
      </c>
      <c r="D75" s="6">
        <f t="shared" si="15"/>
        <v>14</v>
      </c>
      <c r="E75" s="6">
        <f t="shared" ref="E75:F75" si="26">F$61*0.85^($D75-1)</f>
        <v>1053.086849</v>
      </c>
      <c r="F75" s="6">
        <f t="shared" si="26"/>
        <v>1643.347469</v>
      </c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B76" s="1" t="s">
        <v>94</v>
      </c>
      <c r="D76" s="6">
        <f t="shared" si="15"/>
        <v>15</v>
      </c>
      <c r="E76" s="6">
        <f t="shared" ref="E76:F76" si="27">F$61*0.85^($D76-1)</f>
        <v>895.1238216</v>
      </c>
      <c r="F76" s="6">
        <f t="shared" si="27"/>
        <v>1396.845348</v>
      </c>
      <c r="I76" s="2"/>
      <c r="K76" s="3"/>
      <c r="L76" s="4"/>
    </row>
    <row r="77">
      <c r="B77" s="1" t="s">
        <v>90</v>
      </c>
      <c r="D77" s="6">
        <f t="shared" si="15"/>
        <v>16</v>
      </c>
      <c r="E77" s="6">
        <f t="shared" ref="E77:F77" si="28">F$61*0.85^($D77-1)</f>
        <v>760.8552484</v>
      </c>
      <c r="F77" s="6">
        <f t="shared" si="28"/>
        <v>1187.318546</v>
      </c>
      <c r="I77" s="2"/>
      <c r="K77" s="3"/>
      <c r="L77" s="4"/>
    </row>
    <row r="78">
      <c r="D78" s="6">
        <f t="shared" si="15"/>
        <v>17</v>
      </c>
      <c r="E78" s="6">
        <f t="shared" ref="E78:F78" si="29">F$61*0.85^($D78-1)</f>
        <v>646.7269611</v>
      </c>
      <c r="F78" s="6">
        <f t="shared" si="29"/>
        <v>1009.220764</v>
      </c>
      <c r="I78" s="2"/>
      <c r="K78" s="3"/>
      <c r="L78" s="4"/>
    </row>
    <row r="79">
      <c r="D79" s="6">
        <f t="shared" si="15"/>
        <v>18</v>
      </c>
      <c r="E79" s="6">
        <f t="shared" ref="E79:F79" si="30">F$61*0.85^($D79-1)</f>
        <v>549.7179169</v>
      </c>
      <c r="F79" s="6">
        <f t="shared" si="30"/>
        <v>857.8376495</v>
      </c>
      <c r="I79" s="2"/>
      <c r="K79" s="3"/>
      <c r="L79" s="4"/>
    </row>
    <row r="80">
      <c r="D80" s="6">
        <f t="shared" si="15"/>
        <v>19</v>
      </c>
      <c r="E80" s="6">
        <f t="shared" ref="E80:F80" si="31">F$61*0.85^($D80-1)</f>
        <v>467.2602294</v>
      </c>
      <c r="F80" s="6">
        <f t="shared" si="31"/>
        <v>729.1620021</v>
      </c>
      <c r="I80" s="2"/>
      <c r="K80" s="3"/>
      <c r="L80" s="4"/>
    </row>
    <row r="81">
      <c r="D81" s="6">
        <f t="shared" si="15"/>
        <v>20</v>
      </c>
      <c r="E81" s="6">
        <f t="shared" ref="E81:F81" si="32">F$61*0.85^($D81-1)</f>
        <v>397.171195</v>
      </c>
      <c r="F81" s="6">
        <f t="shared" si="32"/>
        <v>619.7877018</v>
      </c>
      <c r="I81" s="2"/>
      <c r="K81" s="3"/>
      <c r="L81" s="4"/>
    </row>
    <row r="82">
      <c r="E82" s="6">
        <f t="shared" ref="E82:F82" si="33">sum(E63:E81)</f>
        <v>47106.0299</v>
      </c>
      <c r="F82" s="6">
        <f t="shared" si="33"/>
        <v>73509.20302</v>
      </c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autoFilter ref="$A$7:$U$54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2" width="15.13"/>
  </cols>
  <sheetData>
    <row r="1">
      <c r="A1" s="1" t="s">
        <v>0</v>
      </c>
      <c r="B1" s="2">
        <f>11.33+1.3</f>
        <v>12.63</v>
      </c>
      <c r="I1" s="2"/>
      <c r="J1" s="46"/>
      <c r="K1" s="3"/>
      <c r="L1" s="4"/>
    </row>
    <row r="2">
      <c r="A2" s="1" t="s">
        <v>1</v>
      </c>
      <c r="B2" s="5">
        <v>0.567</v>
      </c>
      <c r="I2" s="2"/>
      <c r="J2" s="46"/>
      <c r="K2" s="3"/>
      <c r="L2" s="4"/>
    </row>
    <row r="3">
      <c r="A3" s="1" t="s">
        <v>2</v>
      </c>
      <c r="B3" s="1">
        <v>0.0</v>
      </c>
      <c r="I3" s="2"/>
      <c r="J3" s="46"/>
      <c r="K3" s="3"/>
      <c r="L3" s="4"/>
    </row>
    <row r="4">
      <c r="A4" s="1" t="s">
        <v>3</v>
      </c>
      <c r="B4" s="1">
        <v>8.0</v>
      </c>
      <c r="I4" s="2"/>
      <c r="J4" s="46"/>
      <c r="K4" s="3"/>
      <c r="L4" s="4"/>
    </row>
    <row r="5">
      <c r="A5" s="1" t="s">
        <v>1</v>
      </c>
      <c r="B5" s="5">
        <v>0.567</v>
      </c>
      <c r="I5" s="2"/>
      <c r="J5" s="46"/>
      <c r="K5" s="3"/>
      <c r="L5" s="4"/>
    </row>
    <row r="6">
      <c r="B6" s="2"/>
      <c r="I6" s="2"/>
      <c r="J6" s="46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4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56" t="s">
        <v>107</v>
      </c>
      <c r="C8" s="1">
        <v>0.25</v>
      </c>
      <c r="D8" s="1">
        <v>15.0</v>
      </c>
      <c r="E8" s="1">
        <v>27872.0</v>
      </c>
      <c r="F8" s="1">
        <v>31430.0</v>
      </c>
      <c r="G8" s="6">
        <f t="shared" ref="G8:H8" si="1">E8</f>
        <v>27872</v>
      </c>
      <c r="H8" s="6">
        <f t="shared" si="1"/>
        <v>31430</v>
      </c>
      <c r="J8" s="14">
        <v>1.0</v>
      </c>
      <c r="K8" s="7">
        <v>11.0</v>
      </c>
      <c r="L8" s="9">
        <f t="shared" ref="L8:L10" si="2">if(E8*($B$1+$I8)&lt;(F8+1),F8+1,E8*($I8+$B$1))</f>
        <v>352023.36</v>
      </c>
      <c r="M8" s="10">
        <f t="shared" ref="M8:M10" si="3">F8*($B$1+$I8)</f>
        <v>396960.9</v>
      </c>
      <c r="N8" s="9">
        <f t="shared" ref="N8:N10" si="4">if(if(G8*($B$1+$I8)&lt;(H8+1),H8+1,G8*($I8+$B$1))=1,0,if(G8*($B$1+$I8)&lt;(H8+1),H8+1,G8*($I8+$B$1)))</f>
        <v>352023.36</v>
      </c>
      <c r="O8" s="11">
        <f t="shared" ref="O8:O10" si="5">H8*($B$1+$I8)</f>
        <v>396960.9</v>
      </c>
      <c r="P8" s="11">
        <f t="shared" ref="P8:P10" si="6">M8+O8*K8*J8</f>
        <v>4763530.8</v>
      </c>
      <c r="Q8" s="11">
        <f t="shared" ref="Q8:Q10" si="7">(if($A8=1,$B$4,1)*((L8*E8+F8*M8)/(E8+F8)+if(G8&gt;0,(N8*G8+H8*O8)/(G8+H8)*J8*K8,0)))*(if($U8=0,1+$B$3,1))</f>
        <v>4510082.529</v>
      </c>
      <c r="R8" s="11">
        <f t="shared" ref="R8:R10" si="8">Q8/(C8+0.5*(1/(1+$B$5)))</f>
        <v>7925202.492</v>
      </c>
      <c r="S8" s="6" t="str">
        <f t="shared" ref="S8:S10" si="9">B8</f>
        <v>Dagger Storm</v>
      </c>
      <c r="T8" s="11">
        <f>$Q8/(($C8+$D8))</f>
        <v>295743.1166</v>
      </c>
      <c r="U8" s="1">
        <v>1.0</v>
      </c>
      <c r="V8" s="6" t="str">
        <f t="shared" ref="V8:V30" si="10">if(A8=1,MAX(R$9:R93)/R8," ")</f>
        <v> </v>
      </c>
    </row>
    <row r="9">
      <c r="A9" s="1">
        <v>1.0</v>
      </c>
      <c r="B9" s="1" t="s">
        <v>109</v>
      </c>
      <c r="C9" s="1">
        <v>0.25</v>
      </c>
      <c r="D9" s="1">
        <v>15.0</v>
      </c>
      <c r="E9" s="6">
        <f>13253+7462</f>
        <v>20715</v>
      </c>
      <c r="F9" s="6">
        <f>10656+23102</f>
        <v>33758</v>
      </c>
      <c r="G9" s="1">
        <v>10040.0</v>
      </c>
      <c r="H9" s="1">
        <v>17555.0</v>
      </c>
      <c r="I9" s="2"/>
      <c r="J9" s="14">
        <v>1.0</v>
      </c>
      <c r="K9" s="7">
        <v>1.0</v>
      </c>
      <c r="L9" s="9">
        <f t="shared" si="2"/>
        <v>261630.45</v>
      </c>
      <c r="M9" s="10">
        <f t="shared" si="3"/>
        <v>426363.54</v>
      </c>
      <c r="N9" s="9">
        <f t="shared" si="4"/>
        <v>126805.2</v>
      </c>
      <c r="O9" s="11">
        <f t="shared" si="5"/>
        <v>221719.65</v>
      </c>
      <c r="P9" s="11">
        <f t="shared" si="6"/>
        <v>648083.19</v>
      </c>
      <c r="Q9" s="11">
        <f t="shared" si="7"/>
        <v>4407242.888</v>
      </c>
      <c r="R9" s="11">
        <f t="shared" si="8"/>
        <v>7744490.727</v>
      </c>
      <c r="S9" s="6" t="str">
        <f t="shared" si="9"/>
        <v>Echoing Howl</v>
      </c>
      <c r="T9" s="11">
        <f>$Q9/(($C9+if($D9&lt;=$J9,$J9,$D9)))</f>
        <v>288999.5337</v>
      </c>
      <c r="V9" s="6">
        <f t="shared" si="10"/>
        <v>1</v>
      </c>
    </row>
    <row r="10">
      <c r="A10" s="1">
        <v>1.0</v>
      </c>
      <c r="B10" s="1" t="s">
        <v>110</v>
      </c>
      <c r="C10" s="1">
        <v>0.25</v>
      </c>
      <c r="D10" s="1">
        <v>10.0</v>
      </c>
      <c r="E10" s="6">
        <f>12259+9063</f>
        <v>21322</v>
      </c>
      <c r="F10" s="6">
        <f>16293+13098</f>
        <v>29391</v>
      </c>
      <c r="G10" s="1">
        <v>3965.0</v>
      </c>
      <c r="H10" s="1">
        <v>3965.0</v>
      </c>
      <c r="I10" s="2"/>
      <c r="J10" s="14">
        <v>14.0</v>
      </c>
      <c r="K10" s="12">
        <f>1/3.5</f>
        <v>0.2857142857</v>
      </c>
      <c r="L10" s="9">
        <f t="shared" si="2"/>
        <v>269296.86</v>
      </c>
      <c r="M10" s="10">
        <f t="shared" si="3"/>
        <v>371208.33</v>
      </c>
      <c r="N10" s="9">
        <f t="shared" si="4"/>
        <v>50077.95</v>
      </c>
      <c r="O10" s="11">
        <f t="shared" si="5"/>
        <v>50077.95</v>
      </c>
      <c r="P10" s="11">
        <f t="shared" si="6"/>
        <v>571520.13</v>
      </c>
      <c r="Q10" s="11">
        <f t="shared" si="7"/>
        <v>4229376.135</v>
      </c>
      <c r="R10" s="11">
        <f t="shared" si="8"/>
        <v>7431939.897</v>
      </c>
      <c r="S10" s="6" t="str">
        <f t="shared" si="9"/>
        <v>Darksong Spin</v>
      </c>
      <c r="T10" s="11">
        <f>$Q10/(($C10+$D10))</f>
        <v>412622.0619</v>
      </c>
      <c r="V10" s="6">
        <f t="shared" si="10"/>
        <v>1.04205508</v>
      </c>
    </row>
    <row r="11">
      <c r="A11" s="1">
        <v>1.0</v>
      </c>
      <c r="C11" s="1">
        <v>1.0</v>
      </c>
      <c r="D11" s="1">
        <v>16.0</v>
      </c>
      <c r="I11" s="2"/>
      <c r="J11" s="46"/>
      <c r="K11" s="3"/>
      <c r="L11" s="9"/>
      <c r="M11" s="10"/>
      <c r="N11" s="9"/>
      <c r="O11" s="11"/>
      <c r="P11" s="11"/>
      <c r="Q11" s="11"/>
      <c r="R11" s="11">
        <f>495876*$B$4</f>
        <v>3967008</v>
      </c>
      <c r="S11" s="1" t="s">
        <v>477</v>
      </c>
      <c r="T11" s="13">
        <v>38476.5433541877</v>
      </c>
      <c r="V11" s="6">
        <f t="shared" si="10"/>
        <v>1.95222463</v>
      </c>
    </row>
    <row r="12">
      <c r="A12" s="1">
        <v>1.0</v>
      </c>
      <c r="B12" s="1" t="s">
        <v>478</v>
      </c>
      <c r="C12" s="1">
        <v>1.0</v>
      </c>
      <c r="D12" s="1">
        <v>10.0</v>
      </c>
      <c r="E12" s="1">
        <v>8448.0</v>
      </c>
      <c r="F12" s="1">
        <v>8448.0</v>
      </c>
      <c r="G12" s="1">
        <v>5253.0</v>
      </c>
      <c r="H12" s="1">
        <v>5253.0</v>
      </c>
      <c r="I12" s="5">
        <v>0.05</v>
      </c>
      <c r="J12" s="14">
        <v>16.0</v>
      </c>
      <c r="K12" s="7">
        <v>0.25</v>
      </c>
      <c r="L12" s="9">
        <f t="shared" ref="L12:L30" si="11">if(E12*($B$1+$I12)&lt;(F12+1),F12+1,E12*($I12+$B$1))</f>
        <v>107120.64</v>
      </c>
      <c r="M12" s="10">
        <f t="shared" ref="M12:M30" si="12">F12*($B$1+$I12)</f>
        <v>107120.64</v>
      </c>
      <c r="N12" s="9">
        <f t="shared" ref="N12:N30" si="13">if(if(G12*($B$1+$I12)&lt;(H12+1),H12+1,G12*($I12+$B$1))=1,0,if(G12*($B$1+$I12)&lt;(H12+1),H12+1,G12*($I12+$B$1)))</f>
        <v>66608.04</v>
      </c>
      <c r="O12" s="11">
        <f t="shared" ref="O12:O30" si="14">H12*($B$1+$I12)</f>
        <v>66608.04</v>
      </c>
      <c r="P12" s="11">
        <f t="shared" ref="P12:P30" si="15">M12+O12*K12*J12</f>
        <v>373552.8</v>
      </c>
      <c r="Q12" s="11">
        <f t="shared" ref="Q12:Q30" si="16">(if($A12=1,$B$4,1)*((L12*E12+F12*M12)/(E12+F12)+if(G12&gt;0,(N12*G12+H12*O12)/(G12+H12)*J12*K12,0)))*(if($U12=0,1+$B$3,1))</f>
        <v>2988422.4</v>
      </c>
      <c r="R12" s="11">
        <f t="shared" ref="R12:R30" si="17">Q12/(C12+0.5*(1/(1+$B$5)))</f>
        <v>2265533.576</v>
      </c>
      <c r="S12" s="6" t="str">
        <f t="shared" ref="S12:S30" si="18">B12</f>
        <v>wail of the banshee</v>
      </c>
      <c r="T12" s="11">
        <f>$Q12/(($C12+if($D12&lt;=$J12,$J12,$D12)))</f>
        <v>175789.5529</v>
      </c>
      <c r="V12" s="6">
        <f t="shared" si="10"/>
        <v>3.418395918</v>
      </c>
    </row>
    <row r="13">
      <c r="A13" s="1">
        <v>1.0</v>
      </c>
      <c r="B13" s="1" t="s">
        <v>479</v>
      </c>
      <c r="C13" s="1">
        <v>1.0</v>
      </c>
      <c r="D13" s="1">
        <v>16.0</v>
      </c>
      <c r="E13" s="1">
        <v>16308.0</v>
      </c>
      <c r="F13" s="1">
        <v>25927.0</v>
      </c>
      <c r="I13" s="2"/>
      <c r="J13" s="46"/>
      <c r="K13" s="3"/>
      <c r="L13" s="9">
        <f t="shared" si="11"/>
        <v>205970.04</v>
      </c>
      <c r="M13" s="10">
        <f t="shared" si="12"/>
        <v>327458.01</v>
      </c>
      <c r="N13" s="9">
        <f t="shared" si="13"/>
        <v>0</v>
      </c>
      <c r="O13" s="11">
        <f t="shared" si="14"/>
        <v>0</v>
      </c>
      <c r="P13" s="11">
        <f t="shared" si="15"/>
        <v>327458.01</v>
      </c>
      <c r="Q13" s="11">
        <f t="shared" si="16"/>
        <v>2244387.496</v>
      </c>
      <c r="R13" s="11">
        <f t="shared" si="17"/>
        <v>1701478.087</v>
      </c>
      <c r="S13" s="6" t="str">
        <f t="shared" si="18"/>
        <v>Banshee's Scream</v>
      </c>
      <c r="T13" s="11">
        <f t="shared" ref="T13:T16" si="19">$Q13/(($C13+$D13))</f>
        <v>132022.7939</v>
      </c>
      <c r="U13" s="1">
        <v>1.0</v>
      </c>
      <c r="V13" s="6">
        <f t="shared" si="10"/>
        <v>4.55162531</v>
      </c>
    </row>
    <row r="14">
      <c r="A14" s="1">
        <v>1.0</v>
      </c>
      <c r="B14" s="1" t="s">
        <v>480</v>
      </c>
      <c r="C14" s="1">
        <v>1.25</v>
      </c>
      <c r="D14" s="1">
        <v>6.0</v>
      </c>
      <c r="E14" s="1">
        <v>16490.0</v>
      </c>
      <c r="F14" s="1">
        <v>25722.0</v>
      </c>
      <c r="I14" s="2"/>
      <c r="J14" s="46"/>
      <c r="K14" s="3"/>
      <c r="L14" s="9">
        <f t="shared" si="11"/>
        <v>208268.7</v>
      </c>
      <c r="M14" s="10">
        <f t="shared" si="12"/>
        <v>324868.86</v>
      </c>
      <c r="N14" s="9">
        <f t="shared" si="13"/>
        <v>0</v>
      </c>
      <c r="O14" s="11">
        <f t="shared" si="14"/>
        <v>0</v>
      </c>
      <c r="P14" s="11">
        <f t="shared" si="15"/>
        <v>324868.86</v>
      </c>
      <c r="Q14" s="11">
        <f t="shared" si="16"/>
        <v>2234554.663</v>
      </c>
      <c r="R14" s="11">
        <f t="shared" si="17"/>
        <v>1424116.79</v>
      </c>
      <c r="S14" s="6" t="str">
        <f t="shared" si="18"/>
        <v>Jarol's Sorrowful</v>
      </c>
      <c r="T14" s="11">
        <f t="shared" si="19"/>
        <v>308214.4363</v>
      </c>
      <c r="V14" s="6">
        <f t="shared" si="10"/>
        <v>5.438100851</v>
      </c>
    </row>
    <row r="15">
      <c r="B15" s="1" t="s">
        <v>119</v>
      </c>
      <c r="C15" s="1">
        <v>0.13</v>
      </c>
      <c r="D15" s="1">
        <v>10.0</v>
      </c>
      <c r="E15" s="1">
        <v>37880.0</v>
      </c>
      <c r="F15" s="1">
        <v>46298.0</v>
      </c>
      <c r="I15" s="2"/>
      <c r="J15" s="46"/>
      <c r="K15" s="3"/>
      <c r="L15" s="9">
        <f t="shared" si="11"/>
        <v>478424.4</v>
      </c>
      <c r="M15" s="10">
        <f t="shared" si="12"/>
        <v>584743.74</v>
      </c>
      <c r="N15" s="9">
        <f t="shared" si="13"/>
        <v>0</v>
      </c>
      <c r="O15" s="11">
        <f t="shared" si="14"/>
        <v>0</v>
      </c>
      <c r="P15" s="11">
        <f t="shared" si="15"/>
        <v>584743.74</v>
      </c>
      <c r="Q15" s="11">
        <f t="shared" si="16"/>
        <v>536900.1633</v>
      </c>
      <c r="R15" s="11">
        <f t="shared" si="17"/>
        <v>1195552.935</v>
      </c>
      <c r="S15" s="6" t="str">
        <f t="shared" si="18"/>
        <v>Evade</v>
      </c>
      <c r="T15" s="11">
        <f t="shared" si="19"/>
        <v>53001.00329</v>
      </c>
      <c r="V15" s="6" t="str">
        <f t="shared" si="10"/>
        <v> </v>
      </c>
    </row>
    <row r="16">
      <c r="B16" s="1" t="s">
        <v>481</v>
      </c>
      <c r="C16" s="1">
        <v>1.25</v>
      </c>
      <c r="D16" s="1">
        <v>30.0</v>
      </c>
      <c r="E16" s="1">
        <v>28155.0</v>
      </c>
      <c r="F16" s="1">
        <v>36421.0</v>
      </c>
      <c r="G16" s="1">
        <v>6569.0</v>
      </c>
      <c r="H16" s="1">
        <v>6569.0</v>
      </c>
      <c r="I16" s="2"/>
      <c r="J16" s="14">
        <v>45.0</v>
      </c>
      <c r="K16" s="12">
        <f>1/3</f>
        <v>0.3333333333</v>
      </c>
      <c r="L16" s="9">
        <f t="shared" si="11"/>
        <v>355597.65</v>
      </c>
      <c r="M16" s="10">
        <f t="shared" si="12"/>
        <v>459997.23</v>
      </c>
      <c r="N16" s="9">
        <f t="shared" si="13"/>
        <v>82966.47</v>
      </c>
      <c r="O16" s="11">
        <f t="shared" si="14"/>
        <v>82966.47</v>
      </c>
      <c r="P16" s="11">
        <f t="shared" si="15"/>
        <v>1704494.28</v>
      </c>
      <c r="Q16" s="11">
        <f t="shared" si="16"/>
        <v>1658976.283</v>
      </c>
      <c r="R16" s="11">
        <f t="shared" si="17"/>
        <v>1057291.646</v>
      </c>
      <c r="S16" s="6" t="str">
        <f t="shared" si="18"/>
        <v>Scream of Death</v>
      </c>
      <c r="T16" s="11">
        <f t="shared" si="19"/>
        <v>53087.24106</v>
      </c>
      <c r="U16" s="1">
        <v>1.0</v>
      </c>
      <c r="V16" s="6" t="str">
        <f t="shared" si="10"/>
        <v> </v>
      </c>
    </row>
    <row r="17">
      <c r="B17" s="1" t="s">
        <v>121</v>
      </c>
      <c r="C17" s="1">
        <v>0.25</v>
      </c>
      <c r="D17" s="1">
        <v>30.0</v>
      </c>
      <c r="E17" s="1">
        <v>29360.0</v>
      </c>
      <c r="F17" s="1">
        <v>38233.0</v>
      </c>
      <c r="I17" s="2"/>
      <c r="J17" s="46"/>
      <c r="K17" s="3"/>
      <c r="L17" s="9">
        <f t="shared" si="11"/>
        <v>370816.8</v>
      </c>
      <c r="M17" s="10">
        <f t="shared" si="12"/>
        <v>482882.79</v>
      </c>
      <c r="N17" s="9">
        <f t="shared" si="13"/>
        <v>0</v>
      </c>
      <c r="O17" s="11">
        <f t="shared" si="14"/>
        <v>0</v>
      </c>
      <c r="P17" s="11">
        <f t="shared" si="15"/>
        <v>482882.79</v>
      </c>
      <c r="Q17" s="11">
        <f t="shared" si="16"/>
        <v>434205.3017</v>
      </c>
      <c r="R17" s="11">
        <f t="shared" si="17"/>
        <v>762993.785</v>
      </c>
      <c r="S17" s="6" t="str">
        <f t="shared" si="18"/>
        <v>Evasive</v>
      </c>
      <c r="T17" s="11">
        <f>$Q17/(($C17+if($D17&lt;=$J17,$J17,$D17)))</f>
        <v>14353.89427</v>
      </c>
      <c r="U17" s="1">
        <v>1.0</v>
      </c>
      <c r="V17" s="6" t="str">
        <f t="shared" si="10"/>
        <v> </v>
      </c>
    </row>
    <row r="18">
      <c r="B18" s="1" t="s">
        <v>482</v>
      </c>
      <c r="C18" s="1">
        <v>0.25</v>
      </c>
      <c r="D18" s="1">
        <v>10.0</v>
      </c>
      <c r="E18" s="6">
        <f>14637+6054</f>
        <v>20691</v>
      </c>
      <c r="F18" s="6">
        <f>18335+8749</f>
        <v>27084</v>
      </c>
      <c r="G18" s="1">
        <v>2316.0</v>
      </c>
      <c r="H18" s="1">
        <v>2316.0</v>
      </c>
      <c r="I18" s="2"/>
      <c r="J18" s="14">
        <v>14.0</v>
      </c>
      <c r="K18" s="12">
        <f>1/3.5</f>
        <v>0.2857142857</v>
      </c>
      <c r="L18" s="9">
        <f t="shared" si="11"/>
        <v>261327.33</v>
      </c>
      <c r="M18" s="10">
        <f t="shared" si="12"/>
        <v>342070.92</v>
      </c>
      <c r="N18" s="9">
        <f t="shared" si="13"/>
        <v>29251.08</v>
      </c>
      <c r="O18" s="11">
        <f t="shared" si="14"/>
        <v>29251.08</v>
      </c>
      <c r="P18" s="11">
        <f t="shared" si="15"/>
        <v>459075.24</v>
      </c>
      <c r="Q18" s="11">
        <f t="shared" si="16"/>
        <v>424105.7869</v>
      </c>
      <c r="R18" s="11">
        <f t="shared" si="17"/>
        <v>745246.7262</v>
      </c>
      <c r="S18" s="6" t="str">
        <f t="shared" si="18"/>
        <v>Darksong Blade</v>
      </c>
      <c r="T18" s="11">
        <f>$Q18/(($C18+$D18))</f>
        <v>41376.17433</v>
      </c>
      <c r="U18" s="1">
        <v>1.0</v>
      </c>
      <c r="V18" s="6" t="str">
        <f t="shared" si="10"/>
        <v> </v>
      </c>
    </row>
    <row r="19">
      <c r="B19" s="1" t="s">
        <v>483</v>
      </c>
      <c r="C19" s="1">
        <v>0.5</v>
      </c>
      <c r="D19" s="1">
        <v>10.0</v>
      </c>
      <c r="E19" s="1">
        <v>31541.0</v>
      </c>
      <c r="F19" s="1">
        <v>44490.0</v>
      </c>
      <c r="I19" s="2"/>
      <c r="J19" s="46"/>
      <c r="K19" s="3"/>
      <c r="L19" s="9">
        <f t="shared" si="11"/>
        <v>398362.83</v>
      </c>
      <c r="M19" s="10">
        <f t="shared" si="12"/>
        <v>561908.7</v>
      </c>
      <c r="N19" s="9">
        <f t="shared" si="13"/>
        <v>0</v>
      </c>
      <c r="O19" s="11">
        <f t="shared" si="14"/>
        <v>0</v>
      </c>
      <c r="P19" s="11">
        <f t="shared" si="15"/>
        <v>561908.7</v>
      </c>
      <c r="Q19" s="11">
        <f t="shared" si="16"/>
        <v>494062.6861</v>
      </c>
      <c r="R19" s="11">
        <f t="shared" si="17"/>
        <v>603191.4523</v>
      </c>
      <c r="S19" s="6" t="str">
        <f t="shared" si="18"/>
        <v>Luda's Nef Wail</v>
      </c>
      <c r="T19" s="11">
        <f>$Q19/(($C19+if($D19&lt;=$J19,$J19,$D19)))</f>
        <v>47053.58915</v>
      </c>
      <c r="V19" s="6" t="str">
        <f t="shared" si="10"/>
        <v> </v>
      </c>
    </row>
    <row r="20">
      <c r="B20" s="1" t="s">
        <v>484</v>
      </c>
      <c r="C20" s="6">
        <f>0.25*2+0.32</f>
        <v>0.82</v>
      </c>
      <c r="D20" s="1">
        <v>15.0</v>
      </c>
      <c r="E20" s="1">
        <v>44854.0</v>
      </c>
      <c r="F20" s="1">
        <v>60553.0</v>
      </c>
      <c r="I20" s="2"/>
      <c r="J20" s="46"/>
      <c r="K20" s="3"/>
      <c r="L20" s="9">
        <f t="shared" si="11"/>
        <v>566506.02</v>
      </c>
      <c r="M20" s="10">
        <f t="shared" si="12"/>
        <v>764784.39</v>
      </c>
      <c r="N20" s="9">
        <f t="shared" si="13"/>
        <v>0</v>
      </c>
      <c r="O20" s="11">
        <f t="shared" si="14"/>
        <v>0</v>
      </c>
      <c r="P20" s="11">
        <f t="shared" si="15"/>
        <v>764784.39</v>
      </c>
      <c r="Q20" s="11">
        <f t="shared" si="16"/>
        <v>680410.6956</v>
      </c>
      <c r="R20" s="11">
        <f t="shared" si="17"/>
        <v>597332.9972</v>
      </c>
      <c r="S20" s="6" t="str">
        <f t="shared" si="18"/>
        <v>Bump+misf</v>
      </c>
      <c r="T20" s="11">
        <f>$Q20/(($C20+$D20))</f>
        <v>43009.52564</v>
      </c>
      <c r="U20" s="1">
        <v>1.0</v>
      </c>
      <c r="V20" s="6" t="str">
        <f t="shared" si="10"/>
        <v> </v>
      </c>
    </row>
    <row r="21">
      <c r="B21" s="1" t="s">
        <v>108</v>
      </c>
      <c r="C21" s="1">
        <v>0.25</v>
      </c>
      <c r="D21" s="1">
        <v>5.0</v>
      </c>
      <c r="E21" s="1">
        <v>21075.0</v>
      </c>
      <c r="F21" s="1">
        <v>30032.0</v>
      </c>
      <c r="I21" s="2"/>
      <c r="J21" s="46"/>
      <c r="K21" s="3"/>
      <c r="L21" s="9">
        <f t="shared" si="11"/>
        <v>266177.25</v>
      </c>
      <c r="M21" s="10">
        <f t="shared" si="12"/>
        <v>379304.16</v>
      </c>
      <c r="N21" s="9">
        <f t="shared" si="13"/>
        <v>0</v>
      </c>
      <c r="O21" s="11">
        <f t="shared" si="14"/>
        <v>0</v>
      </c>
      <c r="P21" s="11">
        <f t="shared" si="15"/>
        <v>379304.16</v>
      </c>
      <c r="Q21" s="11">
        <f t="shared" si="16"/>
        <v>332654.0019</v>
      </c>
      <c r="R21" s="11">
        <f t="shared" si="17"/>
        <v>584545.9165</v>
      </c>
      <c r="S21" s="6" t="str">
        <f t="shared" si="18"/>
        <v>Daro's Dull Blade</v>
      </c>
      <c r="T21" s="11">
        <f t="shared" ref="T21:T29" si="20">$Q21/(($C21+if($D21&lt;=$J21,$J21,$D21)))</f>
        <v>63362.66704</v>
      </c>
      <c r="U21" s="13">
        <v>1.0</v>
      </c>
      <c r="V21" s="6" t="str">
        <f t="shared" si="10"/>
        <v> </v>
      </c>
    </row>
    <row r="22">
      <c r="B22" s="1" t="s">
        <v>114</v>
      </c>
      <c r="C22" s="1">
        <v>0.25</v>
      </c>
      <c r="D22" s="1">
        <v>30.0</v>
      </c>
      <c r="E22" s="1">
        <v>17314.0</v>
      </c>
      <c r="F22" s="1">
        <v>25022.0</v>
      </c>
      <c r="I22" s="2"/>
      <c r="J22" s="46"/>
      <c r="K22" s="3"/>
      <c r="L22" s="9">
        <f t="shared" si="11"/>
        <v>218675.82</v>
      </c>
      <c r="M22" s="10">
        <f t="shared" si="12"/>
        <v>316027.86</v>
      </c>
      <c r="N22" s="9">
        <f t="shared" si="13"/>
        <v>0</v>
      </c>
      <c r="O22" s="11">
        <f t="shared" si="14"/>
        <v>0</v>
      </c>
      <c r="P22" s="11">
        <f t="shared" si="15"/>
        <v>316027.86</v>
      </c>
      <c r="Q22" s="11">
        <f t="shared" si="16"/>
        <v>276214.1501</v>
      </c>
      <c r="R22" s="11">
        <f t="shared" si="17"/>
        <v>485368.7393</v>
      </c>
      <c r="S22" s="6" t="str">
        <f t="shared" si="18"/>
        <v>Turnstrike</v>
      </c>
      <c r="T22" s="11">
        <f t="shared" si="20"/>
        <v>9131.046286</v>
      </c>
      <c r="U22" s="1">
        <v>1.0</v>
      </c>
      <c r="V22" s="6" t="str">
        <f t="shared" si="10"/>
        <v> </v>
      </c>
    </row>
    <row r="23">
      <c r="B23" s="1" t="s">
        <v>485</v>
      </c>
      <c r="C23" s="1">
        <v>0.5</v>
      </c>
      <c r="D23" s="1">
        <v>12.5</v>
      </c>
      <c r="E23" s="1">
        <v>16040.0</v>
      </c>
      <c r="F23" s="1">
        <v>20879.0</v>
      </c>
      <c r="G23" s="1">
        <v>7816.0</v>
      </c>
      <c r="H23" s="1">
        <v>11293.0</v>
      </c>
      <c r="I23" s="2"/>
      <c r="J23" s="14">
        <v>1.0</v>
      </c>
      <c r="K23" s="7">
        <v>1.0</v>
      </c>
      <c r="L23" s="9">
        <f t="shared" si="11"/>
        <v>202585.2</v>
      </c>
      <c r="M23" s="10">
        <f t="shared" si="12"/>
        <v>263701.77</v>
      </c>
      <c r="N23" s="9">
        <f t="shared" si="13"/>
        <v>98716.08</v>
      </c>
      <c r="O23" s="11">
        <f t="shared" si="14"/>
        <v>142630.59</v>
      </c>
      <c r="P23" s="11">
        <f t="shared" si="15"/>
        <v>406332.36</v>
      </c>
      <c r="Q23" s="11">
        <f t="shared" si="16"/>
        <v>361817.374</v>
      </c>
      <c r="R23" s="11">
        <f t="shared" si="17"/>
        <v>441735.7421</v>
      </c>
      <c r="S23" s="6" t="str">
        <f t="shared" si="18"/>
        <v>Jael's Dreadful Dep</v>
      </c>
      <c r="T23" s="11">
        <f t="shared" si="20"/>
        <v>27832.10569</v>
      </c>
      <c r="U23" s="1">
        <v>1.0</v>
      </c>
      <c r="V23" s="6" t="str">
        <f t="shared" si="10"/>
        <v> </v>
      </c>
    </row>
    <row r="24">
      <c r="B24" s="1" t="s">
        <v>486</v>
      </c>
      <c r="C24" s="1">
        <v>0.5</v>
      </c>
      <c r="D24" s="1">
        <v>15.0</v>
      </c>
      <c r="E24" s="1">
        <v>16423.0</v>
      </c>
      <c r="F24" s="1">
        <v>27371.0</v>
      </c>
      <c r="I24" s="2"/>
      <c r="J24" s="46"/>
      <c r="K24" s="3"/>
      <c r="L24" s="9">
        <f t="shared" si="11"/>
        <v>207422.49</v>
      </c>
      <c r="M24" s="10">
        <f t="shared" si="12"/>
        <v>345695.73</v>
      </c>
      <c r="N24" s="9">
        <f t="shared" si="13"/>
        <v>0</v>
      </c>
      <c r="O24" s="11">
        <f t="shared" si="14"/>
        <v>0</v>
      </c>
      <c r="P24" s="11">
        <f t="shared" si="15"/>
        <v>345695.73</v>
      </c>
      <c r="Q24" s="11">
        <f t="shared" si="16"/>
        <v>293842.4757</v>
      </c>
      <c r="R24" s="11">
        <f t="shared" si="17"/>
        <v>358746.5207</v>
      </c>
      <c r="S24" s="6" t="str">
        <f t="shared" si="18"/>
        <v>Lanet's Excr</v>
      </c>
      <c r="T24" s="11">
        <f t="shared" si="20"/>
        <v>18957.57907</v>
      </c>
      <c r="U24" s="11"/>
      <c r="V24" s="6" t="str">
        <f t="shared" si="10"/>
        <v> </v>
      </c>
    </row>
    <row r="25">
      <c r="B25" s="1" t="s">
        <v>487</v>
      </c>
      <c r="C25" s="6">
        <f>1.25</f>
        <v>1.25</v>
      </c>
      <c r="D25" s="1">
        <v>10.0</v>
      </c>
      <c r="E25" s="1">
        <v>35579.0</v>
      </c>
      <c r="F25" s="1">
        <v>47149.0</v>
      </c>
      <c r="I25" s="2"/>
      <c r="J25" s="46"/>
      <c r="K25" s="3"/>
      <c r="L25" s="9">
        <f t="shared" si="11"/>
        <v>449362.77</v>
      </c>
      <c r="M25" s="10">
        <f t="shared" si="12"/>
        <v>595491.87</v>
      </c>
      <c r="N25" s="9">
        <f t="shared" si="13"/>
        <v>0</v>
      </c>
      <c r="O25" s="11">
        <f t="shared" si="14"/>
        <v>0</v>
      </c>
      <c r="P25" s="11">
        <f t="shared" si="15"/>
        <v>595491.87</v>
      </c>
      <c r="Q25" s="11">
        <f t="shared" si="16"/>
        <v>532645.8294</v>
      </c>
      <c r="R25" s="11">
        <f t="shared" si="17"/>
        <v>339463.5545</v>
      </c>
      <c r="S25" s="6" t="str">
        <f t="shared" si="18"/>
        <v>Misfortune's kiss</v>
      </c>
      <c r="T25" s="11">
        <f t="shared" si="20"/>
        <v>47346.29594</v>
      </c>
      <c r="U25" s="1">
        <v>1.0</v>
      </c>
      <c r="V25" s="6" t="str">
        <f t="shared" si="10"/>
        <v> </v>
      </c>
    </row>
    <row r="26">
      <c r="B26" s="1" t="s">
        <v>488</v>
      </c>
      <c r="C26" s="1">
        <v>0.25</v>
      </c>
      <c r="D26" s="1">
        <v>5.0</v>
      </c>
      <c r="E26" s="1">
        <v>11592.0</v>
      </c>
      <c r="F26" s="1">
        <v>16752.0</v>
      </c>
      <c r="I26" s="2"/>
      <c r="J26" s="46"/>
      <c r="K26" s="3"/>
      <c r="L26" s="9">
        <f t="shared" si="11"/>
        <v>146406.96</v>
      </c>
      <c r="M26" s="10">
        <f t="shared" si="12"/>
        <v>211577.76</v>
      </c>
      <c r="N26" s="9">
        <f t="shared" si="13"/>
        <v>0</v>
      </c>
      <c r="O26" s="11">
        <f t="shared" si="14"/>
        <v>0</v>
      </c>
      <c r="P26" s="11">
        <f t="shared" si="15"/>
        <v>211577.76</v>
      </c>
      <c r="Q26" s="11">
        <f t="shared" si="16"/>
        <v>184924.5031</v>
      </c>
      <c r="R26" s="11">
        <f t="shared" si="17"/>
        <v>324952.8414</v>
      </c>
      <c r="S26" s="6" t="str">
        <f t="shared" si="18"/>
        <v>Thuri's Doleful</v>
      </c>
      <c r="T26" s="11">
        <f t="shared" si="20"/>
        <v>35223.71488</v>
      </c>
      <c r="U26" s="1">
        <v>1.0</v>
      </c>
      <c r="V26" s="6" t="str">
        <f t="shared" si="10"/>
        <v> </v>
      </c>
    </row>
    <row r="27">
      <c r="B27" s="57" t="s">
        <v>115</v>
      </c>
      <c r="C27" s="1">
        <v>0.25</v>
      </c>
      <c r="D27" s="1">
        <v>15.0</v>
      </c>
      <c r="E27" s="1">
        <v>9275.0</v>
      </c>
      <c r="F27" s="1">
        <v>13404.0</v>
      </c>
      <c r="I27" s="2"/>
      <c r="J27" s="46"/>
      <c r="K27" s="3"/>
      <c r="L27" s="9">
        <f t="shared" si="11"/>
        <v>117143.25</v>
      </c>
      <c r="M27" s="10">
        <f t="shared" si="12"/>
        <v>169292.52</v>
      </c>
      <c r="N27" s="9">
        <f t="shared" si="13"/>
        <v>0</v>
      </c>
      <c r="O27" s="11">
        <f t="shared" si="14"/>
        <v>0</v>
      </c>
      <c r="P27" s="11">
        <f t="shared" si="15"/>
        <v>169292.52</v>
      </c>
      <c r="Q27" s="11">
        <f t="shared" si="16"/>
        <v>147965.1035</v>
      </c>
      <c r="R27" s="11">
        <f t="shared" si="17"/>
        <v>260007.084</v>
      </c>
      <c r="S27" s="6" t="str">
        <f t="shared" si="18"/>
        <v>Bump</v>
      </c>
      <c r="T27" s="11">
        <f t="shared" si="20"/>
        <v>9702.629736</v>
      </c>
      <c r="U27" s="1">
        <v>1.0</v>
      </c>
      <c r="V27" s="6" t="str">
        <f t="shared" si="10"/>
        <v> </v>
      </c>
    </row>
    <row r="28">
      <c r="B28" s="1" t="s">
        <v>113</v>
      </c>
      <c r="C28" s="1">
        <v>0.5</v>
      </c>
      <c r="D28" s="1">
        <v>5.0</v>
      </c>
      <c r="E28" s="1">
        <v>12003.0</v>
      </c>
      <c r="F28" s="1">
        <v>19081.0</v>
      </c>
      <c r="I28" s="2"/>
      <c r="J28" s="46"/>
      <c r="K28" s="3"/>
      <c r="L28" s="9">
        <f t="shared" si="11"/>
        <v>151597.89</v>
      </c>
      <c r="M28" s="10">
        <f t="shared" si="12"/>
        <v>240993.03</v>
      </c>
      <c r="N28" s="9">
        <f t="shared" si="13"/>
        <v>0</v>
      </c>
      <c r="O28" s="11">
        <f t="shared" si="14"/>
        <v>0</v>
      </c>
      <c r="P28" s="11">
        <f t="shared" si="15"/>
        <v>240993.03</v>
      </c>
      <c r="Q28" s="11">
        <f t="shared" si="16"/>
        <v>206473.3457</v>
      </c>
      <c r="R28" s="11">
        <f t="shared" si="17"/>
        <v>252079.262</v>
      </c>
      <c r="S28" s="6" t="str">
        <f t="shared" si="18"/>
        <v>Howl of Death</v>
      </c>
      <c r="T28" s="11">
        <f t="shared" si="20"/>
        <v>37540.60832</v>
      </c>
      <c r="V28" s="6" t="str">
        <f t="shared" si="10"/>
        <v> </v>
      </c>
    </row>
    <row r="29">
      <c r="B29" s="1" t="s">
        <v>129</v>
      </c>
      <c r="C29" s="1">
        <v>0.25</v>
      </c>
      <c r="D29" s="1">
        <v>15.0</v>
      </c>
      <c r="E29" s="1">
        <v>8159.0</v>
      </c>
      <c r="F29" s="1">
        <v>11791.0</v>
      </c>
      <c r="I29" s="2"/>
      <c r="J29" s="46"/>
      <c r="K29" s="3"/>
      <c r="L29" s="9">
        <f t="shared" si="11"/>
        <v>103048.17</v>
      </c>
      <c r="M29" s="10">
        <f t="shared" si="12"/>
        <v>148920.33</v>
      </c>
      <c r="N29" s="9">
        <f t="shared" si="13"/>
        <v>0</v>
      </c>
      <c r="O29" s="11">
        <f t="shared" si="14"/>
        <v>0</v>
      </c>
      <c r="P29" s="11">
        <f t="shared" si="15"/>
        <v>148920.33</v>
      </c>
      <c r="Q29" s="11">
        <f t="shared" si="16"/>
        <v>130159.8812</v>
      </c>
      <c r="R29" s="11">
        <f t="shared" si="17"/>
        <v>228719.41</v>
      </c>
      <c r="S29" s="6" t="str">
        <f t="shared" si="18"/>
        <v>Rhythm Blade</v>
      </c>
      <c r="T29" s="11">
        <f t="shared" si="20"/>
        <v>8535.074177</v>
      </c>
      <c r="U29" s="1">
        <v>1.0</v>
      </c>
      <c r="V29" s="6" t="str">
        <f t="shared" si="10"/>
        <v> </v>
      </c>
    </row>
    <row r="30">
      <c r="B30" s="1" t="s">
        <v>122</v>
      </c>
      <c r="C30" s="1">
        <v>0.5</v>
      </c>
      <c r="D30" s="1">
        <v>15.0</v>
      </c>
      <c r="E30" s="1">
        <v>6185.0</v>
      </c>
      <c r="F30" s="1">
        <v>8936.0</v>
      </c>
      <c r="I30" s="2"/>
      <c r="J30" s="46"/>
      <c r="K30" s="3"/>
      <c r="L30" s="9">
        <f t="shared" si="11"/>
        <v>78116.55</v>
      </c>
      <c r="M30" s="10">
        <f t="shared" si="12"/>
        <v>112861.68</v>
      </c>
      <c r="N30" s="9">
        <f t="shared" si="13"/>
        <v>0</v>
      </c>
      <c r="O30" s="11">
        <f t="shared" si="14"/>
        <v>0</v>
      </c>
      <c r="P30" s="11">
        <f t="shared" si="15"/>
        <v>112861.68</v>
      </c>
      <c r="Q30" s="11">
        <f t="shared" si="16"/>
        <v>98649.74765</v>
      </c>
      <c r="R30" s="11">
        <f t="shared" si="17"/>
        <v>120439.5439</v>
      </c>
      <c r="S30" s="6" t="str">
        <f t="shared" si="18"/>
        <v>Messenger's</v>
      </c>
      <c r="T30" s="11">
        <f>$Q30/(($C30+$D30))</f>
        <v>6364.499848</v>
      </c>
      <c r="U30" s="1">
        <v>1.0</v>
      </c>
      <c r="V30" s="6" t="str">
        <f t="shared" si="10"/>
        <v> </v>
      </c>
    </row>
    <row r="31">
      <c r="I31" s="2"/>
      <c r="J31" s="46"/>
      <c r="K31" s="3"/>
      <c r="L31" s="9"/>
      <c r="M31" s="10"/>
      <c r="N31" s="9"/>
      <c r="O31" s="11"/>
      <c r="P31" s="11"/>
      <c r="Q31" s="11"/>
      <c r="R31" s="11"/>
      <c r="T31" s="11"/>
    </row>
    <row r="32">
      <c r="I32" s="2"/>
      <c r="J32" s="46"/>
      <c r="K32" s="3"/>
      <c r="L32" s="9"/>
      <c r="M32" s="10"/>
      <c r="N32" s="9"/>
      <c r="O32" s="11"/>
      <c r="P32" s="11"/>
      <c r="Q32" s="11"/>
      <c r="R32" s="11"/>
      <c r="T32" s="11"/>
    </row>
    <row r="33">
      <c r="I33" s="2"/>
      <c r="J33" s="46"/>
      <c r="K33" s="3"/>
      <c r="L33" s="9"/>
      <c r="M33" s="10"/>
      <c r="N33" s="9"/>
      <c r="O33" s="11"/>
      <c r="P33" s="11"/>
      <c r="Q33" s="11"/>
      <c r="R33" s="11"/>
      <c r="T33" s="11"/>
    </row>
    <row r="34">
      <c r="I34" s="2"/>
      <c r="J34" s="46"/>
      <c r="K34" s="3"/>
      <c r="L34" s="9"/>
      <c r="M34" s="10"/>
      <c r="N34" s="9"/>
      <c r="O34" s="11"/>
      <c r="P34" s="11"/>
      <c r="Q34" s="11"/>
      <c r="R34" s="11"/>
      <c r="T34" s="11"/>
    </row>
    <row r="35">
      <c r="I35" s="2"/>
      <c r="J35" s="46"/>
      <c r="K35" s="3"/>
      <c r="L35" s="9"/>
      <c r="M35" s="10"/>
      <c r="N35" s="9"/>
      <c r="O35" s="11"/>
      <c r="P35" s="11"/>
      <c r="Q35" s="11"/>
      <c r="R35" s="11"/>
      <c r="T35" s="11"/>
    </row>
    <row r="36">
      <c r="I36" s="2"/>
      <c r="J36" s="46"/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J37" s="46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J38" s="46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J39" s="46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J40" s="46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J41" s="46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J42" s="46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J43" s="46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J44" s="46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J45" s="46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J46" s="46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J47" s="46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J48" s="46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J49" s="46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J50" s="46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J51" s="46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J52" s="46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J53" s="46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J54" s="46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J55" s="46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J56" s="46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J57" s="46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J58" s="46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J59" s="46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J60" s="46"/>
      <c r="K60" s="3"/>
      <c r="L60" s="9"/>
      <c r="M60" s="10"/>
      <c r="N60" s="9"/>
      <c r="O60" s="11"/>
      <c r="P60" s="11"/>
      <c r="Q60" s="11"/>
      <c r="R60" s="11"/>
      <c r="T60" s="11"/>
    </row>
    <row r="61">
      <c r="I61" s="2"/>
      <c r="J61" s="46"/>
      <c r="K61" s="3"/>
      <c r="L61" s="9"/>
      <c r="M61" s="10"/>
      <c r="N61" s="9"/>
      <c r="O61" s="11"/>
      <c r="P61" s="11"/>
      <c r="Q61" s="11"/>
      <c r="R61" s="11"/>
      <c r="T61" s="11"/>
    </row>
    <row r="62">
      <c r="I62" s="2"/>
      <c r="J62" s="46"/>
      <c r="K62" s="3"/>
      <c r="L62" s="9"/>
      <c r="M62" s="10"/>
      <c r="N62" s="9"/>
      <c r="O62" s="11"/>
      <c r="P62" s="11"/>
      <c r="Q62" s="11"/>
      <c r="R62" s="11"/>
      <c r="T62" s="11"/>
    </row>
    <row r="63">
      <c r="I63" s="2"/>
      <c r="J63" s="46"/>
      <c r="K63" s="3"/>
      <c r="L63" s="9"/>
      <c r="M63" s="10"/>
      <c r="N63" s="9"/>
      <c r="O63" s="11"/>
      <c r="P63" s="11"/>
      <c r="Q63" s="11"/>
      <c r="R63" s="11"/>
      <c r="T63" s="11"/>
    </row>
    <row r="64">
      <c r="I64" s="2"/>
      <c r="J64" s="46"/>
      <c r="K64" s="3"/>
      <c r="L64" s="9"/>
      <c r="M64" s="10"/>
      <c r="N64" s="9"/>
      <c r="O64" s="11"/>
      <c r="P64" s="11"/>
      <c r="Q64" s="11"/>
      <c r="R64" s="11"/>
      <c r="T64" s="11"/>
    </row>
    <row r="65">
      <c r="I65" s="2"/>
      <c r="J65" s="46"/>
      <c r="K65" s="3"/>
      <c r="L65" s="9"/>
      <c r="M65" s="10"/>
      <c r="N65" s="9"/>
      <c r="O65" s="11"/>
      <c r="P65" s="11"/>
      <c r="Q65" s="11"/>
      <c r="R65" s="11"/>
      <c r="T65" s="11"/>
    </row>
    <row r="66">
      <c r="I66" s="2"/>
      <c r="J66" s="46"/>
      <c r="K66" s="3"/>
      <c r="L66" s="9"/>
      <c r="M66" s="10"/>
      <c r="N66" s="9"/>
      <c r="O66" s="11"/>
      <c r="P66" s="11"/>
      <c r="Q66" s="11"/>
      <c r="R66" s="11"/>
      <c r="T66" s="11"/>
    </row>
    <row r="67">
      <c r="I67" s="2"/>
      <c r="J67" s="46"/>
      <c r="K67" s="3"/>
      <c r="L67" s="9"/>
      <c r="M67" s="10"/>
      <c r="N67" s="9"/>
      <c r="O67" s="11"/>
      <c r="P67" s="11"/>
      <c r="Q67" s="11"/>
      <c r="R67" s="11"/>
      <c r="T67" s="11"/>
    </row>
    <row r="68">
      <c r="I68" s="2"/>
      <c r="J68" s="46"/>
      <c r="K68" s="3"/>
      <c r="L68" s="9"/>
      <c r="M68" s="10"/>
      <c r="N68" s="9"/>
      <c r="O68" s="11"/>
      <c r="P68" s="11"/>
      <c r="Q68" s="11"/>
      <c r="R68" s="11"/>
      <c r="T68" s="11"/>
    </row>
    <row r="69">
      <c r="I69" s="2"/>
      <c r="J69" s="46"/>
      <c r="K69" s="3"/>
      <c r="L69" s="4"/>
    </row>
    <row r="70">
      <c r="I70" s="2"/>
      <c r="J70" s="46"/>
      <c r="K70" s="3"/>
      <c r="L70" s="4"/>
    </row>
    <row r="71">
      <c r="I71" s="2"/>
      <c r="J71" s="46"/>
      <c r="K71" s="3"/>
      <c r="L71" s="4"/>
    </row>
    <row r="72">
      <c r="I72" s="2"/>
      <c r="J72" s="46"/>
      <c r="K72" s="3"/>
      <c r="L72" s="4"/>
    </row>
    <row r="73">
      <c r="I73" s="2"/>
      <c r="J73" s="46"/>
      <c r="K73" s="3"/>
      <c r="L73" s="4"/>
    </row>
    <row r="74">
      <c r="I74" s="2"/>
      <c r="J74" s="46"/>
      <c r="K74" s="3"/>
      <c r="L74" s="4"/>
    </row>
    <row r="75">
      <c r="I75" s="2"/>
      <c r="J75" s="46"/>
      <c r="K75" s="3"/>
      <c r="L75" s="4"/>
    </row>
    <row r="76">
      <c r="I76" s="2"/>
      <c r="J76" s="46"/>
      <c r="K76" s="3"/>
      <c r="L76" s="4"/>
    </row>
    <row r="77">
      <c r="I77" s="2"/>
      <c r="J77" s="46"/>
      <c r="K77" s="3"/>
      <c r="L77" s="4"/>
    </row>
    <row r="78">
      <c r="I78" s="2"/>
      <c r="J78" s="46"/>
      <c r="K78" s="3"/>
      <c r="L78" s="4"/>
    </row>
    <row r="79">
      <c r="I79" s="2"/>
      <c r="J79" s="46"/>
      <c r="K79" s="3"/>
      <c r="L79" s="4"/>
    </row>
    <row r="80">
      <c r="I80" s="2"/>
      <c r="J80" s="46"/>
      <c r="K80" s="3"/>
      <c r="L80" s="4"/>
    </row>
    <row r="81">
      <c r="I81" s="2"/>
      <c r="J81" s="46"/>
      <c r="K81" s="3"/>
      <c r="L81" s="4"/>
    </row>
    <row r="82">
      <c r="I82" s="2"/>
      <c r="J82" s="46"/>
      <c r="K82" s="3"/>
      <c r="L82" s="4"/>
    </row>
    <row r="83">
      <c r="I83" s="2"/>
      <c r="J83" s="46"/>
      <c r="K83" s="3"/>
      <c r="L83" s="4"/>
    </row>
    <row r="84">
      <c r="I84" s="2"/>
      <c r="J84" s="46"/>
      <c r="K84" s="3"/>
      <c r="L84" s="4"/>
    </row>
    <row r="85">
      <c r="I85" s="2"/>
      <c r="J85" s="46"/>
      <c r="K85" s="3"/>
      <c r="L85" s="4"/>
    </row>
    <row r="86">
      <c r="I86" s="2"/>
      <c r="J86" s="46"/>
      <c r="K86" s="3"/>
      <c r="L86" s="4"/>
    </row>
    <row r="87">
      <c r="I87" s="2"/>
      <c r="J87" s="46"/>
      <c r="K87" s="3"/>
      <c r="L87" s="4"/>
    </row>
    <row r="88">
      <c r="I88" s="2"/>
      <c r="J88" s="46"/>
      <c r="K88" s="3"/>
      <c r="L88" s="4"/>
    </row>
    <row r="89">
      <c r="I89" s="2"/>
      <c r="J89" s="46"/>
      <c r="K89" s="3"/>
      <c r="L89" s="4"/>
    </row>
    <row r="90">
      <c r="I90" s="2"/>
      <c r="J90" s="46"/>
      <c r="K90" s="3"/>
      <c r="L90" s="4"/>
    </row>
    <row r="91">
      <c r="I91" s="2"/>
      <c r="J91" s="46"/>
      <c r="K91" s="3"/>
      <c r="L91" s="4"/>
    </row>
    <row r="92">
      <c r="I92" s="2"/>
      <c r="J92" s="46"/>
      <c r="K92" s="3"/>
      <c r="L92" s="4"/>
    </row>
    <row r="93">
      <c r="I93" s="2"/>
      <c r="J93" s="46"/>
      <c r="K93" s="3"/>
      <c r="L93" s="4"/>
    </row>
  </sheetData>
  <autoFilter ref="$A$7:$U$47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4">
      <c r="B4" s="1">
        <v>1.0</v>
      </c>
      <c r="E4" s="1">
        <v>2.0</v>
      </c>
      <c r="H4" s="1">
        <v>3.0</v>
      </c>
      <c r="K4" s="1">
        <v>4.0</v>
      </c>
      <c r="N4" s="1">
        <v>6.0</v>
      </c>
    </row>
    <row r="5">
      <c r="A5" s="1">
        <v>6013443.37173654</v>
      </c>
      <c r="B5" s="1" t="s">
        <v>107</v>
      </c>
      <c r="D5" s="1">
        <v>6013443.37173654</v>
      </c>
      <c r="E5" s="1" t="s">
        <v>107</v>
      </c>
      <c r="G5" s="1">
        <v>6013443.37173654</v>
      </c>
      <c r="H5" s="1" t="s">
        <v>107</v>
      </c>
      <c r="J5" s="1">
        <v>6013443.37173654</v>
      </c>
      <c r="K5" s="1" t="s">
        <v>107</v>
      </c>
      <c r="M5" s="1">
        <v>6013443.37173654</v>
      </c>
      <c r="N5" s="1" t="s">
        <v>107</v>
      </c>
    </row>
    <row r="6">
      <c r="A6" s="1">
        <v>947986.447423014</v>
      </c>
      <c r="B6" s="1" t="s">
        <v>481</v>
      </c>
      <c r="D6" s="1">
        <v>1409792.04487212</v>
      </c>
      <c r="E6" s="1" t="s">
        <v>110</v>
      </c>
      <c r="G6" s="1">
        <v>2114688.06730819</v>
      </c>
      <c r="H6" s="1" t="s">
        <v>110</v>
      </c>
      <c r="J6" s="1">
        <v>2819584.08974425</v>
      </c>
      <c r="K6" s="1" t="s">
        <v>110</v>
      </c>
      <c r="M6" s="1">
        <v>4229376.13461637</v>
      </c>
      <c r="N6" s="1" t="s">
        <v>110</v>
      </c>
    </row>
    <row r="7">
      <c r="A7" s="1">
        <v>852222.481433335</v>
      </c>
      <c r="B7" s="1" t="s">
        <v>119</v>
      </c>
      <c r="D7" s="1">
        <v>1081767.20043952</v>
      </c>
      <c r="E7" s="1" t="s">
        <v>109</v>
      </c>
      <c r="G7" s="1">
        <v>1622650.80065927</v>
      </c>
      <c r="H7" s="1" t="s">
        <v>109</v>
      </c>
      <c r="J7" s="1">
        <v>2163534.40087903</v>
      </c>
      <c r="K7" s="1" t="s">
        <v>109</v>
      </c>
      <c r="M7" s="1">
        <v>3245301.60131855</v>
      </c>
      <c r="N7" s="1" t="s">
        <v>109</v>
      </c>
    </row>
    <row r="8">
      <c r="A8" s="1">
        <v>704896.022436062</v>
      </c>
      <c r="B8" s="1" t="s">
        <v>110</v>
      </c>
      <c r="D8" s="1">
        <v>947986.447423014</v>
      </c>
      <c r="E8" s="1" t="s">
        <v>481</v>
      </c>
      <c r="G8" s="1">
        <v>1117277.3315569</v>
      </c>
      <c r="H8" s="1" t="s">
        <v>480</v>
      </c>
      <c r="J8" s="1">
        <v>1489703.10874254</v>
      </c>
      <c r="K8" s="1" t="s">
        <v>480</v>
      </c>
      <c r="M8" s="1">
        <v>2234554.66311381</v>
      </c>
      <c r="N8" s="1" t="s">
        <v>480</v>
      </c>
    </row>
    <row r="9">
      <c r="A9" s="1">
        <v>578940.402271833</v>
      </c>
      <c r="B9" s="1" t="s">
        <v>121</v>
      </c>
      <c r="D9" s="1">
        <v>852222.481433335</v>
      </c>
      <c r="E9" s="1" t="s">
        <v>119</v>
      </c>
      <c r="G9" s="1">
        <v>947986.447423014</v>
      </c>
      <c r="H9" s="1" t="s">
        <v>481</v>
      </c>
      <c r="J9" s="1">
        <v>996140.8</v>
      </c>
      <c r="K9" s="1" t="s">
        <v>478</v>
      </c>
      <c r="M9" s="1">
        <v>1494211.2</v>
      </c>
      <c r="N9" s="1" t="s">
        <v>478</v>
      </c>
    </row>
    <row r="10">
      <c r="A10" s="1">
        <v>565474.382565777</v>
      </c>
      <c r="B10" s="1" t="s">
        <v>482</v>
      </c>
      <c r="D10" s="1">
        <v>744851.554371269</v>
      </c>
      <c r="E10" s="1" t="s">
        <v>480</v>
      </c>
      <c r="G10" s="1">
        <v>852222.481433335</v>
      </c>
      <c r="H10" s="1" t="s">
        <v>119</v>
      </c>
      <c r="J10" s="1">
        <v>947986.447423014</v>
      </c>
      <c r="K10" s="1" t="s">
        <v>481</v>
      </c>
      <c r="M10" s="1">
        <v>1122193.74808476</v>
      </c>
      <c r="N10" s="1" t="s">
        <v>479</v>
      </c>
    </row>
    <row r="11">
      <c r="A11" s="1">
        <v>540883.600219758</v>
      </c>
      <c r="B11" s="1" t="s">
        <v>109</v>
      </c>
      <c r="D11" s="1">
        <v>710194.439165458</v>
      </c>
      <c r="E11" s="1" t="s">
        <v>487</v>
      </c>
      <c r="G11" s="1">
        <v>747105.6</v>
      </c>
      <c r="H11" s="1" t="s">
        <v>478</v>
      </c>
      <c r="J11" s="1">
        <v>852222.481433335</v>
      </c>
      <c r="K11" s="1" t="s">
        <v>119</v>
      </c>
      <c r="M11" s="1">
        <v>947986.447423014</v>
      </c>
      <c r="N11" s="1" t="s">
        <v>481</v>
      </c>
    </row>
    <row r="12">
      <c r="A12" s="1">
        <v>515462.648164862</v>
      </c>
      <c r="B12" s="1" t="s">
        <v>484</v>
      </c>
      <c r="D12" s="1">
        <v>578940.402271833</v>
      </c>
      <c r="E12" s="1" t="s">
        <v>121</v>
      </c>
      <c r="G12" s="1">
        <v>710194.439165458</v>
      </c>
      <c r="H12" s="1" t="s">
        <v>487</v>
      </c>
      <c r="J12" s="1">
        <v>748129.165389842</v>
      </c>
      <c r="K12" s="1" t="s">
        <v>479</v>
      </c>
      <c r="M12" s="1">
        <v>852222.481433335</v>
      </c>
      <c r="N12" s="1" t="s">
        <v>119</v>
      </c>
    </row>
    <row r="13">
      <c r="A13" s="1">
        <v>494062.686062659</v>
      </c>
      <c r="B13" s="1" t="s">
        <v>483</v>
      </c>
      <c r="D13" s="1">
        <v>565474.382565777</v>
      </c>
      <c r="E13" s="1" t="s">
        <v>482</v>
      </c>
      <c r="G13" s="1">
        <v>578940.402271833</v>
      </c>
      <c r="H13" s="1" t="s">
        <v>121</v>
      </c>
      <c r="J13" s="1">
        <v>710194.439165458</v>
      </c>
      <c r="K13" s="1" t="s">
        <v>487</v>
      </c>
      <c r="M13" s="1">
        <v>710194.439165458</v>
      </c>
      <c r="N13" s="1" t="s">
        <v>487</v>
      </c>
    </row>
    <row r="14">
      <c r="A14" s="1">
        <v>443538.669246092</v>
      </c>
      <c r="B14" s="1" t="s">
        <v>108</v>
      </c>
      <c r="D14" s="1">
        <v>515462.648164862</v>
      </c>
      <c r="E14" s="1" t="s">
        <v>484</v>
      </c>
      <c r="G14" s="1">
        <v>565474.382565777</v>
      </c>
      <c r="H14" s="1" t="s">
        <v>482</v>
      </c>
      <c r="J14" s="1">
        <v>578940.402271833</v>
      </c>
      <c r="K14" s="1" t="s">
        <v>121</v>
      </c>
      <c r="M14" s="1">
        <v>578940.402271833</v>
      </c>
      <c r="N14" s="1" t="s">
        <v>121</v>
      </c>
    </row>
    <row r="15">
      <c r="A15" s="1">
        <v>372425.777185634</v>
      </c>
      <c r="B15" s="1" t="s">
        <v>480</v>
      </c>
      <c r="D15" s="1">
        <v>498070.4</v>
      </c>
      <c r="E15" s="1" t="s">
        <v>478</v>
      </c>
      <c r="G15" s="1">
        <v>561096.874042382</v>
      </c>
      <c r="H15" s="1" t="s">
        <v>479</v>
      </c>
      <c r="J15" s="1">
        <v>565474.382565777</v>
      </c>
      <c r="K15" s="1" t="s">
        <v>482</v>
      </c>
      <c r="M15" s="1">
        <v>565474.382565777</v>
      </c>
      <c r="N15" s="1" t="s">
        <v>482</v>
      </c>
    </row>
    <row r="16">
      <c r="A16" s="1">
        <v>368285.533522298</v>
      </c>
      <c r="B16" s="1" t="s">
        <v>114</v>
      </c>
      <c r="D16" s="1">
        <v>494062.686062659</v>
      </c>
      <c r="E16" s="1" t="s">
        <v>483</v>
      </c>
      <c r="G16" s="1">
        <v>515462.648164862</v>
      </c>
      <c r="H16" s="1" t="s">
        <v>484</v>
      </c>
      <c r="J16" s="1">
        <v>515462.648164862</v>
      </c>
      <c r="K16" s="1" t="s">
        <v>484</v>
      </c>
      <c r="M16" s="1">
        <v>515462.648164862</v>
      </c>
      <c r="N16" s="1" t="s">
        <v>484</v>
      </c>
    </row>
    <row r="17">
      <c r="A17" s="1">
        <v>361817.373993551</v>
      </c>
      <c r="B17" s="1" t="s">
        <v>485</v>
      </c>
      <c r="D17" s="1">
        <v>443538.669246092</v>
      </c>
      <c r="E17" s="1" t="s">
        <v>108</v>
      </c>
      <c r="G17" s="1">
        <v>494062.686062659</v>
      </c>
      <c r="H17" s="1" t="s">
        <v>483</v>
      </c>
      <c r="J17" s="1">
        <v>494062.686062659</v>
      </c>
      <c r="K17" s="1" t="s">
        <v>483</v>
      </c>
      <c r="M17" s="1">
        <v>494062.686062659</v>
      </c>
      <c r="N17" s="1" t="s">
        <v>483</v>
      </c>
    </row>
    <row r="18">
      <c r="A18" s="1">
        <v>710194.439165458</v>
      </c>
      <c r="B18" s="1" t="s">
        <v>487</v>
      </c>
      <c r="D18" s="1">
        <v>374064.582694921</v>
      </c>
      <c r="E18" s="1" t="s">
        <v>479</v>
      </c>
      <c r="G18" s="1">
        <v>443538.669246092</v>
      </c>
      <c r="H18" s="1" t="s">
        <v>108</v>
      </c>
      <c r="J18" s="1">
        <v>443538.669246092</v>
      </c>
      <c r="K18" s="1" t="s">
        <v>108</v>
      </c>
      <c r="M18" s="1">
        <v>443538.669246092</v>
      </c>
      <c r="N18" s="1" t="s">
        <v>108</v>
      </c>
    </row>
    <row r="19">
      <c r="A19" s="1">
        <v>293842.47566105</v>
      </c>
      <c r="B19" s="1" t="s">
        <v>486</v>
      </c>
      <c r="D19" s="1">
        <v>368285.533522298</v>
      </c>
      <c r="E19" s="1" t="s">
        <v>114</v>
      </c>
      <c r="G19" s="1">
        <v>368285.533522298</v>
      </c>
      <c r="H19" s="1" t="s">
        <v>114</v>
      </c>
      <c r="J19" s="1">
        <v>368285.533522298</v>
      </c>
      <c r="K19" s="1" t="s">
        <v>114</v>
      </c>
      <c r="M19" s="1">
        <v>368285.533522298</v>
      </c>
      <c r="N19" s="1" t="s">
        <v>114</v>
      </c>
    </row>
    <row r="20">
      <c r="A20" s="1">
        <v>249035.2</v>
      </c>
      <c r="B20" s="1" t="s">
        <v>478</v>
      </c>
      <c r="D20" s="1">
        <v>361817.373993551</v>
      </c>
      <c r="E20" s="1" t="s">
        <v>485</v>
      </c>
      <c r="G20" s="1">
        <v>361817.373993551</v>
      </c>
      <c r="H20" s="1" t="s">
        <v>485</v>
      </c>
      <c r="J20" s="1">
        <v>361817.373993551</v>
      </c>
      <c r="K20" s="1" t="s">
        <v>485</v>
      </c>
      <c r="M20" s="1">
        <v>361817.373993551</v>
      </c>
      <c r="N20" s="1" t="s">
        <v>485</v>
      </c>
    </row>
    <row r="21">
      <c r="A21" s="1">
        <v>246566.004132091</v>
      </c>
      <c r="B21" s="1" t="s">
        <v>488</v>
      </c>
      <c r="D21" s="1">
        <v>293842.47566105</v>
      </c>
      <c r="E21" s="1" t="s">
        <v>486</v>
      </c>
      <c r="G21" s="1">
        <v>293842.47566105</v>
      </c>
      <c r="H21" s="1" t="s">
        <v>486</v>
      </c>
      <c r="J21" s="1">
        <v>293842.47566105</v>
      </c>
      <c r="K21" s="1" t="s">
        <v>486</v>
      </c>
      <c r="M21" s="1">
        <v>293842.47566105</v>
      </c>
      <c r="N21" s="1" t="s">
        <v>486</v>
      </c>
    </row>
    <row r="22">
      <c r="A22" s="1">
        <v>206473.345743791</v>
      </c>
      <c r="B22" s="1" t="s">
        <v>113</v>
      </c>
      <c r="D22" s="1">
        <v>246566.004132091</v>
      </c>
      <c r="E22" s="1" t="s">
        <v>488</v>
      </c>
      <c r="G22" s="1">
        <v>246566.004132091</v>
      </c>
      <c r="H22" s="1" t="s">
        <v>488</v>
      </c>
      <c r="J22" s="1">
        <v>246566.004132091</v>
      </c>
      <c r="K22" s="1" t="s">
        <v>488</v>
      </c>
      <c r="M22" s="1">
        <v>246566.004132091</v>
      </c>
      <c r="N22" s="1" t="s">
        <v>488</v>
      </c>
    </row>
    <row r="23">
      <c r="A23" s="1">
        <v>197286.804640416</v>
      </c>
      <c r="B23" s="1" t="s">
        <v>115</v>
      </c>
      <c r="D23" s="1">
        <v>206473.345743791</v>
      </c>
      <c r="E23" s="1" t="s">
        <v>113</v>
      </c>
      <c r="G23" s="1">
        <v>206473.345743791</v>
      </c>
      <c r="H23" s="1" t="s">
        <v>113</v>
      </c>
      <c r="J23" s="1">
        <v>206473.345743791</v>
      </c>
      <c r="K23" s="1" t="s">
        <v>113</v>
      </c>
      <c r="M23" s="1">
        <v>206473.345743791</v>
      </c>
      <c r="N23" s="1" t="s">
        <v>113</v>
      </c>
    </row>
    <row r="24">
      <c r="A24" s="1">
        <v>187032.291347461</v>
      </c>
      <c r="B24" s="1" t="s">
        <v>479</v>
      </c>
      <c r="D24" s="1">
        <v>197286.804640416</v>
      </c>
      <c r="E24" s="1" t="s">
        <v>115</v>
      </c>
      <c r="G24" s="1">
        <v>197286.804640416</v>
      </c>
      <c r="H24" s="1" t="s">
        <v>115</v>
      </c>
      <c r="J24" s="1">
        <v>197286.804640416</v>
      </c>
      <c r="K24" s="1" t="s">
        <v>115</v>
      </c>
      <c r="M24" s="1">
        <v>197286.804640416</v>
      </c>
      <c r="N24" s="1" t="s">
        <v>115</v>
      </c>
    </row>
    <row r="25">
      <c r="A25" s="1">
        <v>173546.508274687</v>
      </c>
      <c r="B25" s="1" t="s">
        <v>129</v>
      </c>
      <c r="D25" s="1">
        <v>173546.508274687</v>
      </c>
      <c r="E25" s="1" t="s">
        <v>129</v>
      </c>
      <c r="G25" s="1">
        <v>173546.508274687</v>
      </c>
      <c r="H25" s="1" t="s">
        <v>129</v>
      </c>
      <c r="J25" s="1">
        <v>173546.508274687</v>
      </c>
      <c r="K25" s="1" t="s">
        <v>129</v>
      </c>
      <c r="M25" s="1">
        <v>173546.508274687</v>
      </c>
      <c r="N25" s="1" t="s">
        <v>129</v>
      </c>
    </row>
    <row r="26">
      <c r="A26" s="1">
        <v>98649.747650949</v>
      </c>
      <c r="B26" s="1" t="s">
        <v>122</v>
      </c>
      <c r="D26" s="1">
        <v>98649.747650949</v>
      </c>
      <c r="E26" s="1" t="s">
        <v>122</v>
      </c>
      <c r="G26" s="1">
        <v>98649.747650949</v>
      </c>
      <c r="H26" s="1" t="s">
        <v>122</v>
      </c>
      <c r="J26" s="1">
        <v>98649.747650949</v>
      </c>
      <c r="K26" s="1" t="s">
        <v>122</v>
      </c>
      <c r="M26" s="1">
        <v>98649.747650949</v>
      </c>
      <c r="N26" s="1" t="s">
        <v>122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5.695+1.3</f>
        <v>6.995</v>
      </c>
      <c r="I1" s="2"/>
      <c r="K1" s="3"/>
      <c r="L1" s="4"/>
    </row>
    <row r="2">
      <c r="A2" s="1" t="s">
        <v>1</v>
      </c>
      <c r="B2" s="5">
        <v>0.753</v>
      </c>
      <c r="I2" s="2"/>
      <c r="K2" s="3"/>
      <c r="L2" s="4"/>
    </row>
    <row r="3">
      <c r="A3" s="1" t="s">
        <v>2</v>
      </c>
      <c r="B3" s="19">
        <v>0.261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54" t="s">
        <v>71</v>
      </c>
      <c r="C8" s="1">
        <v>0.5</v>
      </c>
      <c r="D8" s="1">
        <v>20.0</v>
      </c>
      <c r="E8" s="1">
        <v>41606.0</v>
      </c>
      <c r="F8" s="1">
        <v>49840.0</v>
      </c>
      <c r="G8" s="6">
        <f t="shared" ref="G8:H8" si="1">E8</f>
        <v>41606</v>
      </c>
      <c r="H8" s="6">
        <f t="shared" si="1"/>
        <v>49840</v>
      </c>
      <c r="I8" s="5">
        <v>0.15</v>
      </c>
      <c r="J8" s="1">
        <v>4.0</v>
      </c>
      <c r="K8" s="7">
        <v>1.0</v>
      </c>
      <c r="L8" s="9">
        <f t="shared" ref="L8:L35" si="3">if(E8*($B$1+$I8)&lt;(F8+1),F8+1,E8*($I8+$B$1))</f>
        <v>297274.87</v>
      </c>
      <c r="M8" s="10">
        <f t="shared" ref="M8:M35" si="4">F8*($B$1+$I8)</f>
        <v>356106.8</v>
      </c>
      <c r="N8" s="9">
        <f t="shared" ref="N8:N35" si="5">if(if(G8*($B$1+$I8)&lt;(H8+1),H8+1,G8*($I8+$B$1))=1,0,if(G8*($B$1+$I8)&lt;(H8+1),H8+1,G8*($I8+$B$1)))</f>
        <v>297274.87</v>
      </c>
      <c r="O8" s="11">
        <f t="shared" ref="O8:O35" si="6">H8*($B$1+$I8)</f>
        <v>356106.8</v>
      </c>
      <c r="P8" s="11">
        <f t="shared" ref="P8:P35" si="7">M8+O8*K8*J8</f>
        <v>1780534</v>
      </c>
      <c r="Q8" s="11">
        <f t="shared" ref="Q8:Q35" si="8">(if($A8=1,$B$4,1)*((L8*E8+F8*M8)/(E8+F8)+if(G8&gt;0,(N8*G8+H8*O8)/(G8+H8)*J8*K8,0)))*(if($U8=0,1+$B$3,1))</f>
        <v>1646697.568</v>
      </c>
      <c r="R8" s="11">
        <f t="shared" ref="R8:R35" si="9">Q8/(C8+0.5*(1/(1+$B$5)))</f>
        <v>1646697.568</v>
      </c>
      <c r="S8" s="6" t="str">
        <f t="shared" ref="S8:S35" si="10">B8</f>
        <v>Psychic Trauma</v>
      </c>
      <c r="T8" s="11">
        <f>$Q8/(($C8+$D8))</f>
        <v>80326.71061</v>
      </c>
      <c r="U8" s="1">
        <v>1.0</v>
      </c>
    </row>
    <row r="9">
      <c r="B9" s="54" t="s">
        <v>372</v>
      </c>
      <c r="C9" s="1">
        <v>0.75</v>
      </c>
      <c r="D9" s="1">
        <v>10.0</v>
      </c>
      <c r="E9" s="1">
        <v>20852.0</v>
      </c>
      <c r="F9" s="1">
        <v>24818.0</v>
      </c>
      <c r="G9" s="6">
        <f t="shared" ref="G9:H9" si="2">E9</f>
        <v>20852</v>
      </c>
      <c r="H9" s="6">
        <f t="shared" si="2"/>
        <v>24818</v>
      </c>
      <c r="I9" s="5">
        <v>0.15</v>
      </c>
      <c r="J9" s="1">
        <v>5.0</v>
      </c>
      <c r="K9" s="7">
        <v>1.0</v>
      </c>
      <c r="L9" s="9">
        <f t="shared" si="3"/>
        <v>148987.54</v>
      </c>
      <c r="M9" s="10">
        <f t="shared" si="4"/>
        <v>177324.61</v>
      </c>
      <c r="N9" s="9">
        <f t="shared" si="5"/>
        <v>148987.54</v>
      </c>
      <c r="O9" s="11">
        <f t="shared" si="6"/>
        <v>177324.61</v>
      </c>
      <c r="P9" s="11">
        <f t="shared" si="7"/>
        <v>1063947.66</v>
      </c>
      <c r="Q9" s="11">
        <f t="shared" si="8"/>
        <v>986318.8555</v>
      </c>
      <c r="R9" s="11">
        <f t="shared" si="9"/>
        <v>789055.0844</v>
      </c>
      <c r="S9" s="6" t="str">
        <f t="shared" si="10"/>
        <v>Theorems</v>
      </c>
      <c r="T9" s="11">
        <f t="shared" ref="T9:T16" si="11">$Q9/(($C9+if($D9&lt;=$J9,$J9,$D9)))</f>
        <v>91750.59121</v>
      </c>
      <c r="U9" s="1">
        <v>1.0</v>
      </c>
    </row>
    <row r="10">
      <c r="A10" s="1">
        <v>1.0</v>
      </c>
      <c r="B10" s="1" t="s">
        <v>489</v>
      </c>
      <c r="C10" s="1">
        <v>0.0</v>
      </c>
      <c r="D10" s="1">
        <v>5.0</v>
      </c>
      <c r="E10" s="1">
        <v>15018.0</v>
      </c>
      <c r="F10" s="1">
        <v>24587.0</v>
      </c>
      <c r="G10" s="1">
        <v>1810.0</v>
      </c>
      <c r="H10" s="1">
        <v>3046.0</v>
      </c>
      <c r="I10" s="5">
        <v>0.15</v>
      </c>
      <c r="J10" s="1">
        <v>4.0</v>
      </c>
      <c r="K10" s="7">
        <v>1.0</v>
      </c>
      <c r="L10" s="9">
        <f t="shared" si="3"/>
        <v>107303.61</v>
      </c>
      <c r="M10" s="10">
        <f t="shared" si="4"/>
        <v>175674.115</v>
      </c>
      <c r="N10" s="9">
        <f t="shared" si="5"/>
        <v>12932.45</v>
      </c>
      <c r="O10" s="11">
        <f t="shared" si="6"/>
        <v>21763.67</v>
      </c>
      <c r="P10" s="11">
        <f t="shared" si="7"/>
        <v>262728.795</v>
      </c>
      <c r="Q10" s="11">
        <f t="shared" si="8"/>
        <v>282005.326</v>
      </c>
      <c r="R10" s="11">
        <f t="shared" si="9"/>
        <v>564010.652</v>
      </c>
      <c r="S10" s="6" t="str">
        <f t="shared" si="10"/>
        <v>Chromatic Illusion</v>
      </c>
      <c r="T10" s="11">
        <f t="shared" si="11"/>
        <v>56401.0652</v>
      </c>
    </row>
    <row r="11">
      <c r="B11" s="54" t="s">
        <v>374</v>
      </c>
      <c r="C11" s="1">
        <v>1.0</v>
      </c>
      <c r="D11" s="1">
        <v>7.5</v>
      </c>
      <c r="E11" s="1">
        <v>16896.0</v>
      </c>
      <c r="F11" s="1">
        <v>20109.0</v>
      </c>
      <c r="G11" s="6">
        <f t="shared" ref="G11:H11" si="12">E11</f>
        <v>16896</v>
      </c>
      <c r="H11" s="6">
        <f t="shared" si="12"/>
        <v>20109</v>
      </c>
      <c r="I11" s="5">
        <v>0.25</v>
      </c>
      <c r="J11" s="1">
        <v>5.0</v>
      </c>
      <c r="K11" s="7">
        <v>1.0</v>
      </c>
      <c r="L11" s="9">
        <f t="shared" si="3"/>
        <v>122411.52</v>
      </c>
      <c r="M11" s="10">
        <f t="shared" si="4"/>
        <v>145689.705</v>
      </c>
      <c r="N11" s="9">
        <f t="shared" si="5"/>
        <v>122411.52</v>
      </c>
      <c r="O11" s="11">
        <f t="shared" si="6"/>
        <v>145689.705</v>
      </c>
      <c r="P11" s="11">
        <f t="shared" si="7"/>
        <v>874138.23</v>
      </c>
      <c r="Q11" s="11">
        <f t="shared" si="8"/>
        <v>810367.1374</v>
      </c>
      <c r="R11" s="11">
        <f t="shared" si="9"/>
        <v>540244.7583</v>
      </c>
      <c r="S11" s="6" t="str">
        <f t="shared" si="10"/>
        <v>Prismatic Chaos</v>
      </c>
      <c r="T11" s="11">
        <f t="shared" si="11"/>
        <v>95337.31028</v>
      </c>
      <c r="U11" s="1">
        <v>1.0</v>
      </c>
    </row>
    <row r="12">
      <c r="B12" s="54" t="s">
        <v>371</v>
      </c>
      <c r="C12" s="1">
        <v>0.5</v>
      </c>
      <c r="D12" s="1">
        <v>14.0</v>
      </c>
      <c r="E12" s="1">
        <v>15482.0</v>
      </c>
      <c r="F12" s="1">
        <v>18426.0</v>
      </c>
      <c r="G12" s="1">
        <v>4423.0</v>
      </c>
      <c r="H12" s="1">
        <v>5264.0</v>
      </c>
      <c r="I12" s="5">
        <v>0.15</v>
      </c>
      <c r="J12" s="1">
        <v>14.0</v>
      </c>
      <c r="K12" s="12">
        <f>1/2.3</f>
        <v>0.4347826087</v>
      </c>
      <c r="L12" s="9">
        <f t="shared" si="3"/>
        <v>110618.89</v>
      </c>
      <c r="M12" s="10">
        <f t="shared" si="4"/>
        <v>131653.77</v>
      </c>
      <c r="N12" s="9">
        <f t="shared" si="5"/>
        <v>31602.335</v>
      </c>
      <c r="O12" s="11">
        <f t="shared" si="6"/>
        <v>37611.28</v>
      </c>
      <c r="P12" s="11">
        <f t="shared" si="7"/>
        <v>360591.9961</v>
      </c>
      <c r="Q12" s="11">
        <f t="shared" si="8"/>
        <v>421536.3414</v>
      </c>
      <c r="R12" s="11">
        <f t="shared" si="9"/>
        <v>421536.3414</v>
      </c>
      <c r="S12" s="6" t="str">
        <f t="shared" si="10"/>
        <v>Brainburst</v>
      </c>
      <c r="T12" s="11">
        <f t="shared" si="11"/>
        <v>29071.47182</v>
      </c>
    </row>
    <row r="13">
      <c r="B13" s="1" t="s">
        <v>378</v>
      </c>
      <c r="C13" s="1">
        <v>1.0</v>
      </c>
      <c r="D13" s="1">
        <v>90.0</v>
      </c>
      <c r="E13" s="1">
        <v>6483.0</v>
      </c>
      <c r="F13" s="1">
        <v>8772.0</v>
      </c>
      <c r="G13" s="6">
        <f t="shared" ref="G13:H13" si="13">E13</f>
        <v>6483</v>
      </c>
      <c r="H13" s="6">
        <f t="shared" si="13"/>
        <v>8772</v>
      </c>
      <c r="I13" s="5">
        <v>0.15</v>
      </c>
      <c r="J13" s="1">
        <v>17.0</v>
      </c>
      <c r="K13" s="7">
        <v>1.0</v>
      </c>
      <c r="L13" s="9">
        <f t="shared" si="3"/>
        <v>46321.035</v>
      </c>
      <c r="M13" s="10">
        <f t="shared" si="4"/>
        <v>62675.94</v>
      </c>
      <c r="N13" s="9">
        <f t="shared" si="5"/>
        <v>46321.035</v>
      </c>
      <c r="O13" s="11">
        <f t="shared" si="6"/>
        <v>62675.94</v>
      </c>
      <c r="P13" s="11">
        <f t="shared" si="7"/>
        <v>1128166.92</v>
      </c>
      <c r="Q13" s="11">
        <f t="shared" si="8"/>
        <v>1003059.133</v>
      </c>
      <c r="R13" s="11">
        <f t="shared" si="9"/>
        <v>668706.089</v>
      </c>
      <c r="S13" s="6" t="str">
        <f t="shared" si="10"/>
        <v>Mana Cloak</v>
      </c>
      <c r="T13" s="11">
        <f t="shared" si="11"/>
        <v>11022.62784</v>
      </c>
      <c r="U13" s="1">
        <v>1.0</v>
      </c>
    </row>
    <row r="14">
      <c r="B14" s="54" t="s">
        <v>76</v>
      </c>
      <c r="C14" s="1">
        <v>0.25</v>
      </c>
      <c r="D14" s="1">
        <v>30.0</v>
      </c>
      <c r="E14" s="1">
        <v>29011.0</v>
      </c>
      <c r="F14" s="1">
        <v>48801.0</v>
      </c>
      <c r="I14" s="5">
        <v>0.15</v>
      </c>
      <c r="K14" s="3"/>
      <c r="L14" s="9">
        <f t="shared" si="3"/>
        <v>207283.595</v>
      </c>
      <c r="M14" s="10">
        <f t="shared" si="4"/>
        <v>348683.145</v>
      </c>
      <c r="N14" s="9">
        <f t="shared" si="5"/>
        <v>0</v>
      </c>
      <c r="O14" s="11">
        <f t="shared" si="6"/>
        <v>0</v>
      </c>
      <c r="P14" s="11">
        <f t="shared" si="7"/>
        <v>348683.145</v>
      </c>
      <c r="Q14" s="11">
        <f t="shared" si="8"/>
        <v>373211.2484</v>
      </c>
      <c r="R14" s="11">
        <f t="shared" si="9"/>
        <v>497614.9979</v>
      </c>
      <c r="S14" s="6" t="str">
        <f t="shared" si="10"/>
        <v>Bewilderment</v>
      </c>
      <c r="T14" s="11">
        <f t="shared" si="11"/>
        <v>12337.56193</v>
      </c>
    </row>
    <row r="15">
      <c r="A15" s="1">
        <v>1.0</v>
      </c>
      <c r="B15" s="58" t="s">
        <v>377</v>
      </c>
      <c r="C15" s="1">
        <v>1.25</v>
      </c>
      <c r="D15" s="1">
        <v>10.0</v>
      </c>
      <c r="E15" s="1">
        <v>14659.0</v>
      </c>
      <c r="F15" s="1">
        <v>16081.0</v>
      </c>
      <c r="G15" s="1">
        <v>7427.0</v>
      </c>
      <c r="H15" s="1">
        <v>8839.0</v>
      </c>
      <c r="I15" s="5">
        <v>0.15</v>
      </c>
      <c r="J15" s="1">
        <v>1.7</v>
      </c>
      <c r="K15" s="7">
        <v>4.11764705882353</v>
      </c>
      <c r="L15" s="9">
        <f t="shared" si="3"/>
        <v>104738.555</v>
      </c>
      <c r="M15" s="10">
        <f t="shared" si="4"/>
        <v>114898.745</v>
      </c>
      <c r="N15" s="9">
        <f t="shared" si="5"/>
        <v>53065.915</v>
      </c>
      <c r="O15" s="11">
        <f t="shared" si="6"/>
        <v>63154.655</v>
      </c>
      <c r="P15" s="11">
        <f t="shared" si="7"/>
        <v>556981.33</v>
      </c>
      <c r="Q15" s="11">
        <f t="shared" si="8"/>
        <v>655582.3561</v>
      </c>
      <c r="R15" s="11">
        <f t="shared" si="9"/>
        <v>374618.4892</v>
      </c>
      <c r="S15" s="6" t="str">
        <f t="shared" si="10"/>
        <v>Chromatic Shower</v>
      </c>
      <c r="T15" s="11">
        <f t="shared" si="11"/>
        <v>58273.98721</v>
      </c>
    </row>
    <row r="16">
      <c r="B16" s="54" t="s">
        <v>376</v>
      </c>
      <c r="C16" s="1">
        <v>0.5</v>
      </c>
      <c r="D16" s="1">
        <v>24.0</v>
      </c>
      <c r="E16" s="1">
        <v>11764.0</v>
      </c>
      <c r="F16" s="1">
        <v>14001.0</v>
      </c>
      <c r="G16" s="1">
        <v>3361.0</v>
      </c>
      <c r="H16" s="1">
        <v>4000.0</v>
      </c>
      <c r="I16" s="5">
        <v>0.15</v>
      </c>
      <c r="J16" s="1">
        <v>24.0</v>
      </c>
      <c r="K16" s="12">
        <f>1/4</f>
        <v>0.25</v>
      </c>
      <c r="L16" s="9">
        <f t="shared" si="3"/>
        <v>84053.78</v>
      </c>
      <c r="M16" s="10">
        <f t="shared" si="4"/>
        <v>100037.145</v>
      </c>
      <c r="N16" s="9">
        <f t="shared" si="5"/>
        <v>24014.345</v>
      </c>
      <c r="O16" s="11">
        <f t="shared" si="6"/>
        <v>28580</v>
      </c>
      <c r="P16" s="11">
        <f t="shared" si="7"/>
        <v>271517.145</v>
      </c>
      <c r="Q16" s="11">
        <f t="shared" si="8"/>
        <v>251711.3789</v>
      </c>
      <c r="R16" s="11">
        <f t="shared" si="9"/>
        <v>251711.3789</v>
      </c>
      <c r="S16" s="6" t="str">
        <f t="shared" si="10"/>
        <v>Nightmare</v>
      </c>
      <c r="T16" s="11">
        <f t="shared" si="11"/>
        <v>10273.93383</v>
      </c>
      <c r="U16" s="1">
        <v>1.0</v>
      </c>
    </row>
    <row r="17">
      <c r="B17" s="54" t="s">
        <v>80</v>
      </c>
      <c r="C17" s="1">
        <v>0.91</v>
      </c>
      <c r="D17" s="1">
        <v>60.0</v>
      </c>
      <c r="E17" s="1">
        <v>56373.0</v>
      </c>
      <c r="F17" s="1">
        <v>62961.0</v>
      </c>
      <c r="I17" s="19">
        <v>0.15</v>
      </c>
      <c r="K17" s="3"/>
      <c r="L17" s="9">
        <f t="shared" si="3"/>
        <v>402785.085</v>
      </c>
      <c r="M17" s="10">
        <f t="shared" si="4"/>
        <v>449856.345</v>
      </c>
      <c r="N17" s="9">
        <f t="shared" si="5"/>
        <v>0</v>
      </c>
      <c r="O17" s="11">
        <f t="shared" si="6"/>
        <v>0</v>
      </c>
      <c r="P17" s="11">
        <f t="shared" si="7"/>
        <v>449856.345</v>
      </c>
      <c r="Q17" s="11">
        <f t="shared" si="8"/>
        <v>539228.8607</v>
      </c>
      <c r="R17" s="11">
        <f t="shared" si="9"/>
        <v>382431.8161</v>
      </c>
      <c r="S17" s="6" t="str">
        <f t="shared" si="10"/>
        <v>Master Strike</v>
      </c>
      <c r="T17" s="11">
        <f>$Q17/(($C17+$D17))</f>
        <v>8852.879014</v>
      </c>
    </row>
    <row r="18">
      <c r="B18" s="1" t="s">
        <v>82</v>
      </c>
      <c r="C18" s="1">
        <v>0.25</v>
      </c>
      <c r="D18" s="1">
        <v>6.0</v>
      </c>
      <c r="E18" s="1">
        <v>25732.0</v>
      </c>
      <c r="F18" s="1">
        <v>40424.0</v>
      </c>
      <c r="I18" s="5">
        <v>0.15</v>
      </c>
      <c r="J18" s="1">
        <v>5.0</v>
      </c>
      <c r="K18" s="7">
        <v>1.0</v>
      </c>
      <c r="L18" s="9">
        <f t="shared" si="3"/>
        <v>183855.14</v>
      </c>
      <c r="M18" s="10">
        <f t="shared" si="4"/>
        <v>288829.48</v>
      </c>
      <c r="N18" s="9">
        <f t="shared" si="5"/>
        <v>0</v>
      </c>
      <c r="O18" s="11">
        <f t="shared" si="6"/>
        <v>0</v>
      </c>
      <c r="P18" s="11">
        <f t="shared" si="7"/>
        <v>288829.48</v>
      </c>
      <c r="Q18" s="11">
        <f t="shared" si="8"/>
        <v>247998.7206</v>
      </c>
      <c r="R18" s="11">
        <f t="shared" si="9"/>
        <v>330664.9608</v>
      </c>
      <c r="S18" s="6" t="str">
        <f t="shared" si="10"/>
        <v>Counterblade</v>
      </c>
      <c r="T18" s="11">
        <f>$Q18/(($C18+if($D18&lt;=$J18,$J18,$D18)))</f>
        <v>39679.7953</v>
      </c>
      <c r="U18" s="1">
        <v>1.0</v>
      </c>
    </row>
    <row r="19">
      <c r="B19" s="1" t="s">
        <v>87</v>
      </c>
      <c r="C19" s="1">
        <v>0.25</v>
      </c>
      <c r="D19" s="1">
        <v>15.0</v>
      </c>
      <c r="E19" s="1">
        <v>10387.0</v>
      </c>
      <c r="F19" s="1">
        <v>14690.0</v>
      </c>
      <c r="G19" s="1">
        <v>1093.0</v>
      </c>
      <c r="H19" s="1">
        <v>1546.0</v>
      </c>
      <c r="I19" s="5">
        <v>0.15</v>
      </c>
      <c r="J19" s="1">
        <v>12.0</v>
      </c>
      <c r="K19" s="12">
        <f>1/2</f>
        <v>0.5</v>
      </c>
      <c r="L19" s="9">
        <f t="shared" si="3"/>
        <v>74215.115</v>
      </c>
      <c r="M19" s="10">
        <f t="shared" si="4"/>
        <v>104960.05</v>
      </c>
      <c r="N19" s="9">
        <f t="shared" si="5"/>
        <v>7809.485</v>
      </c>
      <c r="O19" s="11">
        <f t="shared" si="6"/>
        <v>11046.17</v>
      </c>
      <c r="P19" s="11">
        <f t="shared" si="7"/>
        <v>171237.07</v>
      </c>
      <c r="Q19" s="11">
        <f t="shared" si="8"/>
        <v>189728.9513</v>
      </c>
      <c r="R19" s="11">
        <f t="shared" si="9"/>
        <v>252971.935</v>
      </c>
      <c r="S19" s="6" t="str">
        <f t="shared" si="10"/>
        <v>Daydream</v>
      </c>
      <c r="T19" s="11">
        <f>$Q19/(($C19+$D19))</f>
        <v>12441.24271</v>
      </c>
    </row>
    <row r="20">
      <c r="B20" s="54" t="s">
        <v>490</v>
      </c>
      <c r="C20" s="1">
        <v>0.5</v>
      </c>
      <c r="D20" s="1">
        <v>4.0</v>
      </c>
      <c r="E20" s="1">
        <v>15482.0</v>
      </c>
      <c r="F20" s="1">
        <v>18426.0</v>
      </c>
      <c r="G20" s="1">
        <v>4423.0</v>
      </c>
      <c r="H20" s="1">
        <v>5264.0</v>
      </c>
      <c r="I20" s="5">
        <v>0.15</v>
      </c>
      <c r="J20" s="1">
        <v>1.0</v>
      </c>
      <c r="K20" s="7">
        <v>1.0</v>
      </c>
      <c r="L20" s="9">
        <f t="shared" si="3"/>
        <v>110618.89</v>
      </c>
      <c r="M20" s="10">
        <f t="shared" si="4"/>
        <v>131653.77</v>
      </c>
      <c r="N20" s="9">
        <f t="shared" si="5"/>
        <v>31602.335</v>
      </c>
      <c r="O20" s="11">
        <f t="shared" si="6"/>
        <v>37611.28</v>
      </c>
      <c r="P20" s="11">
        <f t="shared" si="7"/>
        <v>169265.05</v>
      </c>
      <c r="Q20" s="11">
        <f t="shared" si="8"/>
        <v>197872.5078</v>
      </c>
      <c r="R20" s="11">
        <f t="shared" si="9"/>
        <v>197872.5078</v>
      </c>
      <c r="S20" s="6" t="str">
        <f t="shared" si="10"/>
        <v>Brainburst spam</v>
      </c>
      <c r="T20" s="11">
        <f t="shared" ref="T20:T35" si="14">$Q20/(($C20+if($D20&lt;=$J20,$J20,$D20)))</f>
        <v>43971.66839</v>
      </c>
      <c r="U20" s="11"/>
    </row>
    <row r="21">
      <c r="B21" s="1" t="s">
        <v>491</v>
      </c>
      <c r="C21" s="1">
        <v>0.5</v>
      </c>
      <c r="D21" s="1">
        <v>1.5</v>
      </c>
      <c r="E21" s="1">
        <v>17263.0</v>
      </c>
      <c r="F21" s="1">
        <v>22397.0</v>
      </c>
      <c r="I21" s="5">
        <v>0.3</v>
      </c>
      <c r="K21" s="3"/>
      <c r="L21" s="9">
        <f t="shared" si="3"/>
        <v>125933.585</v>
      </c>
      <c r="M21" s="10">
        <f t="shared" si="4"/>
        <v>163386.115</v>
      </c>
      <c r="N21" s="9">
        <f t="shared" si="5"/>
        <v>0</v>
      </c>
      <c r="O21" s="11">
        <f t="shared" si="6"/>
        <v>0</v>
      </c>
      <c r="P21" s="11">
        <f t="shared" si="7"/>
        <v>163386.115</v>
      </c>
      <c r="Q21" s="11">
        <f t="shared" si="8"/>
        <v>185472.8876</v>
      </c>
      <c r="R21" s="11">
        <f t="shared" si="9"/>
        <v>185472.8876</v>
      </c>
      <c r="S21" s="6" t="str">
        <f t="shared" si="10"/>
        <v>Ultraviolet Beam</v>
      </c>
      <c r="T21" s="11">
        <f t="shared" si="14"/>
        <v>92736.44381</v>
      </c>
    </row>
    <row r="22">
      <c r="B22" s="54" t="s">
        <v>373</v>
      </c>
      <c r="C22" s="1">
        <v>1.0</v>
      </c>
      <c r="D22" s="1">
        <v>12.5</v>
      </c>
      <c r="E22" s="1">
        <v>28072.0</v>
      </c>
      <c r="F22" s="1">
        <v>33409.0</v>
      </c>
      <c r="I22" s="5">
        <v>0.15</v>
      </c>
      <c r="K22" s="3"/>
      <c r="L22" s="9">
        <f t="shared" si="3"/>
        <v>200574.44</v>
      </c>
      <c r="M22" s="10">
        <f t="shared" si="4"/>
        <v>238707.305</v>
      </c>
      <c r="N22" s="9">
        <f t="shared" si="5"/>
        <v>0</v>
      </c>
      <c r="O22" s="11">
        <f t="shared" si="6"/>
        <v>0</v>
      </c>
      <c r="P22" s="11">
        <f t="shared" si="7"/>
        <v>238707.305</v>
      </c>
      <c r="Q22" s="11">
        <f t="shared" si="8"/>
        <v>279054.2284</v>
      </c>
      <c r="R22" s="11">
        <f t="shared" si="9"/>
        <v>186036.1523</v>
      </c>
      <c r="S22" s="6" t="str">
        <f t="shared" si="10"/>
        <v>Speechless</v>
      </c>
      <c r="T22" s="11">
        <f t="shared" si="14"/>
        <v>20670.68359</v>
      </c>
    </row>
    <row r="23">
      <c r="B23" s="1" t="s">
        <v>492</v>
      </c>
      <c r="C23" s="1">
        <v>0.5</v>
      </c>
      <c r="D23" s="1">
        <v>3.0</v>
      </c>
      <c r="E23" s="1">
        <v>11764.0</v>
      </c>
      <c r="F23" s="1">
        <v>14001.0</v>
      </c>
      <c r="G23" s="1">
        <v>3361.0</v>
      </c>
      <c r="H23" s="1">
        <v>4000.0</v>
      </c>
      <c r="I23" s="5">
        <v>0.15</v>
      </c>
      <c r="J23" s="1">
        <v>4.0</v>
      </c>
      <c r="K23" s="12">
        <f>1/4</f>
        <v>0.25</v>
      </c>
      <c r="L23" s="9">
        <f t="shared" si="3"/>
        <v>84053.78</v>
      </c>
      <c r="M23" s="10">
        <f t="shared" si="4"/>
        <v>100037.145</v>
      </c>
      <c r="N23" s="9">
        <f t="shared" si="5"/>
        <v>24014.345</v>
      </c>
      <c r="O23" s="11">
        <f t="shared" si="6"/>
        <v>28580</v>
      </c>
      <c r="P23" s="11">
        <f t="shared" si="7"/>
        <v>128617.145</v>
      </c>
      <c r="Q23" s="11">
        <f t="shared" si="8"/>
        <v>150354.9166</v>
      </c>
      <c r="R23" s="11">
        <f t="shared" si="9"/>
        <v>150354.9166</v>
      </c>
      <c r="S23" s="6" t="str">
        <f t="shared" si="10"/>
        <v>Nightmare spam</v>
      </c>
      <c r="T23" s="11">
        <f t="shared" si="14"/>
        <v>33412.20368</v>
      </c>
      <c r="U23" s="11"/>
    </row>
    <row r="24">
      <c r="A24" s="1">
        <v>1.0</v>
      </c>
      <c r="B24" s="1" t="s">
        <v>375</v>
      </c>
      <c r="C24" s="1">
        <v>1.0</v>
      </c>
      <c r="D24" s="1">
        <v>6.0</v>
      </c>
      <c r="E24" s="1">
        <v>5223.0</v>
      </c>
      <c r="F24" s="1">
        <v>6216.0</v>
      </c>
      <c r="G24" s="1">
        <v>3133.0</v>
      </c>
      <c r="H24" s="1">
        <v>3730.0</v>
      </c>
      <c r="I24" s="5">
        <v>0.15</v>
      </c>
      <c r="J24" s="1">
        <v>6.0</v>
      </c>
      <c r="K24" s="12">
        <f>1/1.1</f>
        <v>0.9090909091</v>
      </c>
      <c r="L24" s="9">
        <f t="shared" si="3"/>
        <v>37318.335</v>
      </c>
      <c r="M24" s="10">
        <f t="shared" si="4"/>
        <v>44413.32</v>
      </c>
      <c r="N24" s="9">
        <f t="shared" si="5"/>
        <v>22385.285</v>
      </c>
      <c r="O24" s="11">
        <f t="shared" si="6"/>
        <v>26650.85</v>
      </c>
      <c r="P24" s="11">
        <f t="shared" si="7"/>
        <v>189781.5927</v>
      </c>
      <c r="Q24" s="11">
        <f t="shared" si="8"/>
        <v>221835.9495</v>
      </c>
      <c r="R24" s="11">
        <f t="shared" si="9"/>
        <v>147890.633</v>
      </c>
      <c r="S24" s="6" t="str">
        <f t="shared" si="10"/>
        <v>Chromatic Storm</v>
      </c>
      <c r="T24" s="11">
        <f t="shared" si="14"/>
        <v>31690.84993</v>
      </c>
    </row>
    <row r="25">
      <c r="A25" s="59"/>
      <c r="B25" s="15" t="s">
        <v>91</v>
      </c>
      <c r="C25" s="15">
        <v>0.25</v>
      </c>
      <c r="D25" s="15">
        <v>15.0</v>
      </c>
      <c r="E25" s="15">
        <v>12766.0</v>
      </c>
      <c r="F25" s="15">
        <v>19612.0</v>
      </c>
      <c r="G25" s="59"/>
      <c r="H25" s="59"/>
      <c r="I25" s="60">
        <v>0.15</v>
      </c>
      <c r="J25" s="61"/>
      <c r="K25" s="62"/>
      <c r="L25" s="63">
        <f t="shared" si="3"/>
        <v>91213.07</v>
      </c>
      <c r="M25" s="64">
        <f t="shared" si="4"/>
        <v>140127.74</v>
      </c>
      <c r="N25" s="63">
        <f t="shared" si="5"/>
        <v>0</v>
      </c>
      <c r="O25" s="65">
        <f t="shared" si="6"/>
        <v>0</v>
      </c>
      <c r="P25" s="65">
        <f t="shared" si="7"/>
        <v>140127.74</v>
      </c>
      <c r="Q25" s="65">
        <f t="shared" si="8"/>
        <v>120841.6606</v>
      </c>
      <c r="R25" s="65">
        <f t="shared" si="9"/>
        <v>161122.2142</v>
      </c>
      <c r="S25" s="66" t="str">
        <f t="shared" si="10"/>
        <v>Null staff</v>
      </c>
      <c r="T25" s="65">
        <f t="shared" si="14"/>
        <v>7924.043321</v>
      </c>
      <c r="U25" s="67">
        <v>1.0</v>
      </c>
    </row>
    <row r="26">
      <c r="B26" s="1" t="s">
        <v>493</v>
      </c>
      <c r="C26" s="1">
        <v>1.0</v>
      </c>
      <c r="D26" s="1">
        <v>15.0</v>
      </c>
      <c r="E26" s="1">
        <v>18202.0</v>
      </c>
      <c r="F26" s="1">
        <v>25741.0</v>
      </c>
      <c r="I26" s="5">
        <v>0.15</v>
      </c>
      <c r="K26" s="3"/>
      <c r="L26" s="9">
        <f t="shared" si="3"/>
        <v>130053.29</v>
      </c>
      <c r="M26" s="10">
        <f t="shared" si="4"/>
        <v>183919.445</v>
      </c>
      <c r="N26" s="9">
        <f t="shared" si="5"/>
        <v>0</v>
      </c>
      <c r="O26" s="11">
        <f t="shared" si="6"/>
        <v>0</v>
      </c>
      <c r="P26" s="11">
        <f t="shared" si="7"/>
        <v>183919.445</v>
      </c>
      <c r="Q26" s="11">
        <f t="shared" si="8"/>
        <v>203786.5423</v>
      </c>
      <c r="R26" s="11">
        <f t="shared" si="9"/>
        <v>135857.6949</v>
      </c>
      <c r="S26" s="6" t="str">
        <f t="shared" si="10"/>
        <v>Paranoia</v>
      </c>
      <c r="T26" s="11">
        <f t="shared" si="14"/>
        <v>12736.65889</v>
      </c>
    </row>
    <row r="27">
      <c r="B27" s="1" t="s">
        <v>494</v>
      </c>
      <c r="C27" s="1">
        <v>1.0</v>
      </c>
      <c r="D27" s="1">
        <v>15.0</v>
      </c>
      <c r="E27" s="1">
        <v>19484.0</v>
      </c>
      <c r="F27" s="1">
        <v>23190.0</v>
      </c>
      <c r="I27" s="5">
        <v>0.15</v>
      </c>
      <c r="K27" s="3"/>
      <c r="L27" s="9">
        <f t="shared" si="3"/>
        <v>139213.18</v>
      </c>
      <c r="M27" s="10">
        <f t="shared" si="4"/>
        <v>165692.55</v>
      </c>
      <c r="N27" s="9">
        <f t="shared" si="5"/>
        <v>0</v>
      </c>
      <c r="O27" s="11">
        <f t="shared" si="6"/>
        <v>0</v>
      </c>
      <c r="P27" s="11">
        <f t="shared" si="7"/>
        <v>165692.55</v>
      </c>
      <c r="Q27" s="11">
        <f t="shared" si="8"/>
        <v>193692.9519</v>
      </c>
      <c r="R27" s="11">
        <f t="shared" si="9"/>
        <v>129128.6346</v>
      </c>
      <c r="S27" s="6" t="str">
        <f t="shared" si="10"/>
        <v>Aneurism</v>
      </c>
      <c r="T27" s="11">
        <f t="shared" si="14"/>
        <v>12105.80949</v>
      </c>
    </row>
    <row r="28">
      <c r="B28" s="1" t="s">
        <v>93</v>
      </c>
      <c r="C28" s="1">
        <v>0.25</v>
      </c>
      <c r="D28" s="1">
        <v>4.0</v>
      </c>
      <c r="E28" s="1">
        <v>5056.0</v>
      </c>
      <c r="F28" s="1">
        <v>7942.0</v>
      </c>
      <c r="I28" s="5">
        <v>0.15</v>
      </c>
      <c r="K28" s="3"/>
      <c r="L28" s="9">
        <f t="shared" si="3"/>
        <v>36125.12</v>
      </c>
      <c r="M28" s="10">
        <f t="shared" si="4"/>
        <v>56745.59</v>
      </c>
      <c r="N28" s="9">
        <f t="shared" si="5"/>
        <v>0</v>
      </c>
      <c r="O28" s="11">
        <f t="shared" si="6"/>
        <v>0</v>
      </c>
      <c r="P28" s="11">
        <f t="shared" si="7"/>
        <v>56745.59</v>
      </c>
      <c r="Q28" s="11">
        <f t="shared" si="8"/>
        <v>48724.57936</v>
      </c>
      <c r="R28" s="11">
        <f t="shared" si="9"/>
        <v>64966.10581</v>
      </c>
      <c r="S28" s="6" t="str">
        <f t="shared" si="10"/>
        <v>Spellblade's counter</v>
      </c>
      <c r="T28" s="11">
        <f t="shared" si="14"/>
        <v>11464.60691</v>
      </c>
      <c r="U28" s="1">
        <v>1.0</v>
      </c>
    </row>
    <row r="29">
      <c r="B29" s="1" t="s">
        <v>495</v>
      </c>
      <c r="C29" s="1">
        <v>0.5</v>
      </c>
      <c r="D29" s="1">
        <v>10.0</v>
      </c>
      <c r="E29" s="1">
        <v>5711.0</v>
      </c>
      <c r="F29" s="1">
        <v>7193.0</v>
      </c>
      <c r="I29" s="19">
        <v>0.15</v>
      </c>
      <c r="J29" s="2"/>
      <c r="K29" s="3"/>
      <c r="L29" s="9">
        <f t="shared" si="3"/>
        <v>40805.095</v>
      </c>
      <c r="M29" s="10">
        <f t="shared" si="4"/>
        <v>51393.985</v>
      </c>
      <c r="N29" s="9">
        <f t="shared" si="5"/>
        <v>0</v>
      </c>
      <c r="O29" s="11">
        <f t="shared" si="6"/>
        <v>0</v>
      </c>
      <c r="P29" s="11">
        <f t="shared" si="7"/>
        <v>51393.985</v>
      </c>
      <c r="Q29" s="11">
        <f t="shared" si="8"/>
        <v>58898.27981</v>
      </c>
      <c r="R29" s="11">
        <f t="shared" si="9"/>
        <v>58898.27981</v>
      </c>
      <c r="S29" s="6" t="str">
        <f t="shared" si="10"/>
        <v>Absorb Magic</v>
      </c>
      <c r="T29" s="11">
        <f t="shared" si="14"/>
        <v>5609.359982</v>
      </c>
      <c r="U29" s="11"/>
    </row>
    <row r="30">
      <c r="A30" s="1">
        <v>1.0</v>
      </c>
      <c r="B30" s="1" t="s">
        <v>496</v>
      </c>
      <c r="C30" s="1">
        <v>1.0</v>
      </c>
      <c r="D30" s="1">
        <v>22.5</v>
      </c>
      <c r="E30" s="1">
        <v>7996.0</v>
      </c>
      <c r="F30" s="1">
        <v>9656.0</v>
      </c>
      <c r="I30" s="5">
        <v>0.15</v>
      </c>
      <c r="K30" s="3"/>
      <c r="L30" s="9">
        <f t="shared" si="3"/>
        <v>57131.42</v>
      </c>
      <c r="M30" s="10">
        <f t="shared" si="4"/>
        <v>68992.12</v>
      </c>
      <c r="N30" s="9">
        <f t="shared" si="5"/>
        <v>0</v>
      </c>
      <c r="O30" s="11">
        <f t="shared" si="6"/>
        <v>0</v>
      </c>
      <c r="P30" s="11">
        <f t="shared" si="7"/>
        <v>68992.12</v>
      </c>
      <c r="Q30" s="11">
        <f t="shared" si="8"/>
        <v>80224.14171</v>
      </c>
      <c r="R30" s="11">
        <f t="shared" si="9"/>
        <v>53482.76114</v>
      </c>
      <c r="S30" s="6" t="str">
        <f t="shared" si="10"/>
        <v>Manatap</v>
      </c>
      <c r="T30" s="11">
        <f t="shared" si="14"/>
        <v>3413.793264</v>
      </c>
    </row>
    <row r="31">
      <c r="A31" s="1">
        <v>1.0</v>
      </c>
      <c r="B31" s="1" t="s">
        <v>497</v>
      </c>
      <c r="C31" s="1">
        <v>0.5</v>
      </c>
      <c r="D31" s="1">
        <v>15.0</v>
      </c>
      <c r="E31" s="1">
        <v>3643.0</v>
      </c>
      <c r="F31" s="1">
        <v>4728.0</v>
      </c>
      <c r="I31" s="5">
        <v>0.15</v>
      </c>
      <c r="K31" s="3"/>
      <c r="L31" s="9">
        <f t="shared" si="3"/>
        <v>26029.235</v>
      </c>
      <c r="M31" s="10">
        <f t="shared" si="4"/>
        <v>33781.56</v>
      </c>
      <c r="N31" s="9">
        <f t="shared" si="5"/>
        <v>0</v>
      </c>
      <c r="O31" s="11">
        <f t="shared" si="6"/>
        <v>0</v>
      </c>
      <c r="P31" s="11">
        <f t="shared" si="7"/>
        <v>33781.56</v>
      </c>
      <c r="Q31" s="11">
        <f t="shared" si="8"/>
        <v>38344.23956</v>
      </c>
      <c r="R31" s="11">
        <f t="shared" si="9"/>
        <v>38344.23956</v>
      </c>
      <c r="S31" s="6" t="str">
        <f t="shared" si="10"/>
        <v>Enc stun</v>
      </c>
      <c r="T31" s="11">
        <f t="shared" si="14"/>
        <v>2473.821907</v>
      </c>
    </row>
    <row r="32">
      <c r="B32" s="1" t="s">
        <v>498</v>
      </c>
      <c r="C32" s="1">
        <v>0.5</v>
      </c>
      <c r="D32" s="1">
        <v>14.0</v>
      </c>
      <c r="E32" s="1">
        <v>11421.0</v>
      </c>
      <c r="F32" s="1">
        <v>14818.0</v>
      </c>
      <c r="I32" s="2"/>
      <c r="J32" s="6">
        <f>J15*K15</f>
        <v>7</v>
      </c>
      <c r="K32" s="3"/>
      <c r="L32" s="9">
        <f t="shared" si="3"/>
        <v>79889.895</v>
      </c>
      <c r="M32" s="10">
        <f t="shared" si="4"/>
        <v>103651.91</v>
      </c>
      <c r="N32" s="9">
        <f t="shared" si="5"/>
        <v>0</v>
      </c>
      <c r="O32" s="11">
        <f t="shared" si="6"/>
        <v>0</v>
      </c>
      <c r="P32" s="11">
        <f t="shared" si="7"/>
        <v>103651.91</v>
      </c>
      <c r="Q32" s="11">
        <f t="shared" si="8"/>
        <v>117662.7279</v>
      </c>
      <c r="R32" s="11">
        <f t="shared" si="9"/>
        <v>117662.7279</v>
      </c>
      <c r="S32" s="6" t="str">
        <f t="shared" si="10"/>
        <v>Migraine</v>
      </c>
      <c r="T32" s="11">
        <f t="shared" si="14"/>
        <v>8114.670891</v>
      </c>
    </row>
    <row r="33">
      <c r="B33" s="1" t="s">
        <v>499</v>
      </c>
      <c r="C33" s="1">
        <v>1.25</v>
      </c>
      <c r="D33" s="1">
        <v>10.0</v>
      </c>
      <c r="E33" s="1">
        <v>10607.0</v>
      </c>
      <c r="F33" s="1">
        <v>10607.0</v>
      </c>
      <c r="I33" s="2"/>
      <c r="J33" s="6">
        <f>1.7/7</f>
        <v>0.2428571429</v>
      </c>
      <c r="K33" s="3"/>
      <c r="L33" s="9">
        <f t="shared" si="3"/>
        <v>74195.965</v>
      </c>
      <c r="M33" s="10">
        <f t="shared" si="4"/>
        <v>74195.965</v>
      </c>
      <c r="N33" s="9">
        <f t="shared" si="5"/>
        <v>0</v>
      </c>
      <c r="O33" s="11">
        <f t="shared" si="6"/>
        <v>0</v>
      </c>
      <c r="P33" s="11">
        <f t="shared" si="7"/>
        <v>74195.965</v>
      </c>
      <c r="Q33" s="11">
        <f t="shared" si="8"/>
        <v>93561.11187</v>
      </c>
      <c r="R33" s="11">
        <f t="shared" si="9"/>
        <v>53463.49249</v>
      </c>
      <c r="S33" s="6" t="str">
        <f t="shared" si="10"/>
        <v>Brain Clot Shower</v>
      </c>
      <c r="T33" s="11">
        <f t="shared" si="14"/>
        <v>8316.543277</v>
      </c>
    </row>
    <row r="34">
      <c r="B34" s="1" t="s">
        <v>500</v>
      </c>
      <c r="C34" s="1">
        <v>0.5</v>
      </c>
      <c r="D34" s="1">
        <v>24.0</v>
      </c>
      <c r="E34" s="1">
        <v>10607.0</v>
      </c>
      <c r="F34" s="1">
        <v>10607.0</v>
      </c>
      <c r="I34" s="2"/>
      <c r="J34" s="6">
        <f>J33^-1</f>
        <v>4.117647059</v>
      </c>
      <c r="K34" s="3"/>
      <c r="L34" s="9">
        <f t="shared" si="3"/>
        <v>74195.965</v>
      </c>
      <c r="M34" s="10">
        <f t="shared" si="4"/>
        <v>74195.965</v>
      </c>
      <c r="N34" s="9">
        <f t="shared" si="5"/>
        <v>0</v>
      </c>
      <c r="O34" s="11">
        <f t="shared" si="6"/>
        <v>0</v>
      </c>
      <c r="P34" s="11">
        <f t="shared" si="7"/>
        <v>74195.965</v>
      </c>
      <c r="Q34" s="11">
        <f t="shared" si="8"/>
        <v>93561.11187</v>
      </c>
      <c r="R34" s="11">
        <f t="shared" si="9"/>
        <v>93561.11187</v>
      </c>
      <c r="S34" s="6" t="str">
        <f t="shared" si="10"/>
        <v>Brain Clot Ngtmr</v>
      </c>
      <c r="T34" s="11">
        <f t="shared" si="14"/>
        <v>3818.820892</v>
      </c>
    </row>
    <row r="35">
      <c r="B35" s="1" t="s">
        <v>501</v>
      </c>
      <c r="C35" s="1">
        <v>1.0</v>
      </c>
      <c r="D35" s="1">
        <v>6.0</v>
      </c>
      <c r="E35" s="1">
        <v>9889.0</v>
      </c>
      <c r="F35" s="1">
        <v>9889.0</v>
      </c>
      <c r="I35" s="2"/>
      <c r="K35" s="3"/>
      <c r="L35" s="9">
        <f t="shared" si="3"/>
        <v>69173.555</v>
      </c>
      <c r="M35" s="10">
        <f t="shared" si="4"/>
        <v>69173.555</v>
      </c>
      <c r="N35" s="9">
        <f t="shared" si="5"/>
        <v>0</v>
      </c>
      <c r="O35" s="11">
        <f t="shared" si="6"/>
        <v>0</v>
      </c>
      <c r="P35" s="11">
        <f t="shared" si="7"/>
        <v>69173.555</v>
      </c>
      <c r="Q35" s="11">
        <f t="shared" si="8"/>
        <v>87227.85286</v>
      </c>
      <c r="R35" s="11">
        <f t="shared" si="9"/>
        <v>58151.9019</v>
      </c>
      <c r="S35" s="6" t="str">
        <f t="shared" si="10"/>
        <v>Brain Clot Storm</v>
      </c>
      <c r="T35" s="11">
        <f t="shared" si="14"/>
        <v>12461.12184</v>
      </c>
    </row>
    <row r="36">
      <c r="I36" s="2"/>
      <c r="J36" s="6">
        <f>58274/52000</f>
        <v>1.120653846</v>
      </c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G51" s="11"/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B57" s="6" t="str">
        <f>B32</f>
        <v>Migraine</v>
      </c>
      <c r="C57" s="6">
        <f t="shared" ref="C57:D57" si="15">sum(C33:C56)</f>
        <v>2.75</v>
      </c>
      <c r="D57" s="6">
        <f t="shared" si="15"/>
        <v>40</v>
      </c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B59" s="1" t="s">
        <v>74</v>
      </c>
      <c r="F59" s="6">
        <f t="shared" ref="F59:G59" si="16">E25</f>
        <v>12766</v>
      </c>
      <c r="G59" s="6">
        <f t="shared" si="16"/>
        <v>19612</v>
      </c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B60" s="1" t="s">
        <v>73</v>
      </c>
      <c r="E60" s="1">
        <v>1.0</v>
      </c>
      <c r="F60" s="6">
        <f t="shared" ref="F60:G60" si="17">F$59*0.85^($E60-1)</f>
        <v>12766</v>
      </c>
      <c r="G60" s="6">
        <f t="shared" si="17"/>
        <v>19612</v>
      </c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75</v>
      </c>
      <c r="D61" s="6">
        <f>E60+1</f>
        <v>2</v>
      </c>
      <c r="E61" s="6">
        <f t="shared" ref="E61:F61" si="18">F$59*0.85^($D61-1)</f>
        <v>10851.1</v>
      </c>
      <c r="F61" s="6">
        <f t="shared" si="18"/>
        <v>16670.2</v>
      </c>
      <c r="I61" s="6" t="str">
        <f t="shared" ref="I61:I77" si="20">B8</f>
        <v>Psychic Trauma</v>
      </c>
      <c r="J61" s="6">
        <f t="shared" ref="J61:J77" si="21">(C8+0.27)*K61</f>
        <v>2.31</v>
      </c>
      <c r="K61" s="1">
        <v>3.0</v>
      </c>
      <c r="L61" s="11">
        <f t="shared" ref="L61:L77" si="22">Q8*K61</f>
        <v>4940092.703</v>
      </c>
      <c r="N61" s="11"/>
      <c r="O61" s="11"/>
      <c r="P61" s="11"/>
      <c r="Q61" s="11"/>
      <c r="R61" s="11"/>
      <c r="T61" s="11"/>
    </row>
    <row r="62">
      <c r="B62" s="1" t="s">
        <v>79</v>
      </c>
      <c r="D62" s="6">
        <f t="shared" ref="D62:D79" si="23">D61+1</f>
        <v>3</v>
      </c>
      <c r="E62" s="6">
        <f t="shared" ref="E62:F62" si="19">F$59*0.85^($D62-1)</f>
        <v>9223.435</v>
      </c>
      <c r="F62" s="6">
        <f t="shared" si="19"/>
        <v>14169.67</v>
      </c>
      <c r="I62" s="6" t="str">
        <f t="shared" si="20"/>
        <v>Theorems</v>
      </c>
      <c r="J62" s="6">
        <f t="shared" si="21"/>
        <v>5.1</v>
      </c>
      <c r="K62" s="1">
        <v>5.0</v>
      </c>
      <c r="L62" s="11">
        <f t="shared" si="22"/>
        <v>4931594.277</v>
      </c>
      <c r="N62" s="11"/>
      <c r="O62" s="11"/>
      <c r="P62" s="11"/>
      <c r="Q62" s="11"/>
      <c r="R62" s="11"/>
      <c r="T62" s="11"/>
    </row>
    <row r="63">
      <c r="B63" s="1" t="s">
        <v>76</v>
      </c>
      <c r="D63" s="6">
        <f t="shared" si="23"/>
        <v>4</v>
      </c>
      <c r="E63" s="6">
        <f t="shared" ref="E63:F63" si="24">F$59*0.85^($D63-1)</f>
        <v>7839.91975</v>
      </c>
      <c r="F63" s="6">
        <f t="shared" si="24"/>
        <v>12044.2195</v>
      </c>
      <c r="I63" s="6" t="str">
        <f t="shared" si="20"/>
        <v>Chromatic Illusion</v>
      </c>
      <c r="J63" s="6">
        <f t="shared" si="21"/>
        <v>0.27</v>
      </c>
      <c r="K63" s="1">
        <v>1.0</v>
      </c>
      <c r="L63" s="11">
        <f t="shared" si="22"/>
        <v>282005.326</v>
      </c>
      <c r="N63" s="11"/>
      <c r="O63" s="11"/>
      <c r="P63" s="11"/>
      <c r="Q63" s="11"/>
      <c r="R63" s="11"/>
      <c r="T63" s="11"/>
    </row>
    <row r="64">
      <c r="B64" s="1" t="s">
        <v>77</v>
      </c>
      <c r="D64" s="6">
        <f t="shared" si="23"/>
        <v>5</v>
      </c>
      <c r="E64" s="6">
        <f t="shared" ref="E64:F64" si="25">F$59*0.85^($D64-1)</f>
        <v>6663.931788</v>
      </c>
      <c r="F64" s="6">
        <f t="shared" si="25"/>
        <v>10237.58658</v>
      </c>
      <c r="I64" s="6" t="str">
        <f t="shared" si="20"/>
        <v>Prismatic Chaos</v>
      </c>
      <c r="J64" s="6">
        <f t="shared" si="21"/>
        <v>8.89</v>
      </c>
      <c r="K64" s="1">
        <v>7.0</v>
      </c>
      <c r="L64" s="11">
        <f t="shared" si="22"/>
        <v>5672569.962</v>
      </c>
      <c r="N64" s="11"/>
      <c r="O64" s="11"/>
      <c r="P64" s="11"/>
      <c r="Q64" s="11"/>
      <c r="R64" s="11"/>
      <c r="T64" s="11"/>
    </row>
    <row r="65">
      <c r="B65" s="1" t="s">
        <v>82</v>
      </c>
      <c r="D65" s="6">
        <f t="shared" si="23"/>
        <v>6</v>
      </c>
      <c r="E65" s="6">
        <f t="shared" ref="E65:F65" si="26">F$59*0.85^($D65-1)</f>
        <v>5664.342019</v>
      </c>
      <c r="F65" s="6">
        <f t="shared" si="26"/>
        <v>8701.948589</v>
      </c>
      <c r="I65" s="6" t="str">
        <f t="shared" si="20"/>
        <v>Brainburst</v>
      </c>
      <c r="J65" s="6">
        <f t="shared" si="21"/>
        <v>8.47</v>
      </c>
      <c r="K65" s="1">
        <v>11.0</v>
      </c>
      <c r="L65" s="11">
        <f t="shared" si="22"/>
        <v>4636899.756</v>
      </c>
      <c r="N65" s="11"/>
      <c r="O65" s="11"/>
      <c r="P65" s="11"/>
      <c r="Q65" s="11"/>
      <c r="R65" s="11"/>
      <c r="T65" s="11"/>
    </row>
    <row r="66">
      <c r="B66" s="1" t="s">
        <v>84</v>
      </c>
      <c r="D66" s="6">
        <f t="shared" si="23"/>
        <v>7</v>
      </c>
      <c r="E66" s="6">
        <f t="shared" ref="E66:F66" si="27">F$59*0.85^($D66-1)</f>
        <v>4814.690716</v>
      </c>
      <c r="F66" s="6">
        <f t="shared" si="27"/>
        <v>7396.6563</v>
      </c>
      <c r="I66" s="6" t="str">
        <f t="shared" si="20"/>
        <v>Mana Cloak</v>
      </c>
      <c r="J66" s="6">
        <f t="shared" si="21"/>
        <v>5.08</v>
      </c>
      <c r="K66" s="1">
        <v>4.0</v>
      </c>
      <c r="L66" s="11">
        <f t="shared" si="22"/>
        <v>4012236.534</v>
      </c>
      <c r="N66" s="11"/>
      <c r="O66" s="11"/>
      <c r="P66" s="11"/>
      <c r="Q66" s="11"/>
      <c r="R66" s="11"/>
      <c r="T66" s="11"/>
    </row>
    <row r="67">
      <c r="B67" s="1" t="s">
        <v>81</v>
      </c>
      <c r="D67" s="6">
        <f t="shared" si="23"/>
        <v>8</v>
      </c>
      <c r="E67" s="6">
        <f t="shared" ref="E67:F67" si="28">F$59*0.85^($D67-1)</f>
        <v>4092.487109</v>
      </c>
      <c r="F67" s="6">
        <f t="shared" si="28"/>
        <v>6287.157855</v>
      </c>
      <c r="I67" s="6" t="str">
        <f t="shared" si="20"/>
        <v>Bewilderment</v>
      </c>
      <c r="J67" s="6">
        <f t="shared" si="21"/>
        <v>1.04</v>
      </c>
      <c r="K67" s="1">
        <v>2.0</v>
      </c>
      <c r="L67" s="11">
        <f t="shared" si="22"/>
        <v>746422.4969</v>
      </c>
      <c r="N67" s="11"/>
      <c r="O67" s="11"/>
      <c r="P67" s="11"/>
      <c r="Q67" s="11"/>
      <c r="R67" s="11"/>
      <c r="T67" s="11"/>
    </row>
    <row r="68">
      <c r="B68" s="1" t="s">
        <v>89</v>
      </c>
      <c r="D68" s="6">
        <f t="shared" si="23"/>
        <v>9</v>
      </c>
      <c r="E68" s="6">
        <f t="shared" ref="E68:F68" si="29">F$59*0.85^($D68-1)</f>
        <v>3478.614043</v>
      </c>
      <c r="F68" s="6">
        <f t="shared" si="29"/>
        <v>5344.084177</v>
      </c>
      <c r="I68" s="6" t="str">
        <f t="shared" si="20"/>
        <v>Chromatic Shower</v>
      </c>
      <c r="J68" s="6">
        <f t="shared" si="21"/>
        <v>7.6</v>
      </c>
      <c r="K68" s="1">
        <v>5.0</v>
      </c>
      <c r="L68" s="11">
        <f t="shared" si="22"/>
        <v>3277911.781</v>
      </c>
      <c r="N68" s="11"/>
      <c r="O68" s="11"/>
      <c r="P68" s="11"/>
      <c r="Q68" s="11"/>
      <c r="R68" s="11"/>
      <c r="T68" s="11"/>
    </row>
    <row r="69">
      <c r="B69" s="1" t="s">
        <v>88</v>
      </c>
      <c r="D69" s="6">
        <f t="shared" si="23"/>
        <v>10</v>
      </c>
      <c r="E69" s="6">
        <f t="shared" ref="E69:F69" si="30">F$59*0.85^($D69-1)</f>
        <v>2956.821936</v>
      </c>
      <c r="F69" s="6">
        <f t="shared" si="30"/>
        <v>4542.471551</v>
      </c>
      <c r="I69" s="6" t="str">
        <f t="shared" si="20"/>
        <v>Nightmare</v>
      </c>
      <c r="J69" s="6">
        <f t="shared" si="21"/>
        <v>6.93</v>
      </c>
      <c r="K69" s="1">
        <v>9.0</v>
      </c>
      <c r="L69" s="11">
        <f t="shared" si="22"/>
        <v>2265402.41</v>
      </c>
      <c r="N69" s="11"/>
      <c r="O69" s="11"/>
      <c r="P69" s="11"/>
      <c r="Q69" s="11"/>
      <c r="R69" s="11"/>
      <c r="T69" s="11"/>
    </row>
    <row r="70">
      <c r="B70" s="1" t="s">
        <v>85</v>
      </c>
      <c r="D70" s="6">
        <f t="shared" si="23"/>
        <v>11</v>
      </c>
      <c r="E70" s="6">
        <f t="shared" ref="E70:F70" si="31">F$59*0.85^($D70-1)</f>
        <v>2513.298646</v>
      </c>
      <c r="F70" s="6">
        <f t="shared" si="31"/>
        <v>3861.100818</v>
      </c>
      <c r="I70" s="6" t="str">
        <f t="shared" si="20"/>
        <v>Master Strike</v>
      </c>
      <c r="J70" s="6">
        <f t="shared" si="21"/>
        <v>2.36</v>
      </c>
      <c r="K70" s="1">
        <v>2.0</v>
      </c>
      <c r="L70" s="11">
        <f t="shared" si="22"/>
        <v>1078457.721</v>
      </c>
      <c r="N70" s="11"/>
      <c r="O70" s="11"/>
      <c r="P70" s="11"/>
      <c r="Q70" s="11"/>
      <c r="R70" s="11"/>
      <c r="T70" s="11"/>
    </row>
    <row r="71">
      <c r="B71" s="1" t="s">
        <v>86</v>
      </c>
      <c r="D71" s="6">
        <f t="shared" si="23"/>
        <v>12</v>
      </c>
      <c r="E71" s="6">
        <f t="shared" ref="E71:F71" si="32">F$59*0.85^($D71-1)</f>
        <v>2136.303849</v>
      </c>
      <c r="F71" s="6">
        <f t="shared" si="32"/>
        <v>3281.935695</v>
      </c>
      <c r="I71" s="6" t="str">
        <f t="shared" si="20"/>
        <v>Counterblade</v>
      </c>
      <c r="J71" s="6">
        <f t="shared" si="21"/>
        <v>0.52</v>
      </c>
      <c r="K71" s="1">
        <v>1.0</v>
      </c>
      <c r="L71" s="11">
        <f t="shared" si="22"/>
        <v>247998.7206</v>
      </c>
      <c r="N71" s="11"/>
      <c r="O71" s="11"/>
      <c r="P71" s="11"/>
      <c r="Q71" s="11"/>
      <c r="R71" s="11"/>
      <c r="T71" s="11"/>
    </row>
    <row r="72">
      <c r="B72" s="1" t="s">
        <v>93</v>
      </c>
      <c r="D72" s="6">
        <f t="shared" si="23"/>
        <v>13</v>
      </c>
      <c r="E72" s="6">
        <f t="shared" ref="E72:F72" si="33">F$59*0.85^($D72-1)</f>
        <v>1815.858272</v>
      </c>
      <c r="F72" s="6">
        <f t="shared" si="33"/>
        <v>2789.645341</v>
      </c>
      <c r="I72" s="6" t="str">
        <f t="shared" si="20"/>
        <v>Daydream</v>
      </c>
      <c r="J72" s="6">
        <f t="shared" si="21"/>
        <v>1.56</v>
      </c>
      <c r="K72" s="1">
        <v>3.0</v>
      </c>
      <c r="L72" s="11">
        <f t="shared" si="22"/>
        <v>569186.8538</v>
      </c>
      <c r="N72" s="11"/>
      <c r="O72" s="11"/>
      <c r="P72" s="11"/>
      <c r="Q72" s="11"/>
      <c r="R72" s="11"/>
      <c r="T72" s="11"/>
    </row>
    <row r="73">
      <c r="B73" s="1" t="s">
        <v>92</v>
      </c>
      <c r="D73" s="6">
        <f t="shared" si="23"/>
        <v>14</v>
      </c>
      <c r="E73" s="6">
        <f t="shared" ref="E73:F73" si="34">F$59*0.85^($D73-1)</f>
        <v>1543.479531</v>
      </c>
      <c r="F73" s="6">
        <f t="shared" si="34"/>
        <v>2371.19854</v>
      </c>
      <c r="I73" s="6" t="str">
        <f t="shared" si="20"/>
        <v>Brainburst spam</v>
      </c>
      <c r="J73" s="6">
        <f t="shared" si="21"/>
        <v>1.54</v>
      </c>
      <c r="K73" s="1">
        <v>2.0</v>
      </c>
      <c r="L73" s="11">
        <f t="shared" si="22"/>
        <v>395745.0155</v>
      </c>
      <c r="N73" s="11"/>
      <c r="O73" s="11"/>
      <c r="P73" s="11"/>
      <c r="Q73" s="11"/>
      <c r="R73" s="11"/>
      <c r="T73" s="11"/>
    </row>
    <row r="74">
      <c r="B74" s="1" t="s">
        <v>94</v>
      </c>
      <c r="D74" s="6">
        <f t="shared" si="23"/>
        <v>15</v>
      </c>
      <c r="E74" s="6">
        <f t="shared" ref="E74:F74" si="35">F$59*0.85^($D74-1)</f>
        <v>1311.957601</v>
      </c>
      <c r="F74" s="6">
        <f t="shared" si="35"/>
        <v>2015.518759</v>
      </c>
      <c r="I74" s="6" t="str">
        <f t="shared" si="20"/>
        <v>Ultraviolet Beam</v>
      </c>
      <c r="J74" s="6">
        <f t="shared" si="21"/>
        <v>2.31</v>
      </c>
      <c r="K74" s="1">
        <v>3.0</v>
      </c>
      <c r="L74" s="11">
        <f t="shared" si="22"/>
        <v>556418.6628</v>
      </c>
    </row>
    <row r="75">
      <c r="B75" s="1" t="s">
        <v>90</v>
      </c>
      <c r="D75" s="6">
        <f t="shared" si="23"/>
        <v>16</v>
      </c>
      <c r="E75" s="6">
        <f t="shared" ref="E75:F75" si="36">F$59*0.85^($D75-1)</f>
        <v>1115.163961</v>
      </c>
      <c r="F75" s="6">
        <f t="shared" si="36"/>
        <v>1713.190945</v>
      </c>
      <c r="I75" s="6" t="str">
        <f t="shared" si="20"/>
        <v>Speechless</v>
      </c>
      <c r="J75" s="6">
        <f t="shared" si="21"/>
        <v>5.08</v>
      </c>
      <c r="K75" s="1">
        <v>4.0</v>
      </c>
      <c r="L75" s="11">
        <f t="shared" si="22"/>
        <v>1116216.914</v>
      </c>
    </row>
    <row r="76">
      <c r="D76" s="6">
        <f t="shared" si="23"/>
        <v>17</v>
      </c>
      <c r="E76" s="6">
        <f t="shared" ref="E76:F76" si="37">F$59*0.85^($D76-1)</f>
        <v>947.8893669</v>
      </c>
      <c r="F76" s="6">
        <f t="shared" si="37"/>
        <v>1456.212303</v>
      </c>
      <c r="I76" s="6" t="str">
        <f t="shared" si="20"/>
        <v>Nightmare spam</v>
      </c>
      <c r="J76" s="6">
        <f t="shared" si="21"/>
        <v>7.7</v>
      </c>
      <c r="K76" s="1">
        <v>10.0</v>
      </c>
      <c r="L76" s="11">
        <f t="shared" si="22"/>
        <v>1503549.166</v>
      </c>
    </row>
    <row r="77">
      <c r="D77" s="6">
        <f t="shared" si="23"/>
        <v>18</v>
      </c>
      <c r="E77" s="6">
        <f t="shared" ref="E77:F77" si="38">F$59*0.85^($D77-1)</f>
        <v>805.7059619</v>
      </c>
      <c r="F77" s="6">
        <f t="shared" si="38"/>
        <v>1237.780458</v>
      </c>
      <c r="I77" s="6" t="str">
        <f t="shared" si="20"/>
        <v>Chromatic Storm</v>
      </c>
      <c r="J77" s="6">
        <f t="shared" si="21"/>
        <v>3.81</v>
      </c>
      <c r="K77" s="1">
        <v>3.0</v>
      </c>
      <c r="L77" s="11">
        <f t="shared" si="22"/>
        <v>665507.8485</v>
      </c>
    </row>
    <row r="78">
      <c r="D78" s="6">
        <f t="shared" si="23"/>
        <v>19</v>
      </c>
      <c r="E78" s="6">
        <f t="shared" ref="E78:F78" si="39">F$59*0.85^($D78-1)</f>
        <v>684.8500676</v>
      </c>
      <c r="F78" s="6">
        <f t="shared" si="39"/>
        <v>1052.113389</v>
      </c>
      <c r="L78" s="6">
        <f>sum(L61:L77)</f>
        <v>36898216.15</v>
      </c>
    </row>
    <row r="79">
      <c r="D79" s="6">
        <f t="shared" si="23"/>
        <v>20</v>
      </c>
      <c r="E79" s="6">
        <f t="shared" ref="E79:F79" si="40">F$59*0.85^($D79-1)</f>
        <v>582.1225574</v>
      </c>
      <c r="F79" s="6">
        <f t="shared" si="40"/>
        <v>894.2963807</v>
      </c>
      <c r="L79" s="6">
        <f>L78/C57</f>
        <v>13417533.14</v>
      </c>
      <c r="M79" s="1" t="s">
        <v>272</v>
      </c>
    </row>
    <row r="80">
      <c r="E80" s="6">
        <f t="shared" ref="E80:F80" si="41">sum(E61:E79)</f>
        <v>69041.97217</v>
      </c>
      <c r="F80" s="6">
        <f t="shared" si="41"/>
        <v>106066.9872</v>
      </c>
      <c r="I80" s="2"/>
      <c r="K80" s="3"/>
      <c r="L80" s="4"/>
    </row>
    <row r="81">
      <c r="I81" s="2"/>
      <c r="K81" s="7" t="s">
        <v>502</v>
      </c>
      <c r="L81" s="16" t="s">
        <v>17</v>
      </c>
      <c r="M81" s="13" t="s">
        <v>18</v>
      </c>
      <c r="N81" s="13" t="s">
        <v>19</v>
      </c>
      <c r="O81" s="13" t="s">
        <v>20</v>
      </c>
      <c r="P81" s="13" t="s">
        <v>21</v>
      </c>
      <c r="Q81" s="13" t="s">
        <v>22</v>
      </c>
      <c r="R81" s="13" t="s">
        <v>23</v>
      </c>
      <c r="S81" s="13" t="s">
        <v>69</v>
      </c>
      <c r="T81" s="1" t="s">
        <v>503</v>
      </c>
    </row>
    <row r="82">
      <c r="A82" s="1">
        <v>109323.164919163</v>
      </c>
      <c r="B82" s="1">
        <v>91117.0182751663</v>
      </c>
      <c r="C82" s="6">
        <f t="shared" ref="C82:C105" si="42">A82-B82</f>
        <v>18206.14664</v>
      </c>
      <c r="D82" s="1" t="s">
        <v>491</v>
      </c>
      <c r="I82" s="2"/>
      <c r="K82" s="13" t="s">
        <v>71</v>
      </c>
      <c r="L82" s="13">
        <v>297274.87</v>
      </c>
      <c r="M82" s="13">
        <v>356106.8</v>
      </c>
      <c r="N82" s="13">
        <v>297274.87</v>
      </c>
      <c r="O82" s="13">
        <v>356106.8</v>
      </c>
      <c r="P82" s="13">
        <v>1780534.0</v>
      </c>
      <c r="Q82" s="13">
        <v>2076485.63273464</v>
      </c>
      <c r="R82" s="13">
        <v>2076485.63273464</v>
      </c>
      <c r="S82" s="13">
        <v>101291.982084617</v>
      </c>
      <c r="T82" s="11">
        <f t="shared" ref="T82:T109" si="43">(max(L82:O82)*1.36379)</f>
        <v>485654.8928</v>
      </c>
    </row>
    <row r="83">
      <c r="A83" s="54">
        <v>105072.996922241</v>
      </c>
      <c r="B83" s="1">
        <v>87574.6525255619</v>
      </c>
      <c r="C83" s="6">
        <f t="shared" si="42"/>
        <v>17498.3444</v>
      </c>
      <c r="D83" s="1" t="s">
        <v>71</v>
      </c>
      <c r="I83" s="2"/>
      <c r="K83" s="13" t="s">
        <v>372</v>
      </c>
      <c r="L83" s="13">
        <v>148987.54</v>
      </c>
      <c r="M83" s="13">
        <v>177324.61</v>
      </c>
      <c r="N83" s="13">
        <v>148987.54</v>
      </c>
      <c r="O83" s="13">
        <v>177324.61</v>
      </c>
      <c r="P83" s="13">
        <v>1063947.66</v>
      </c>
      <c r="Q83" s="13">
        <v>986318.855492884</v>
      </c>
      <c r="R83" s="13">
        <v>789055.084394307</v>
      </c>
      <c r="S83" s="13">
        <v>91750.5912086404</v>
      </c>
      <c r="T83" s="11">
        <f t="shared" si="43"/>
        <v>241833.5299</v>
      </c>
    </row>
    <row r="84">
      <c r="A84" s="1">
        <v>78339.4316994274</v>
      </c>
      <c r="B84" s="1">
        <v>65293.1648576128</v>
      </c>
      <c r="C84" s="6">
        <f t="shared" si="42"/>
        <v>13046.26684</v>
      </c>
      <c r="D84" s="1" t="s">
        <v>377</v>
      </c>
      <c r="I84" s="2"/>
      <c r="K84" s="13" t="s">
        <v>378</v>
      </c>
      <c r="L84" s="13">
        <v>46321.035</v>
      </c>
      <c r="M84" s="13">
        <v>62675.94</v>
      </c>
      <c r="N84" s="13">
        <v>46321.035</v>
      </c>
      <c r="O84" s="13">
        <v>62675.94</v>
      </c>
      <c r="P84" s="13">
        <v>1128166.92</v>
      </c>
      <c r="Q84" s="13">
        <v>1003059.13343363</v>
      </c>
      <c r="R84" s="13">
        <v>668706.088955752</v>
      </c>
      <c r="S84" s="13">
        <v>11022.62783993</v>
      </c>
      <c r="T84" s="11">
        <f t="shared" si="43"/>
        <v>85476.82021</v>
      </c>
    </row>
    <row r="85">
      <c r="A85" s="1">
        <v>65659.8247929813</v>
      </c>
      <c r="B85" s="1">
        <v>54725.1578385069</v>
      </c>
      <c r="C85" s="6">
        <f t="shared" si="42"/>
        <v>10934.66695</v>
      </c>
      <c r="D85" s="1" t="s">
        <v>489</v>
      </c>
      <c r="I85" s="2"/>
      <c r="K85" s="13" t="s">
        <v>489</v>
      </c>
      <c r="L85" s="13">
        <v>107303.61</v>
      </c>
      <c r="M85" s="13">
        <v>175674.115</v>
      </c>
      <c r="N85" s="13">
        <v>12932.45</v>
      </c>
      <c r="O85" s="13">
        <v>21763.67</v>
      </c>
      <c r="P85" s="13">
        <v>262728.795</v>
      </c>
      <c r="Q85" s="13">
        <v>282005.325976644</v>
      </c>
      <c r="R85" s="13">
        <v>564010.651953288</v>
      </c>
      <c r="S85" s="13">
        <v>56401.0651953288</v>
      </c>
      <c r="T85" s="11">
        <f t="shared" si="43"/>
        <v>239582.6013</v>
      </c>
    </row>
    <row r="86">
      <c r="A86" s="1">
        <v>51967.371842217</v>
      </c>
      <c r="B86" s="1">
        <v>43312.9792149812</v>
      </c>
      <c r="C86" s="6">
        <f t="shared" si="42"/>
        <v>8654.392627</v>
      </c>
      <c r="D86" s="1" t="s">
        <v>490</v>
      </c>
      <c r="I86" s="2"/>
      <c r="K86" s="13" t="s">
        <v>374</v>
      </c>
      <c r="L86" s="13">
        <v>122411.52</v>
      </c>
      <c r="M86" s="13">
        <v>145689.705</v>
      </c>
      <c r="N86" s="13">
        <v>122411.52</v>
      </c>
      <c r="O86" s="13">
        <v>145689.705</v>
      </c>
      <c r="P86" s="13">
        <v>874138.23</v>
      </c>
      <c r="Q86" s="13">
        <v>810367.13737576</v>
      </c>
      <c r="R86" s="13">
        <v>540244.758250507</v>
      </c>
      <c r="S86" s="13">
        <v>95337.3102795012</v>
      </c>
      <c r="T86" s="11">
        <f t="shared" si="43"/>
        <v>198690.1628</v>
      </c>
    </row>
    <row r="87">
      <c r="A87" s="1">
        <v>44144.0625914364</v>
      </c>
      <c r="B87" s="1">
        <v>36792.5257273535</v>
      </c>
      <c r="C87" s="6">
        <f t="shared" si="42"/>
        <v>7351.536864</v>
      </c>
      <c r="D87" s="1" t="s">
        <v>371</v>
      </c>
      <c r="I87" s="2"/>
      <c r="K87" s="13" t="s">
        <v>76</v>
      </c>
      <c r="L87" s="13">
        <v>207283.595</v>
      </c>
      <c r="M87" s="13">
        <v>348683.145</v>
      </c>
      <c r="N87" s="13">
        <v>0.0</v>
      </c>
      <c r="O87" s="13">
        <v>0.0</v>
      </c>
      <c r="P87" s="13">
        <v>348683.145</v>
      </c>
      <c r="Q87" s="13">
        <v>373211.248431901</v>
      </c>
      <c r="R87" s="13">
        <v>497614.997909202</v>
      </c>
      <c r="S87" s="13">
        <v>12337.5619316331</v>
      </c>
      <c r="T87" s="11">
        <f t="shared" si="43"/>
        <v>475530.5863</v>
      </c>
    </row>
    <row r="88">
      <c r="A88" s="1">
        <v>37455.898028534</v>
      </c>
      <c r="B88" s="1">
        <v>31218.1754681388</v>
      </c>
      <c r="C88" s="6">
        <f t="shared" si="42"/>
        <v>6237.72256</v>
      </c>
      <c r="D88" s="1" t="s">
        <v>375</v>
      </c>
      <c r="I88" s="2"/>
      <c r="K88" s="13" t="s">
        <v>371</v>
      </c>
      <c r="L88" s="13">
        <v>110618.89</v>
      </c>
      <c r="M88" s="13">
        <v>131653.77</v>
      </c>
      <c r="N88" s="13">
        <v>31602.335</v>
      </c>
      <c r="O88" s="13">
        <v>37611.28</v>
      </c>
      <c r="P88" s="13">
        <v>360591.996086957</v>
      </c>
      <c r="Q88" s="13">
        <v>421536.341428574</v>
      </c>
      <c r="R88" s="13">
        <v>421536.341428574</v>
      </c>
      <c r="S88" s="13">
        <v>29071.4718226603</v>
      </c>
      <c r="T88" s="11">
        <f t="shared" si="43"/>
        <v>179548.095</v>
      </c>
    </row>
    <row r="89">
      <c r="A89" s="1">
        <v>24431.5737161821</v>
      </c>
      <c r="B89" s="1">
        <v>20362.8585984912</v>
      </c>
      <c r="C89" s="6">
        <f t="shared" si="42"/>
        <v>4068.715118</v>
      </c>
      <c r="D89" s="1" t="s">
        <v>373</v>
      </c>
      <c r="I89" s="2"/>
      <c r="K89" s="13" t="s">
        <v>80</v>
      </c>
      <c r="L89" s="13">
        <v>402785.085</v>
      </c>
      <c r="M89" s="13">
        <v>449856.345</v>
      </c>
      <c r="N89" s="13">
        <v>0.0</v>
      </c>
      <c r="O89" s="13">
        <v>0.0</v>
      </c>
      <c r="P89" s="13">
        <v>449856.345</v>
      </c>
      <c r="Q89" s="13">
        <v>539228.860727783</v>
      </c>
      <c r="R89" s="13">
        <v>382431.816118995</v>
      </c>
      <c r="S89" s="13">
        <v>8852.87901375444</v>
      </c>
      <c r="T89" s="11">
        <f t="shared" si="43"/>
        <v>613509.5847</v>
      </c>
    </row>
    <row r="90">
      <c r="A90" s="1">
        <v>18715.6674446549</v>
      </c>
      <c r="B90" s="1">
        <v>15598.8514771551</v>
      </c>
      <c r="C90" s="6">
        <f t="shared" si="42"/>
        <v>3116.815967</v>
      </c>
      <c r="D90" s="1" t="s">
        <v>87</v>
      </c>
      <c r="I90" s="2"/>
      <c r="K90" s="13" t="s">
        <v>377</v>
      </c>
      <c r="L90" s="13">
        <v>104738.555</v>
      </c>
      <c r="M90" s="13">
        <v>114898.745</v>
      </c>
      <c r="N90" s="13">
        <v>53065.915</v>
      </c>
      <c r="O90" s="13">
        <v>63154.655</v>
      </c>
      <c r="P90" s="13">
        <v>502478.862735</v>
      </c>
      <c r="Q90" s="13">
        <v>591867.719072463</v>
      </c>
      <c r="R90" s="13">
        <v>338210.125184265</v>
      </c>
      <c r="S90" s="13">
        <v>52610.4639175523</v>
      </c>
      <c r="T90" s="11">
        <f t="shared" si="43"/>
        <v>156697.7594</v>
      </c>
    </row>
    <row r="91">
      <c r="A91" s="1">
        <v>15052.6254348683</v>
      </c>
      <c r="B91" s="1">
        <v>12545.8346165911</v>
      </c>
      <c r="C91" s="6">
        <f t="shared" si="42"/>
        <v>2506.790818</v>
      </c>
      <c r="D91" s="1" t="s">
        <v>493</v>
      </c>
      <c r="I91" s="2"/>
      <c r="K91" s="13" t="s">
        <v>82</v>
      </c>
      <c r="L91" s="13">
        <v>183855.14</v>
      </c>
      <c r="M91" s="13">
        <v>288829.48</v>
      </c>
      <c r="N91" s="13">
        <v>0.0</v>
      </c>
      <c r="O91" s="13">
        <v>0.0</v>
      </c>
      <c r="P91" s="13">
        <v>288829.48</v>
      </c>
      <c r="Q91" s="13">
        <v>247998.720630026</v>
      </c>
      <c r="R91" s="13">
        <v>330664.960840035</v>
      </c>
      <c r="S91" s="13">
        <v>39679.7953008042</v>
      </c>
      <c r="T91" s="11">
        <f t="shared" si="43"/>
        <v>393902.7565</v>
      </c>
    </row>
    <row r="92">
      <c r="A92" s="1">
        <v>14395.939369148</v>
      </c>
      <c r="B92" s="1">
        <v>11998.5098451621</v>
      </c>
      <c r="C92" s="6">
        <f t="shared" si="42"/>
        <v>2397.429524</v>
      </c>
      <c r="D92" s="1" t="s">
        <v>76</v>
      </c>
      <c r="I92" s="2"/>
      <c r="K92" s="13" t="s">
        <v>87</v>
      </c>
      <c r="L92" s="13">
        <v>74215.115</v>
      </c>
      <c r="M92" s="13">
        <v>104960.05</v>
      </c>
      <c r="N92" s="13">
        <v>7809.485</v>
      </c>
      <c r="O92" s="13">
        <v>11046.17</v>
      </c>
      <c r="P92" s="13">
        <v>171237.07</v>
      </c>
      <c r="Q92" s="13">
        <v>189728.951269781</v>
      </c>
      <c r="R92" s="13">
        <v>252971.935026374</v>
      </c>
      <c r="S92" s="13">
        <v>12441.2427062151</v>
      </c>
      <c r="T92" s="11">
        <f t="shared" si="43"/>
        <v>143143.4666</v>
      </c>
    </row>
    <row r="93">
      <c r="A93" s="1">
        <v>14308.598297274</v>
      </c>
      <c r="B93" s="1">
        <v>11925.7141293776</v>
      </c>
      <c r="C93" s="6">
        <f t="shared" si="42"/>
        <v>2382.884168</v>
      </c>
      <c r="D93" s="1" t="s">
        <v>494</v>
      </c>
      <c r="I93" s="2"/>
      <c r="K93" s="13" t="s">
        <v>376</v>
      </c>
      <c r="L93" s="13">
        <v>84053.78</v>
      </c>
      <c r="M93" s="13">
        <v>100037.145</v>
      </c>
      <c r="N93" s="13">
        <v>24014.345</v>
      </c>
      <c r="O93" s="13">
        <v>28580.0</v>
      </c>
      <c r="P93" s="13">
        <v>271517.145</v>
      </c>
      <c r="Q93" s="13">
        <v>251711.378908959</v>
      </c>
      <c r="R93" s="13">
        <v>251711.378908959</v>
      </c>
      <c r="S93" s="13">
        <v>10273.9338330187</v>
      </c>
      <c r="T93" s="11">
        <f t="shared" si="43"/>
        <v>136429.658</v>
      </c>
    </row>
    <row r="94">
      <c r="A94" s="1">
        <v>9472.33522457809</v>
      </c>
      <c r="B94" s="1">
        <v>7894.85871914323</v>
      </c>
      <c r="C94" s="6">
        <f t="shared" si="42"/>
        <v>1577.476505</v>
      </c>
      <c r="D94" s="1" t="s">
        <v>80</v>
      </c>
      <c r="I94" s="2"/>
      <c r="K94" s="13" t="s">
        <v>490</v>
      </c>
      <c r="L94" s="13">
        <v>110618.89</v>
      </c>
      <c r="M94" s="13">
        <v>131653.77</v>
      </c>
      <c r="N94" s="13">
        <v>31602.335</v>
      </c>
      <c r="O94" s="13">
        <v>37611.28</v>
      </c>
      <c r="P94" s="13">
        <v>169265.05</v>
      </c>
      <c r="Q94" s="13">
        <v>197872.507751007</v>
      </c>
      <c r="R94" s="13">
        <v>197872.507751007</v>
      </c>
      <c r="S94" s="13">
        <v>43971.6683891126</v>
      </c>
      <c r="T94" s="11">
        <f t="shared" si="43"/>
        <v>179548.095</v>
      </c>
    </row>
    <row r="95">
      <c r="A95" s="1">
        <v>7253.05558460538</v>
      </c>
      <c r="B95" s="1">
        <v>6045.16708551167</v>
      </c>
      <c r="C95" s="6">
        <f t="shared" si="42"/>
        <v>1207.888499</v>
      </c>
      <c r="D95" s="1" t="s">
        <v>504</v>
      </c>
      <c r="I95" s="2"/>
      <c r="K95" s="13" t="s">
        <v>373</v>
      </c>
      <c r="L95" s="13">
        <v>200574.44</v>
      </c>
      <c r="M95" s="13">
        <v>238707.305</v>
      </c>
      <c r="N95" s="13">
        <v>0.0</v>
      </c>
      <c r="O95" s="13">
        <v>0.0</v>
      </c>
      <c r="P95" s="13">
        <v>238707.305</v>
      </c>
      <c r="Q95" s="13">
        <v>279054.228442737</v>
      </c>
      <c r="R95" s="13">
        <v>186036.152295158</v>
      </c>
      <c r="S95" s="13">
        <v>20670.6835883509</v>
      </c>
      <c r="T95" s="11">
        <f t="shared" si="43"/>
        <v>325546.6355</v>
      </c>
    </row>
    <row r="96">
      <c r="A96" s="1">
        <v>6631.64792425527</v>
      </c>
      <c r="B96" s="1">
        <v>5527.24562589863</v>
      </c>
      <c r="C96" s="6">
        <f t="shared" si="42"/>
        <v>1104.402298</v>
      </c>
      <c r="D96" s="1" t="s">
        <v>495</v>
      </c>
      <c r="I96" s="2"/>
      <c r="K96" s="13" t="s">
        <v>491</v>
      </c>
      <c r="L96" s="13">
        <v>125933.585</v>
      </c>
      <c r="M96" s="13">
        <v>163386.115</v>
      </c>
      <c r="N96" s="13">
        <v>0.0</v>
      </c>
      <c r="O96" s="13">
        <v>0.0</v>
      </c>
      <c r="P96" s="13">
        <v>163386.115</v>
      </c>
      <c r="Q96" s="13">
        <v>185472.887610643</v>
      </c>
      <c r="R96" s="13">
        <v>185472.887610643</v>
      </c>
      <c r="S96" s="13">
        <v>92736.4438053216</v>
      </c>
      <c r="T96" s="11">
        <f t="shared" si="43"/>
        <v>222824.3498</v>
      </c>
    </row>
    <row r="97">
      <c r="A97" s="1">
        <v>3750.8823591122</v>
      </c>
      <c r="B97" s="1">
        <v>3126.22870656866</v>
      </c>
      <c r="C97" s="6">
        <f t="shared" si="42"/>
        <v>624.6536525</v>
      </c>
      <c r="D97" s="1" t="s">
        <v>496</v>
      </c>
      <c r="I97" s="2"/>
      <c r="K97" s="13" t="s">
        <v>91</v>
      </c>
      <c r="L97" s="13">
        <v>91213.07</v>
      </c>
      <c r="M97" s="13">
        <v>140127.74</v>
      </c>
      <c r="N97" s="13">
        <v>0.0</v>
      </c>
      <c r="O97" s="13">
        <v>0.0</v>
      </c>
      <c r="P97" s="13">
        <v>140127.74</v>
      </c>
      <c r="Q97" s="13">
        <v>120841.660649206</v>
      </c>
      <c r="R97" s="13">
        <v>161122.214198942</v>
      </c>
      <c r="S97" s="13">
        <v>7924.04332125943</v>
      </c>
      <c r="T97" s="11">
        <f t="shared" si="43"/>
        <v>191104.8105</v>
      </c>
    </row>
    <row r="98">
      <c r="A98" s="1">
        <v>2923.4593190622</v>
      </c>
      <c r="B98" s="1">
        <v>2436.60066371719</v>
      </c>
      <c r="C98" s="6">
        <f t="shared" si="42"/>
        <v>486.8586553</v>
      </c>
      <c r="D98" s="1" t="s">
        <v>497</v>
      </c>
      <c r="I98" s="2"/>
      <c r="K98" s="13" t="s">
        <v>492</v>
      </c>
      <c r="L98" s="13">
        <v>84053.78</v>
      </c>
      <c r="M98" s="13">
        <v>100037.145</v>
      </c>
      <c r="N98" s="13">
        <v>24014.345</v>
      </c>
      <c r="O98" s="13">
        <v>28580.0</v>
      </c>
      <c r="P98" s="13">
        <v>128617.145</v>
      </c>
      <c r="Q98" s="13">
        <v>150354.916566563</v>
      </c>
      <c r="R98" s="13">
        <v>150354.916566563</v>
      </c>
      <c r="S98" s="13">
        <v>33412.2036814584</v>
      </c>
      <c r="T98" s="11">
        <f t="shared" si="43"/>
        <v>136429.658</v>
      </c>
    </row>
    <row r="99">
      <c r="A99" s="1">
        <v>107760.751039961</v>
      </c>
      <c r="B99" s="1">
        <v>107760.751039961</v>
      </c>
      <c r="C99" s="6">
        <f t="shared" si="42"/>
        <v>0</v>
      </c>
      <c r="D99" s="1" t="s">
        <v>372</v>
      </c>
      <c r="I99" s="2"/>
      <c r="K99" s="13" t="s">
        <v>375</v>
      </c>
      <c r="L99" s="13">
        <v>37318.335</v>
      </c>
      <c r="M99" s="13">
        <v>44413.32</v>
      </c>
      <c r="N99" s="13">
        <v>22385.285</v>
      </c>
      <c r="O99" s="13">
        <v>26650.85</v>
      </c>
      <c r="P99" s="13">
        <v>189781.592727273</v>
      </c>
      <c r="Q99" s="13">
        <v>221835.949516216</v>
      </c>
      <c r="R99" s="13">
        <v>147890.63301081</v>
      </c>
      <c r="S99" s="13">
        <v>31690.8499308879</v>
      </c>
      <c r="T99" s="11">
        <f t="shared" si="43"/>
        <v>60570.44168</v>
      </c>
    </row>
    <row r="100">
      <c r="A100" s="1">
        <v>11613.4838878926</v>
      </c>
      <c r="B100" s="1">
        <v>11613.4838878926</v>
      </c>
      <c r="C100" s="6">
        <f t="shared" si="42"/>
        <v>0</v>
      </c>
      <c r="D100" s="1" t="s">
        <v>378</v>
      </c>
      <c r="I100" s="2"/>
      <c r="K100" s="13" t="s">
        <v>493</v>
      </c>
      <c r="L100" s="13">
        <v>130053.29</v>
      </c>
      <c r="M100" s="13">
        <v>183919.445</v>
      </c>
      <c r="N100" s="13">
        <v>0.0</v>
      </c>
      <c r="O100" s="13">
        <v>0.0</v>
      </c>
      <c r="P100" s="13">
        <v>183919.445</v>
      </c>
      <c r="Q100" s="13">
        <v>203786.542282225</v>
      </c>
      <c r="R100" s="13">
        <v>135857.694854817</v>
      </c>
      <c r="S100" s="13">
        <v>12736.6588926391</v>
      </c>
      <c r="T100" s="11">
        <f t="shared" si="43"/>
        <v>250827.4999</v>
      </c>
    </row>
    <row r="101">
      <c r="A101" s="1">
        <v>111896.802099611</v>
      </c>
      <c r="B101" s="1">
        <v>111896.802099611</v>
      </c>
      <c r="C101" s="6">
        <f t="shared" si="42"/>
        <v>0</v>
      </c>
      <c r="D101" s="1" t="s">
        <v>374</v>
      </c>
      <c r="I101" s="2"/>
      <c r="K101" s="13" t="s">
        <v>494</v>
      </c>
      <c r="L101" s="13">
        <v>139213.18</v>
      </c>
      <c r="M101" s="13">
        <v>165692.55</v>
      </c>
      <c r="N101" s="13">
        <v>0.0</v>
      </c>
      <c r="O101" s="13">
        <v>0.0</v>
      </c>
      <c r="P101" s="13">
        <v>165692.55</v>
      </c>
      <c r="Q101" s="13">
        <v>193692.95191908</v>
      </c>
      <c r="R101" s="13">
        <v>129128.63461272</v>
      </c>
      <c r="S101" s="13">
        <v>12105.8094949425</v>
      </c>
      <c r="T101" s="11">
        <f t="shared" si="43"/>
        <v>225969.8428</v>
      </c>
    </row>
    <row r="102">
      <c r="A102" s="1">
        <v>47755.7937969646</v>
      </c>
      <c r="B102" s="1">
        <v>47755.7937969646</v>
      </c>
      <c r="C102" s="6">
        <f t="shared" si="42"/>
        <v>0</v>
      </c>
      <c r="D102" s="1" t="s">
        <v>82</v>
      </c>
      <c r="I102" s="2"/>
      <c r="K102" s="13" t="s">
        <v>498</v>
      </c>
      <c r="L102" s="13">
        <v>79889.895</v>
      </c>
      <c r="M102" s="13">
        <v>103651.91</v>
      </c>
      <c r="N102" s="13">
        <v>0.0</v>
      </c>
      <c r="O102" s="13">
        <v>0.0</v>
      </c>
      <c r="P102" s="13">
        <v>103651.91</v>
      </c>
      <c r="Q102" s="13">
        <v>117662.72792003</v>
      </c>
      <c r="R102" s="13">
        <v>117662.72792003</v>
      </c>
      <c r="S102" s="13">
        <v>8114.67089103657</v>
      </c>
      <c r="T102" s="11">
        <f t="shared" si="43"/>
        <v>141359.4383</v>
      </c>
    </row>
    <row r="103">
      <c r="A103" s="1">
        <v>15709.3886848211</v>
      </c>
      <c r="B103" s="1">
        <v>15709.3886848211</v>
      </c>
      <c r="C103" s="6">
        <f t="shared" si="42"/>
        <v>0</v>
      </c>
      <c r="D103" s="1" t="s">
        <v>376</v>
      </c>
      <c r="I103" s="2"/>
      <c r="K103" s="13" t="s">
        <v>500</v>
      </c>
      <c r="L103" s="13">
        <v>74195.965</v>
      </c>
      <c r="M103" s="13">
        <v>74195.965</v>
      </c>
      <c r="N103" s="13">
        <v>0.0</v>
      </c>
      <c r="O103" s="13">
        <v>0.0</v>
      </c>
      <c r="P103" s="13">
        <v>74195.965</v>
      </c>
      <c r="Q103" s="13">
        <v>93561.111865</v>
      </c>
      <c r="R103" s="13">
        <v>93561.111865</v>
      </c>
      <c r="S103" s="13">
        <v>3818.82089244898</v>
      </c>
      <c r="T103" s="11">
        <f t="shared" si="43"/>
        <v>101187.7151</v>
      </c>
    </row>
    <row r="104">
      <c r="A104" s="1">
        <v>8348.80309621287</v>
      </c>
      <c r="B104" s="1">
        <v>8348.80309621287</v>
      </c>
      <c r="C104" s="6">
        <f t="shared" si="42"/>
        <v>0</v>
      </c>
      <c r="D104" s="1" t="s">
        <v>91</v>
      </c>
      <c r="I104" s="2"/>
      <c r="K104" s="13" t="s">
        <v>93</v>
      </c>
      <c r="L104" s="13">
        <v>36125.12</v>
      </c>
      <c r="M104" s="13">
        <v>56745.59</v>
      </c>
      <c r="N104" s="13">
        <v>0.0</v>
      </c>
      <c r="O104" s="13">
        <v>0.0</v>
      </c>
      <c r="P104" s="13">
        <v>56745.59</v>
      </c>
      <c r="Q104" s="13">
        <v>48724.5793583628</v>
      </c>
      <c r="R104" s="13">
        <v>64966.1058111504</v>
      </c>
      <c r="S104" s="13">
        <v>11464.6069078501</v>
      </c>
      <c r="T104" s="11">
        <f t="shared" si="43"/>
        <v>77389.06819</v>
      </c>
    </row>
    <row r="105">
      <c r="A105" s="1">
        <v>13798.0508627214</v>
      </c>
      <c r="B105" s="1">
        <v>13798.0508627214</v>
      </c>
      <c r="C105" s="6">
        <f t="shared" si="42"/>
        <v>0</v>
      </c>
      <c r="D105" s="1" t="s">
        <v>93</v>
      </c>
      <c r="I105" s="2"/>
      <c r="K105" s="13" t="s">
        <v>495</v>
      </c>
      <c r="L105" s="13">
        <v>40805.095</v>
      </c>
      <c r="M105" s="13">
        <v>51393.985</v>
      </c>
      <c r="N105" s="13">
        <v>0.0</v>
      </c>
      <c r="O105" s="13">
        <v>0.0</v>
      </c>
      <c r="P105" s="13">
        <v>51393.985</v>
      </c>
      <c r="Q105" s="13">
        <v>58898.2798132866</v>
      </c>
      <c r="R105" s="13">
        <v>58898.2798132866</v>
      </c>
      <c r="S105" s="13">
        <v>5609.35998221777</v>
      </c>
      <c r="T105" s="11">
        <f t="shared" si="43"/>
        <v>70090.6028</v>
      </c>
    </row>
    <row r="106">
      <c r="C106" s="6">
        <f>sum(C82:C105)</f>
        <v>101402.9921</v>
      </c>
      <c r="I106" s="2"/>
      <c r="K106" s="13" t="s">
        <v>501</v>
      </c>
      <c r="L106" s="13">
        <v>69173.555</v>
      </c>
      <c r="M106" s="13">
        <v>69173.555</v>
      </c>
      <c r="N106" s="13">
        <v>0.0</v>
      </c>
      <c r="O106" s="13">
        <v>0.0</v>
      </c>
      <c r="P106" s="13">
        <v>69173.555</v>
      </c>
      <c r="Q106" s="13">
        <v>87227.852855</v>
      </c>
      <c r="R106" s="13">
        <v>58151.9019033334</v>
      </c>
      <c r="S106" s="13">
        <v>12461.1218364286</v>
      </c>
      <c r="T106" s="11">
        <f t="shared" si="43"/>
        <v>94338.20257</v>
      </c>
    </row>
    <row r="107">
      <c r="C107" s="6">
        <f>C106/21.1</f>
        <v>4805.829009</v>
      </c>
      <c r="I107" s="2"/>
      <c r="K107" s="13" t="s">
        <v>496</v>
      </c>
      <c r="L107" s="13">
        <v>57131.42</v>
      </c>
      <c r="M107" s="13">
        <v>68992.12</v>
      </c>
      <c r="N107" s="13">
        <v>0.0</v>
      </c>
      <c r="O107" s="13">
        <v>0.0</v>
      </c>
      <c r="P107" s="13">
        <v>68992.12</v>
      </c>
      <c r="Q107" s="13">
        <v>80224.141711729</v>
      </c>
      <c r="R107" s="13">
        <v>53482.7611411527</v>
      </c>
      <c r="S107" s="13">
        <v>3413.79326432889</v>
      </c>
      <c r="T107" s="11">
        <f t="shared" si="43"/>
        <v>94090.76333</v>
      </c>
    </row>
    <row r="108">
      <c r="I108" s="2"/>
      <c r="K108" s="13" t="s">
        <v>499</v>
      </c>
      <c r="L108" s="13">
        <v>74195.965</v>
      </c>
      <c r="M108" s="13">
        <v>74195.965</v>
      </c>
      <c r="N108" s="13">
        <v>0.0</v>
      </c>
      <c r="O108" s="13">
        <v>0.0</v>
      </c>
      <c r="P108" s="13">
        <v>74195.965</v>
      </c>
      <c r="Q108" s="13">
        <v>93561.111865</v>
      </c>
      <c r="R108" s="13">
        <v>53463.4924942857</v>
      </c>
      <c r="S108" s="13">
        <v>8316.54327688889</v>
      </c>
      <c r="T108" s="11">
        <f t="shared" si="43"/>
        <v>101187.7151</v>
      </c>
    </row>
    <row r="109">
      <c r="I109" s="2"/>
      <c r="K109" s="13" t="s">
        <v>497</v>
      </c>
      <c r="L109" s="13">
        <v>26029.235</v>
      </c>
      <c r="M109" s="13">
        <v>33781.56</v>
      </c>
      <c r="N109" s="13">
        <v>0.0</v>
      </c>
      <c r="O109" s="13">
        <v>0.0</v>
      </c>
      <c r="P109" s="13">
        <v>33781.56</v>
      </c>
      <c r="Q109" s="13">
        <v>38344.2395637182</v>
      </c>
      <c r="R109" s="13">
        <v>38344.2395637182</v>
      </c>
      <c r="S109" s="13">
        <v>2473.82190733666</v>
      </c>
      <c r="T109" s="11">
        <f t="shared" si="43"/>
        <v>46070.95371</v>
      </c>
    </row>
    <row r="110">
      <c r="I110" s="2"/>
      <c r="K110" s="3"/>
      <c r="L110" s="4"/>
    </row>
    <row r="111">
      <c r="I111" s="2"/>
      <c r="K111" s="3"/>
      <c r="L111" s="4"/>
    </row>
    <row r="112">
      <c r="I112" s="2"/>
      <c r="K112" s="3"/>
      <c r="L112" s="4"/>
    </row>
    <row r="113">
      <c r="I113" s="2"/>
      <c r="K113" s="3"/>
      <c r="L113" s="4"/>
    </row>
    <row r="114">
      <c r="I114" s="2"/>
      <c r="K114" s="3"/>
      <c r="L114" s="4"/>
    </row>
    <row r="115">
      <c r="I115" s="2"/>
      <c r="K115" s="3"/>
      <c r="L115" s="4"/>
    </row>
    <row r="116">
      <c r="I116" s="2"/>
      <c r="K116" s="3"/>
      <c r="L116" s="4"/>
    </row>
    <row r="117">
      <c r="I117" s="2"/>
      <c r="K117" s="3"/>
      <c r="L117" s="4"/>
    </row>
    <row r="118">
      <c r="I118" s="2"/>
      <c r="K118" s="3"/>
      <c r="L118" s="4"/>
    </row>
  </sheetData>
  <autoFilter ref="$A$7:$U$57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5.695+1.3</f>
        <v>6.995</v>
      </c>
      <c r="I1" s="2"/>
      <c r="K1" s="3"/>
      <c r="L1" s="4"/>
    </row>
    <row r="2">
      <c r="A2" s="1" t="s">
        <v>1</v>
      </c>
      <c r="B2" s="5">
        <v>0.753</v>
      </c>
      <c r="I2" s="2"/>
      <c r="K2" s="3"/>
      <c r="L2" s="4"/>
    </row>
    <row r="3">
      <c r="A3" s="1" t="s">
        <v>2</v>
      </c>
      <c r="B3" s="19">
        <v>0.261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54" t="s">
        <v>71</v>
      </c>
      <c r="C8" s="1">
        <v>0.5</v>
      </c>
      <c r="D8" s="1">
        <v>20.0</v>
      </c>
      <c r="E8" s="1">
        <v>41606.0</v>
      </c>
      <c r="F8" s="1">
        <v>49840.0</v>
      </c>
      <c r="G8" s="6">
        <f t="shared" ref="G8:H8" si="1">E8</f>
        <v>41606</v>
      </c>
      <c r="H8" s="6">
        <f t="shared" si="1"/>
        <v>49840</v>
      </c>
      <c r="I8" s="5">
        <v>0.15</v>
      </c>
      <c r="J8" s="1">
        <v>4.0</v>
      </c>
      <c r="K8" s="7">
        <v>1.0</v>
      </c>
      <c r="L8" s="9">
        <f t="shared" ref="L8:L35" si="3">if(E8*($B$1+$I8)&lt;(F8+1),F8+1,E8*($I8+$B$1))</f>
        <v>297274.87</v>
      </c>
      <c r="M8" s="10">
        <f t="shared" ref="M8:M35" si="4">F8*($B$1+$I8)</f>
        <v>356106.8</v>
      </c>
      <c r="N8" s="9">
        <f t="shared" ref="N8:N35" si="5">if(if(G8*($B$1+$I8)&lt;(H8+1),H8+1,G8*($I8+$B$1))=1,0,if(G8*($B$1+$I8)&lt;(H8+1),H8+1,G8*($I8+$B$1)))</f>
        <v>297274.87</v>
      </c>
      <c r="O8" s="11">
        <f t="shared" ref="O8:O35" si="6">H8*($B$1+$I8)</f>
        <v>356106.8</v>
      </c>
      <c r="P8" s="11">
        <f t="shared" ref="P8:P35" si="7">M8+O8*K8*J8</f>
        <v>1780534</v>
      </c>
      <c r="Q8" s="11">
        <f t="shared" ref="Q8:Q35" si="8">(if($A8=1,$B$4,1)*((L8*E8+F8*M8)/(E8+F8)+if(G8&gt;0,(N8*G8+H8*O8)/(G8+H8)*J8*K8,0)))*(if($U8=0,1+$B$3,1))</f>
        <v>1646697.568</v>
      </c>
      <c r="R8" s="11">
        <f t="shared" ref="R8:R35" si="9">Q8/(C8+0.5*(1/(1+$B$5)))</f>
        <v>1646697.568</v>
      </c>
      <c r="S8" s="6" t="str">
        <f t="shared" ref="S8:S35" si="10">B8</f>
        <v>Psychic Trauma</v>
      </c>
      <c r="T8" s="11">
        <f>$Q8/(($C8+$D8))</f>
        <v>80326.71061</v>
      </c>
      <c r="U8" s="1">
        <v>1.0</v>
      </c>
    </row>
    <row r="9">
      <c r="B9" s="54" t="s">
        <v>372</v>
      </c>
      <c r="C9" s="1">
        <v>0.75</v>
      </c>
      <c r="D9" s="1">
        <v>10.0</v>
      </c>
      <c r="E9" s="1">
        <v>20852.0</v>
      </c>
      <c r="F9" s="1">
        <v>24818.0</v>
      </c>
      <c r="G9" s="6">
        <f t="shared" ref="G9:H9" si="2">E9</f>
        <v>20852</v>
      </c>
      <c r="H9" s="6">
        <f t="shared" si="2"/>
        <v>24818</v>
      </c>
      <c r="I9" s="5">
        <v>0.15</v>
      </c>
      <c r="J9" s="1">
        <v>5.0</v>
      </c>
      <c r="K9" s="7">
        <v>1.0</v>
      </c>
      <c r="L9" s="9">
        <f t="shared" si="3"/>
        <v>148987.54</v>
      </c>
      <c r="M9" s="10">
        <f t="shared" si="4"/>
        <v>177324.61</v>
      </c>
      <c r="N9" s="9">
        <f t="shared" si="5"/>
        <v>148987.54</v>
      </c>
      <c r="O9" s="11">
        <f t="shared" si="6"/>
        <v>177324.61</v>
      </c>
      <c r="P9" s="11">
        <f t="shared" si="7"/>
        <v>1063947.66</v>
      </c>
      <c r="Q9" s="11">
        <f t="shared" si="8"/>
        <v>986318.8555</v>
      </c>
      <c r="R9" s="11">
        <f t="shared" si="9"/>
        <v>789055.0844</v>
      </c>
      <c r="S9" s="6" t="str">
        <f t="shared" si="10"/>
        <v>Theorems</v>
      </c>
      <c r="T9" s="11">
        <f t="shared" ref="T9:T16" si="11">$Q9/(($C9+if($D9&lt;=$J9,$J9,$D9)))</f>
        <v>91750.59121</v>
      </c>
      <c r="U9" s="1">
        <v>1.0</v>
      </c>
    </row>
    <row r="10">
      <c r="A10" s="1">
        <v>1.0</v>
      </c>
      <c r="B10" s="1" t="s">
        <v>489</v>
      </c>
      <c r="C10" s="1">
        <v>0.0</v>
      </c>
      <c r="D10" s="1">
        <v>5.0</v>
      </c>
      <c r="E10" s="1">
        <v>15018.0</v>
      </c>
      <c r="F10" s="1">
        <v>24587.0</v>
      </c>
      <c r="G10" s="1">
        <v>1810.0</v>
      </c>
      <c r="H10" s="1">
        <v>3046.0</v>
      </c>
      <c r="I10" s="5">
        <v>0.15</v>
      </c>
      <c r="J10" s="1">
        <v>4.0</v>
      </c>
      <c r="K10" s="7">
        <v>1.0</v>
      </c>
      <c r="L10" s="9">
        <f t="shared" si="3"/>
        <v>107303.61</v>
      </c>
      <c r="M10" s="10">
        <f t="shared" si="4"/>
        <v>175674.115</v>
      </c>
      <c r="N10" s="9">
        <f t="shared" si="5"/>
        <v>12932.45</v>
      </c>
      <c r="O10" s="11">
        <f t="shared" si="6"/>
        <v>21763.67</v>
      </c>
      <c r="P10" s="11">
        <f t="shared" si="7"/>
        <v>262728.795</v>
      </c>
      <c r="Q10" s="11">
        <f t="shared" si="8"/>
        <v>282005.326</v>
      </c>
      <c r="R10" s="11">
        <f t="shared" si="9"/>
        <v>564010.652</v>
      </c>
      <c r="S10" s="6" t="str">
        <f t="shared" si="10"/>
        <v>Chromatic Illusion</v>
      </c>
      <c r="T10" s="11">
        <f t="shared" si="11"/>
        <v>56401.0652</v>
      </c>
    </row>
    <row r="11">
      <c r="B11" s="54" t="s">
        <v>374</v>
      </c>
      <c r="C11" s="1">
        <v>1.0</v>
      </c>
      <c r="D11" s="1">
        <v>7.5</v>
      </c>
      <c r="E11" s="1">
        <v>16896.0</v>
      </c>
      <c r="F11" s="1">
        <v>20109.0</v>
      </c>
      <c r="G11" s="6">
        <f t="shared" ref="G11:H11" si="12">E11</f>
        <v>16896</v>
      </c>
      <c r="H11" s="6">
        <f t="shared" si="12"/>
        <v>20109</v>
      </c>
      <c r="I11" s="5">
        <v>0.25</v>
      </c>
      <c r="J11" s="1">
        <v>5.0</v>
      </c>
      <c r="K11" s="7">
        <v>1.0</v>
      </c>
      <c r="L11" s="9">
        <f t="shared" si="3"/>
        <v>122411.52</v>
      </c>
      <c r="M11" s="10">
        <f t="shared" si="4"/>
        <v>145689.705</v>
      </c>
      <c r="N11" s="9">
        <f t="shared" si="5"/>
        <v>122411.52</v>
      </c>
      <c r="O11" s="11">
        <f t="shared" si="6"/>
        <v>145689.705</v>
      </c>
      <c r="P11" s="11">
        <f t="shared" si="7"/>
        <v>874138.23</v>
      </c>
      <c r="Q11" s="11">
        <f t="shared" si="8"/>
        <v>810367.1374</v>
      </c>
      <c r="R11" s="11">
        <f t="shared" si="9"/>
        <v>540244.7583</v>
      </c>
      <c r="S11" s="6" t="str">
        <f t="shared" si="10"/>
        <v>Prismatic Chaos</v>
      </c>
      <c r="T11" s="11">
        <f t="shared" si="11"/>
        <v>95337.31028</v>
      </c>
      <c r="U11" s="1">
        <v>1.0</v>
      </c>
    </row>
    <row r="12">
      <c r="B12" s="54" t="s">
        <v>371</v>
      </c>
      <c r="C12" s="1">
        <v>0.5</v>
      </c>
      <c r="D12" s="1">
        <v>14.0</v>
      </c>
      <c r="E12" s="1">
        <v>15482.0</v>
      </c>
      <c r="F12" s="1">
        <v>18426.0</v>
      </c>
      <c r="G12" s="1">
        <v>4423.0</v>
      </c>
      <c r="H12" s="1">
        <v>5264.0</v>
      </c>
      <c r="I12" s="5">
        <v>0.15</v>
      </c>
      <c r="J12" s="1">
        <v>14.0</v>
      </c>
      <c r="K12" s="12">
        <f>1/2.3</f>
        <v>0.4347826087</v>
      </c>
      <c r="L12" s="9">
        <f t="shared" si="3"/>
        <v>110618.89</v>
      </c>
      <c r="M12" s="10">
        <f t="shared" si="4"/>
        <v>131653.77</v>
      </c>
      <c r="N12" s="9">
        <f t="shared" si="5"/>
        <v>31602.335</v>
      </c>
      <c r="O12" s="11">
        <f t="shared" si="6"/>
        <v>37611.28</v>
      </c>
      <c r="P12" s="11">
        <f t="shared" si="7"/>
        <v>360591.9961</v>
      </c>
      <c r="Q12" s="11">
        <f t="shared" si="8"/>
        <v>421536.3414</v>
      </c>
      <c r="R12" s="11">
        <f t="shared" si="9"/>
        <v>421536.3414</v>
      </c>
      <c r="S12" s="6" t="str">
        <f t="shared" si="10"/>
        <v>Brainburst</v>
      </c>
      <c r="T12" s="11">
        <f t="shared" si="11"/>
        <v>29071.47182</v>
      </c>
    </row>
    <row r="13">
      <c r="B13" s="1" t="s">
        <v>378</v>
      </c>
      <c r="C13" s="1">
        <v>1.0</v>
      </c>
      <c r="D13" s="1">
        <v>90.0</v>
      </c>
      <c r="E13" s="1">
        <v>6483.0</v>
      </c>
      <c r="F13" s="1">
        <v>8772.0</v>
      </c>
      <c r="G13" s="6">
        <f t="shared" ref="G13:H13" si="13">E13</f>
        <v>6483</v>
      </c>
      <c r="H13" s="6">
        <f t="shared" si="13"/>
        <v>8772</v>
      </c>
      <c r="I13" s="5">
        <v>0.15</v>
      </c>
      <c r="J13" s="1">
        <v>17.0</v>
      </c>
      <c r="K13" s="7">
        <v>1.0</v>
      </c>
      <c r="L13" s="9">
        <f t="shared" si="3"/>
        <v>46321.035</v>
      </c>
      <c r="M13" s="10">
        <f t="shared" si="4"/>
        <v>62675.94</v>
      </c>
      <c r="N13" s="9">
        <f t="shared" si="5"/>
        <v>46321.035</v>
      </c>
      <c r="O13" s="11">
        <f t="shared" si="6"/>
        <v>62675.94</v>
      </c>
      <c r="P13" s="11">
        <f t="shared" si="7"/>
        <v>1128166.92</v>
      </c>
      <c r="Q13" s="11">
        <f t="shared" si="8"/>
        <v>1003059.133</v>
      </c>
      <c r="R13" s="11">
        <f t="shared" si="9"/>
        <v>668706.089</v>
      </c>
      <c r="S13" s="6" t="str">
        <f t="shared" si="10"/>
        <v>Mana Cloak</v>
      </c>
      <c r="T13" s="11">
        <f t="shared" si="11"/>
        <v>11022.62784</v>
      </c>
      <c r="U13" s="1">
        <v>1.0</v>
      </c>
    </row>
    <row r="14">
      <c r="B14" s="54" t="s">
        <v>76</v>
      </c>
      <c r="C14" s="1">
        <v>0.25</v>
      </c>
      <c r="D14" s="1">
        <v>30.0</v>
      </c>
      <c r="E14" s="1">
        <v>29011.0</v>
      </c>
      <c r="F14" s="1">
        <v>48801.0</v>
      </c>
      <c r="I14" s="5">
        <v>0.15</v>
      </c>
      <c r="K14" s="3"/>
      <c r="L14" s="9">
        <f t="shared" si="3"/>
        <v>207283.595</v>
      </c>
      <c r="M14" s="10">
        <f t="shared" si="4"/>
        <v>348683.145</v>
      </c>
      <c r="N14" s="9">
        <f t="shared" si="5"/>
        <v>0</v>
      </c>
      <c r="O14" s="11">
        <f t="shared" si="6"/>
        <v>0</v>
      </c>
      <c r="P14" s="11">
        <f t="shared" si="7"/>
        <v>348683.145</v>
      </c>
      <c r="Q14" s="11">
        <f t="shared" si="8"/>
        <v>373211.2484</v>
      </c>
      <c r="R14" s="11">
        <f t="shared" si="9"/>
        <v>497614.9979</v>
      </c>
      <c r="S14" s="6" t="str">
        <f t="shared" si="10"/>
        <v>Bewilderment</v>
      </c>
      <c r="T14" s="11">
        <f t="shared" si="11"/>
        <v>12337.56193</v>
      </c>
    </row>
    <row r="15">
      <c r="A15" s="1">
        <v>1.0</v>
      </c>
      <c r="B15" s="58" t="s">
        <v>377</v>
      </c>
      <c r="C15" s="1">
        <v>1.25</v>
      </c>
      <c r="D15" s="1">
        <v>10.0</v>
      </c>
      <c r="E15" s="1">
        <v>14659.0</v>
      </c>
      <c r="F15" s="1">
        <v>16081.0</v>
      </c>
      <c r="G15" s="1">
        <v>7427.0</v>
      </c>
      <c r="H15" s="1">
        <v>8839.0</v>
      </c>
      <c r="I15" s="5">
        <v>0.15</v>
      </c>
      <c r="J15" s="1">
        <v>1.7</v>
      </c>
      <c r="K15" s="7">
        <v>4.11764705882353</v>
      </c>
      <c r="L15" s="9">
        <f t="shared" si="3"/>
        <v>104738.555</v>
      </c>
      <c r="M15" s="10">
        <f t="shared" si="4"/>
        <v>114898.745</v>
      </c>
      <c r="N15" s="9">
        <f t="shared" si="5"/>
        <v>53065.915</v>
      </c>
      <c r="O15" s="11">
        <f t="shared" si="6"/>
        <v>63154.655</v>
      </c>
      <c r="P15" s="11">
        <f t="shared" si="7"/>
        <v>556981.33</v>
      </c>
      <c r="Q15" s="11">
        <f t="shared" si="8"/>
        <v>655582.3561</v>
      </c>
      <c r="R15" s="11">
        <f t="shared" si="9"/>
        <v>374618.4892</v>
      </c>
      <c r="S15" s="6" t="str">
        <f t="shared" si="10"/>
        <v>Chromatic Shower</v>
      </c>
      <c r="T15" s="11">
        <f t="shared" si="11"/>
        <v>58273.98721</v>
      </c>
    </row>
    <row r="16">
      <c r="B16" s="54" t="s">
        <v>376</v>
      </c>
      <c r="C16" s="1">
        <v>0.5</v>
      </c>
      <c r="D16" s="1">
        <v>24.0</v>
      </c>
      <c r="E16" s="1">
        <v>11764.0</v>
      </c>
      <c r="F16" s="1">
        <v>14001.0</v>
      </c>
      <c r="G16" s="1">
        <v>3361.0</v>
      </c>
      <c r="H16" s="1">
        <v>4000.0</v>
      </c>
      <c r="I16" s="5">
        <v>0.15</v>
      </c>
      <c r="J16" s="1">
        <v>24.0</v>
      </c>
      <c r="K16" s="12">
        <f>1/4</f>
        <v>0.25</v>
      </c>
      <c r="L16" s="9">
        <f t="shared" si="3"/>
        <v>84053.78</v>
      </c>
      <c r="M16" s="10">
        <f t="shared" si="4"/>
        <v>100037.145</v>
      </c>
      <c r="N16" s="9">
        <f t="shared" si="5"/>
        <v>24014.345</v>
      </c>
      <c r="O16" s="11">
        <f t="shared" si="6"/>
        <v>28580</v>
      </c>
      <c r="P16" s="11">
        <f t="shared" si="7"/>
        <v>271517.145</v>
      </c>
      <c r="Q16" s="11">
        <f t="shared" si="8"/>
        <v>251711.3789</v>
      </c>
      <c r="R16" s="11">
        <f t="shared" si="9"/>
        <v>251711.3789</v>
      </c>
      <c r="S16" s="6" t="str">
        <f t="shared" si="10"/>
        <v>Nightmare</v>
      </c>
      <c r="T16" s="11">
        <f t="shared" si="11"/>
        <v>10273.93383</v>
      </c>
      <c r="U16" s="1">
        <v>1.0</v>
      </c>
    </row>
    <row r="17">
      <c r="B17" s="54" t="s">
        <v>80</v>
      </c>
      <c r="C17" s="1">
        <v>0.91</v>
      </c>
      <c r="D17" s="1">
        <v>60.0</v>
      </c>
      <c r="E17" s="1">
        <v>56373.0</v>
      </c>
      <c r="F17" s="1">
        <v>62961.0</v>
      </c>
      <c r="I17" s="19">
        <v>0.15</v>
      </c>
      <c r="K17" s="3"/>
      <c r="L17" s="9">
        <f t="shared" si="3"/>
        <v>402785.085</v>
      </c>
      <c r="M17" s="10">
        <f t="shared" si="4"/>
        <v>449856.345</v>
      </c>
      <c r="N17" s="9">
        <f t="shared" si="5"/>
        <v>0</v>
      </c>
      <c r="O17" s="11">
        <f t="shared" si="6"/>
        <v>0</v>
      </c>
      <c r="P17" s="11">
        <f t="shared" si="7"/>
        <v>449856.345</v>
      </c>
      <c r="Q17" s="11">
        <f t="shared" si="8"/>
        <v>539228.8607</v>
      </c>
      <c r="R17" s="11">
        <f t="shared" si="9"/>
        <v>382431.8161</v>
      </c>
      <c r="S17" s="6" t="str">
        <f t="shared" si="10"/>
        <v>Master Strike</v>
      </c>
      <c r="T17" s="11">
        <f>$Q17/(($C17+$D17))</f>
        <v>8852.879014</v>
      </c>
    </row>
    <row r="18">
      <c r="B18" s="1" t="s">
        <v>82</v>
      </c>
      <c r="C18" s="1">
        <v>0.25</v>
      </c>
      <c r="D18" s="1">
        <v>6.0</v>
      </c>
      <c r="E18" s="1">
        <v>25732.0</v>
      </c>
      <c r="F18" s="1">
        <v>40424.0</v>
      </c>
      <c r="I18" s="5">
        <v>0.15</v>
      </c>
      <c r="J18" s="1">
        <v>5.0</v>
      </c>
      <c r="K18" s="7">
        <v>1.0</v>
      </c>
      <c r="L18" s="9">
        <f t="shared" si="3"/>
        <v>183855.14</v>
      </c>
      <c r="M18" s="10">
        <f t="shared" si="4"/>
        <v>288829.48</v>
      </c>
      <c r="N18" s="9">
        <f t="shared" si="5"/>
        <v>0</v>
      </c>
      <c r="O18" s="11">
        <f t="shared" si="6"/>
        <v>0</v>
      </c>
      <c r="P18" s="11">
        <f t="shared" si="7"/>
        <v>288829.48</v>
      </c>
      <c r="Q18" s="11">
        <f t="shared" si="8"/>
        <v>247998.7206</v>
      </c>
      <c r="R18" s="11">
        <f t="shared" si="9"/>
        <v>330664.9608</v>
      </c>
      <c r="S18" s="6" t="str">
        <f t="shared" si="10"/>
        <v>Counterblade</v>
      </c>
      <c r="T18" s="11">
        <f>$Q18/(($C18+if($D18&lt;=$J18,$J18,$D18)))</f>
        <v>39679.7953</v>
      </c>
      <c r="U18" s="1">
        <v>1.0</v>
      </c>
    </row>
    <row r="19">
      <c r="B19" s="1" t="s">
        <v>87</v>
      </c>
      <c r="C19" s="1">
        <v>0.25</v>
      </c>
      <c r="D19" s="1">
        <v>15.0</v>
      </c>
      <c r="E19" s="1">
        <v>10387.0</v>
      </c>
      <c r="F19" s="1">
        <v>14690.0</v>
      </c>
      <c r="G19" s="1">
        <v>1093.0</v>
      </c>
      <c r="H19" s="1">
        <v>1546.0</v>
      </c>
      <c r="I19" s="5">
        <v>0.15</v>
      </c>
      <c r="J19" s="1">
        <v>12.0</v>
      </c>
      <c r="K19" s="12">
        <f>1/2</f>
        <v>0.5</v>
      </c>
      <c r="L19" s="9">
        <f t="shared" si="3"/>
        <v>74215.115</v>
      </c>
      <c r="M19" s="10">
        <f t="shared" si="4"/>
        <v>104960.05</v>
      </c>
      <c r="N19" s="9">
        <f t="shared" si="5"/>
        <v>7809.485</v>
      </c>
      <c r="O19" s="11">
        <f t="shared" si="6"/>
        <v>11046.17</v>
      </c>
      <c r="P19" s="11">
        <f t="shared" si="7"/>
        <v>171237.07</v>
      </c>
      <c r="Q19" s="11">
        <f t="shared" si="8"/>
        <v>189728.9513</v>
      </c>
      <c r="R19" s="11">
        <f t="shared" si="9"/>
        <v>252971.935</v>
      </c>
      <c r="S19" s="6" t="str">
        <f t="shared" si="10"/>
        <v>Daydream</v>
      </c>
      <c r="T19" s="11">
        <f>$Q19/(($C19+$D19))</f>
        <v>12441.24271</v>
      </c>
    </row>
    <row r="20">
      <c r="B20" s="54" t="s">
        <v>490</v>
      </c>
      <c r="C20" s="1">
        <v>0.5</v>
      </c>
      <c r="D20" s="1">
        <v>4.0</v>
      </c>
      <c r="E20" s="1">
        <v>15482.0</v>
      </c>
      <c r="F20" s="1">
        <v>18426.0</v>
      </c>
      <c r="G20" s="1">
        <v>4423.0</v>
      </c>
      <c r="H20" s="1">
        <v>5264.0</v>
      </c>
      <c r="I20" s="5">
        <v>0.15</v>
      </c>
      <c r="J20" s="1">
        <v>1.0</v>
      </c>
      <c r="K20" s="7">
        <v>1.0</v>
      </c>
      <c r="L20" s="9">
        <f t="shared" si="3"/>
        <v>110618.89</v>
      </c>
      <c r="M20" s="10">
        <f t="shared" si="4"/>
        <v>131653.77</v>
      </c>
      <c r="N20" s="9">
        <f t="shared" si="5"/>
        <v>31602.335</v>
      </c>
      <c r="O20" s="11">
        <f t="shared" si="6"/>
        <v>37611.28</v>
      </c>
      <c r="P20" s="11">
        <f t="shared" si="7"/>
        <v>169265.05</v>
      </c>
      <c r="Q20" s="11">
        <f t="shared" si="8"/>
        <v>197872.5078</v>
      </c>
      <c r="R20" s="11">
        <f t="shared" si="9"/>
        <v>197872.5078</v>
      </c>
      <c r="S20" s="6" t="str">
        <f t="shared" si="10"/>
        <v>Brainburst spam</v>
      </c>
      <c r="T20" s="11">
        <f t="shared" ref="T20:T35" si="14">$Q20/(($C20+if($D20&lt;=$J20,$J20,$D20)))</f>
        <v>43971.66839</v>
      </c>
      <c r="U20" s="11"/>
    </row>
    <row r="21">
      <c r="B21" s="1" t="s">
        <v>491</v>
      </c>
      <c r="C21" s="1">
        <v>0.5</v>
      </c>
      <c r="D21" s="1">
        <v>1.5</v>
      </c>
      <c r="E21" s="1">
        <v>17263.0</v>
      </c>
      <c r="F21" s="1">
        <v>22397.0</v>
      </c>
      <c r="I21" s="5">
        <v>0.3</v>
      </c>
      <c r="K21" s="3"/>
      <c r="L21" s="9">
        <f t="shared" si="3"/>
        <v>125933.585</v>
      </c>
      <c r="M21" s="10">
        <f t="shared" si="4"/>
        <v>163386.115</v>
      </c>
      <c r="N21" s="9">
        <f t="shared" si="5"/>
        <v>0</v>
      </c>
      <c r="O21" s="11">
        <f t="shared" si="6"/>
        <v>0</v>
      </c>
      <c r="P21" s="11">
        <f t="shared" si="7"/>
        <v>163386.115</v>
      </c>
      <c r="Q21" s="11">
        <f t="shared" si="8"/>
        <v>185472.8876</v>
      </c>
      <c r="R21" s="11">
        <f t="shared" si="9"/>
        <v>185472.8876</v>
      </c>
      <c r="S21" s="6" t="str">
        <f t="shared" si="10"/>
        <v>Ultraviolet Beam</v>
      </c>
      <c r="T21" s="11">
        <f t="shared" si="14"/>
        <v>92736.44381</v>
      </c>
    </row>
    <row r="22">
      <c r="B22" s="54" t="s">
        <v>373</v>
      </c>
      <c r="C22" s="1">
        <v>1.0</v>
      </c>
      <c r="D22" s="1">
        <v>12.5</v>
      </c>
      <c r="E22" s="1">
        <v>28072.0</v>
      </c>
      <c r="F22" s="1">
        <v>33409.0</v>
      </c>
      <c r="I22" s="5">
        <v>0.15</v>
      </c>
      <c r="K22" s="3"/>
      <c r="L22" s="9">
        <f t="shared" si="3"/>
        <v>200574.44</v>
      </c>
      <c r="M22" s="10">
        <f t="shared" si="4"/>
        <v>238707.305</v>
      </c>
      <c r="N22" s="9">
        <f t="shared" si="5"/>
        <v>0</v>
      </c>
      <c r="O22" s="11">
        <f t="shared" si="6"/>
        <v>0</v>
      </c>
      <c r="P22" s="11">
        <f t="shared" si="7"/>
        <v>238707.305</v>
      </c>
      <c r="Q22" s="11">
        <f t="shared" si="8"/>
        <v>279054.2284</v>
      </c>
      <c r="R22" s="11">
        <f t="shared" si="9"/>
        <v>186036.1523</v>
      </c>
      <c r="S22" s="6" t="str">
        <f t="shared" si="10"/>
        <v>Speechless</v>
      </c>
      <c r="T22" s="11">
        <f t="shared" si="14"/>
        <v>20670.68359</v>
      </c>
    </row>
    <row r="23">
      <c r="B23" s="1" t="s">
        <v>492</v>
      </c>
      <c r="C23" s="1">
        <v>0.5</v>
      </c>
      <c r="D23" s="1">
        <v>3.0</v>
      </c>
      <c r="E23" s="1">
        <v>11764.0</v>
      </c>
      <c r="F23" s="1">
        <v>14001.0</v>
      </c>
      <c r="G23" s="1">
        <v>3361.0</v>
      </c>
      <c r="H23" s="1">
        <v>4000.0</v>
      </c>
      <c r="I23" s="5">
        <v>0.15</v>
      </c>
      <c r="J23" s="1">
        <v>4.0</v>
      </c>
      <c r="K23" s="12">
        <f>1/4</f>
        <v>0.25</v>
      </c>
      <c r="L23" s="9">
        <f t="shared" si="3"/>
        <v>84053.78</v>
      </c>
      <c r="M23" s="10">
        <f t="shared" si="4"/>
        <v>100037.145</v>
      </c>
      <c r="N23" s="9">
        <f t="shared" si="5"/>
        <v>24014.345</v>
      </c>
      <c r="O23" s="11">
        <f t="shared" si="6"/>
        <v>28580</v>
      </c>
      <c r="P23" s="11">
        <f t="shared" si="7"/>
        <v>128617.145</v>
      </c>
      <c r="Q23" s="11">
        <f t="shared" si="8"/>
        <v>150354.9166</v>
      </c>
      <c r="R23" s="11">
        <f t="shared" si="9"/>
        <v>150354.9166</v>
      </c>
      <c r="S23" s="6" t="str">
        <f t="shared" si="10"/>
        <v>Nightmare spam</v>
      </c>
      <c r="T23" s="11">
        <f t="shared" si="14"/>
        <v>33412.20368</v>
      </c>
      <c r="U23" s="11"/>
    </row>
    <row r="24">
      <c r="A24" s="1">
        <v>1.0</v>
      </c>
      <c r="B24" s="1" t="s">
        <v>375</v>
      </c>
      <c r="C24" s="1">
        <v>1.0</v>
      </c>
      <c r="D24" s="1">
        <v>6.0</v>
      </c>
      <c r="E24" s="1">
        <v>5223.0</v>
      </c>
      <c r="F24" s="1">
        <v>6216.0</v>
      </c>
      <c r="G24" s="1">
        <v>3133.0</v>
      </c>
      <c r="H24" s="1">
        <v>3730.0</v>
      </c>
      <c r="I24" s="5">
        <v>0.15</v>
      </c>
      <c r="J24" s="1">
        <v>6.0</v>
      </c>
      <c r="K24" s="12">
        <f>1/1.1</f>
        <v>0.9090909091</v>
      </c>
      <c r="L24" s="9">
        <f t="shared" si="3"/>
        <v>37318.335</v>
      </c>
      <c r="M24" s="10">
        <f t="shared" si="4"/>
        <v>44413.32</v>
      </c>
      <c r="N24" s="9">
        <f t="shared" si="5"/>
        <v>22385.285</v>
      </c>
      <c r="O24" s="11">
        <f t="shared" si="6"/>
        <v>26650.85</v>
      </c>
      <c r="P24" s="11">
        <f t="shared" si="7"/>
        <v>189781.5927</v>
      </c>
      <c r="Q24" s="11">
        <f t="shared" si="8"/>
        <v>221835.9495</v>
      </c>
      <c r="R24" s="11">
        <f t="shared" si="9"/>
        <v>147890.633</v>
      </c>
      <c r="S24" s="6" t="str">
        <f t="shared" si="10"/>
        <v>Chromatic Storm</v>
      </c>
      <c r="T24" s="11">
        <f t="shared" si="14"/>
        <v>31690.84993</v>
      </c>
    </row>
    <row r="25">
      <c r="A25" s="59"/>
      <c r="B25" s="15" t="s">
        <v>91</v>
      </c>
      <c r="C25" s="15">
        <v>0.25</v>
      </c>
      <c r="D25" s="15">
        <v>15.0</v>
      </c>
      <c r="E25" s="15">
        <v>12766.0</v>
      </c>
      <c r="F25" s="15">
        <v>19612.0</v>
      </c>
      <c r="G25" s="59"/>
      <c r="H25" s="59"/>
      <c r="I25" s="60">
        <v>0.15</v>
      </c>
      <c r="J25" s="61"/>
      <c r="K25" s="62"/>
      <c r="L25" s="63">
        <f t="shared" si="3"/>
        <v>91213.07</v>
      </c>
      <c r="M25" s="64">
        <f t="shared" si="4"/>
        <v>140127.74</v>
      </c>
      <c r="N25" s="63">
        <f t="shared" si="5"/>
        <v>0</v>
      </c>
      <c r="O25" s="65">
        <f t="shared" si="6"/>
        <v>0</v>
      </c>
      <c r="P25" s="65">
        <f t="shared" si="7"/>
        <v>140127.74</v>
      </c>
      <c r="Q25" s="65">
        <f t="shared" si="8"/>
        <v>120841.6606</v>
      </c>
      <c r="R25" s="65">
        <f t="shared" si="9"/>
        <v>161122.2142</v>
      </c>
      <c r="S25" s="66" t="str">
        <f t="shared" si="10"/>
        <v>Null staff</v>
      </c>
      <c r="T25" s="65">
        <f t="shared" si="14"/>
        <v>7924.043321</v>
      </c>
      <c r="U25" s="67">
        <v>1.0</v>
      </c>
    </row>
    <row r="26">
      <c r="B26" s="1" t="s">
        <v>493</v>
      </c>
      <c r="C26" s="1">
        <v>1.0</v>
      </c>
      <c r="D26" s="1">
        <v>15.0</v>
      </c>
      <c r="E26" s="1">
        <v>18202.0</v>
      </c>
      <c r="F26" s="1">
        <v>25741.0</v>
      </c>
      <c r="I26" s="5">
        <v>0.15</v>
      </c>
      <c r="K26" s="3"/>
      <c r="L26" s="9">
        <f t="shared" si="3"/>
        <v>130053.29</v>
      </c>
      <c r="M26" s="10">
        <f t="shared" si="4"/>
        <v>183919.445</v>
      </c>
      <c r="N26" s="9">
        <f t="shared" si="5"/>
        <v>0</v>
      </c>
      <c r="O26" s="11">
        <f t="shared" si="6"/>
        <v>0</v>
      </c>
      <c r="P26" s="11">
        <f t="shared" si="7"/>
        <v>183919.445</v>
      </c>
      <c r="Q26" s="11">
        <f t="shared" si="8"/>
        <v>203786.5423</v>
      </c>
      <c r="R26" s="11">
        <f t="shared" si="9"/>
        <v>135857.6949</v>
      </c>
      <c r="S26" s="6" t="str">
        <f t="shared" si="10"/>
        <v>Paranoia</v>
      </c>
      <c r="T26" s="11">
        <f t="shared" si="14"/>
        <v>12736.65889</v>
      </c>
    </row>
    <row r="27">
      <c r="B27" s="1" t="s">
        <v>494</v>
      </c>
      <c r="C27" s="1">
        <v>1.0</v>
      </c>
      <c r="D27" s="1">
        <v>15.0</v>
      </c>
      <c r="E27" s="1">
        <v>19484.0</v>
      </c>
      <c r="F27" s="1">
        <v>23190.0</v>
      </c>
      <c r="I27" s="5">
        <v>0.15</v>
      </c>
      <c r="K27" s="3"/>
      <c r="L27" s="9">
        <f t="shared" si="3"/>
        <v>139213.18</v>
      </c>
      <c r="M27" s="10">
        <f t="shared" si="4"/>
        <v>165692.55</v>
      </c>
      <c r="N27" s="9">
        <f t="shared" si="5"/>
        <v>0</v>
      </c>
      <c r="O27" s="11">
        <f t="shared" si="6"/>
        <v>0</v>
      </c>
      <c r="P27" s="11">
        <f t="shared" si="7"/>
        <v>165692.55</v>
      </c>
      <c r="Q27" s="11">
        <f t="shared" si="8"/>
        <v>193692.9519</v>
      </c>
      <c r="R27" s="11">
        <f t="shared" si="9"/>
        <v>129128.6346</v>
      </c>
      <c r="S27" s="6" t="str">
        <f t="shared" si="10"/>
        <v>Aneurism</v>
      </c>
      <c r="T27" s="11">
        <f t="shared" si="14"/>
        <v>12105.80949</v>
      </c>
    </row>
    <row r="28">
      <c r="B28" s="1" t="s">
        <v>93</v>
      </c>
      <c r="C28" s="1">
        <v>0.25</v>
      </c>
      <c r="D28" s="1">
        <v>4.0</v>
      </c>
      <c r="E28" s="1">
        <v>5056.0</v>
      </c>
      <c r="F28" s="1">
        <v>7942.0</v>
      </c>
      <c r="I28" s="5">
        <v>0.15</v>
      </c>
      <c r="K28" s="3"/>
      <c r="L28" s="9">
        <f t="shared" si="3"/>
        <v>36125.12</v>
      </c>
      <c r="M28" s="10">
        <f t="shared" si="4"/>
        <v>56745.59</v>
      </c>
      <c r="N28" s="9">
        <f t="shared" si="5"/>
        <v>0</v>
      </c>
      <c r="O28" s="11">
        <f t="shared" si="6"/>
        <v>0</v>
      </c>
      <c r="P28" s="11">
        <f t="shared" si="7"/>
        <v>56745.59</v>
      </c>
      <c r="Q28" s="11">
        <f t="shared" si="8"/>
        <v>48724.57936</v>
      </c>
      <c r="R28" s="11">
        <f t="shared" si="9"/>
        <v>64966.10581</v>
      </c>
      <c r="S28" s="6" t="str">
        <f t="shared" si="10"/>
        <v>Spellblade's counter</v>
      </c>
      <c r="T28" s="11">
        <f t="shared" si="14"/>
        <v>11464.60691</v>
      </c>
      <c r="U28" s="1">
        <v>1.0</v>
      </c>
    </row>
    <row r="29">
      <c r="B29" s="1" t="s">
        <v>495</v>
      </c>
      <c r="C29" s="1">
        <v>0.5</v>
      </c>
      <c r="D29" s="1">
        <v>10.0</v>
      </c>
      <c r="E29" s="1">
        <v>5711.0</v>
      </c>
      <c r="F29" s="1">
        <v>7193.0</v>
      </c>
      <c r="I29" s="19">
        <v>0.15</v>
      </c>
      <c r="J29" s="2"/>
      <c r="K29" s="3"/>
      <c r="L29" s="9">
        <f t="shared" si="3"/>
        <v>40805.095</v>
      </c>
      <c r="M29" s="10">
        <f t="shared" si="4"/>
        <v>51393.985</v>
      </c>
      <c r="N29" s="9">
        <f t="shared" si="5"/>
        <v>0</v>
      </c>
      <c r="O29" s="11">
        <f t="shared" si="6"/>
        <v>0</v>
      </c>
      <c r="P29" s="11">
        <f t="shared" si="7"/>
        <v>51393.985</v>
      </c>
      <c r="Q29" s="11">
        <f t="shared" si="8"/>
        <v>58898.27981</v>
      </c>
      <c r="R29" s="11">
        <f t="shared" si="9"/>
        <v>58898.27981</v>
      </c>
      <c r="S29" s="6" t="str">
        <f t="shared" si="10"/>
        <v>Absorb Magic</v>
      </c>
      <c r="T29" s="11">
        <f t="shared" si="14"/>
        <v>5609.359982</v>
      </c>
      <c r="U29" s="11"/>
    </row>
    <row r="30">
      <c r="A30" s="1">
        <v>1.0</v>
      </c>
      <c r="B30" s="1" t="s">
        <v>496</v>
      </c>
      <c r="C30" s="1">
        <v>1.0</v>
      </c>
      <c r="D30" s="1">
        <v>22.5</v>
      </c>
      <c r="E30" s="1">
        <v>7996.0</v>
      </c>
      <c r="F30" s="1">
        <v>9656.0</v>
      </c>
      <c r="I30" s="5">
        <v>0.15</v>
      </c>
      <c r="K30" s="3"/>
      <c r="L30" s="9">
        <f t="shared" si="3"/>
        <v>57131.42</v>
      </c>
      <c r="M30" s="10">
        <f t="shared" si="4"/>
        <v>68992.12</v>
      </c>
      <c r="N30" s="9">
        <f t="shared" si="5"/>
        <v>0</v>
      </c>
      <c r="O30" s="11">
        <f t="shared" si="6"/>
        <v>0</v>
      </c>
      <c r="P30" s="11">
        <f t="shared" si="7"/>
        <v>68992.12</v>
      </c>
      <c r="Q30" s="11">
        <f t="shared" si="8"/>
        <v>80224.14171</v>
      </c>
      <c r="R30" s="11">
        <f t="shared" si="9"/>
        <v>53482.76114</v>
      </c>
      <c r="S30" s="6" t="str">
        <f t="shared" si="10"/>
        <v>Manatap</v>
      </c>
      <c r="T30" s="11">
        <f t="shared" si="14"/>
        <v>3413.793264</v>
      </c>
    </row>
    <row r="31">
      <c r="A31" s="1">
        <v>1.0</v>
      </c>
      <c r="B31" s="1" t="s">
        <v>497</v>
      </c>
      <c r="C31" s="1">
        <v>0.5</v>
      </c>
      <c r="D31" s="1">
        <v>15.0</v>
      </c>
      <c r="E31" s="1">
        <v>3643.0</v>
      </c>
      <c r="F31" s="1">
        <v>4728.0</v>
      </c>
      <c r="I31" s="5">
        <v>0.15</v>
      </c>
      <c r="K31" s="3"/>
      <c r="L31" s="9">
        <f t="shared" si="3"/>
        <v>26029.235</v>
      </c>
      <c r="M31" s="10">
        <f t="shared" si="4"/>
        <v>33781.56</v>
      </c>
      <c r="N31" s="9">
        <f t="shared" si="5"/>
        <v>0</v>
      </c>
      <c r="O31" s="11">
        <f t="shared" si="6"/>
        <v>0</v>
      </c>
      <c r="P31" s="11">
        <f t="shared" si="7"/>
        <v>33781.56</v>
      </c>
      <c r="Q31" s="11">
        <f t="shared" si="8"/>
        <v>38344.23956</v>
      </c>
      <c r="R31" s="11">
        <f t="shared" si="9"/>
        <v>38344.23956</v>
      </c>
      <c r="S31" s="6" t="str">
        <f t="shared" si="10"/>
        <v>Enc stun</v>
      </c>
      <c r="T31" s="11">
        <f t="shared" si="14"/>
        <v>2473.821907</v>
      </c>
    </row>
    <row r="32">
      <c r="B32" s="1" t="s">
        <v>498</v>
      </c>
      <c r="C32" s="1">
        <v>0.5</v>
      </c>
      <c r="D32" s="1">
        <v>14.0</v>
      </c>
      <c r="E32" s="1">
        <v>11421.0</v>
      </c>
      <c r="F32" s="1">
        <v>14818.0</v>
      </c>
      <c r="I32" s="2"/>
      <c r="J32" s="6">
        <f>J15*K15</f>
        <v>7</v>
      </c>
      <c r="K32" s="3"/>
      <c r="L32" s="9">
        <f t="shared" si="3"/>
        <v>79889.895</v>
      </c>
      <c r="M32" s="10">
        <f t="shared" si="4"/>
        <v>103651.91</v>
      </c>
      <c r="N32" s="9">
        <f t="shared" si="5"/>
        <v>0</v>
      </c>
      <c r="O32" s="11">
        <f t="shared" si="6"/>
        <v>0</v>
      </c>
      <c r="P32" s="11">
        <f t="shared" si="7"/>
        <v>103651.91</v>
      </c>
      <c r="Q32" s="11">
        <f t="shared" si="8"/>
        <v>117662.7279</v>
      </c>
      <c r="R32" s="11">
        <f t="shared" si="9"/>
        <v>117662.7279</v>
      </c>
      <c r="S32" s="6" t="str">
        <f t="shared" si="10"/>
        <v>Migraine</v>
      </c>
      <c r="T32" s="11">
        <f t="shared" si="14"/>
        <v>8114.670891</v>
      </c>
    </row>
    <row r="33">
      <c r="B33" s="1" t="s">
        <v>499</v>
      </c>
      <c r="C33" s="1">
        <v>1.25</v>
      </c>
      <c r="D33" s="1">
        <v>10.0</v>
      </c>
      <c r="E33" s="1">
        <v>10607.0</v>
      </c>
      <c r="F33" s="1">
        <v>10607.0</v>
      </c>
      <c r="I33" s="2"/>
      <c r="J33" s="6">
        <f>1.7/7</f>
        <v>0.2428571429</v>
      </c>
      <c r="K33" s="3"/>
      <c r="L33" s="9">
        <f t="shared" si="3"/>
        <v>74195.965</v>
      </c>
      <c r="M33" s="10">
        <f t="shared" si="4"/>
        <v>74195.965</v>
      </c>
      <c r="N33" s="9">
        <f t="shared" si="5"/>
        <v>0</v>
      </c>
      <c r="O33" s="11">
        <f t="shared" si="6"/>
        <v>0</v>
      </c>
      <c r="P33" s="11">
        <f t="shared" si="7"/>
        <v>74195.965</v>
      </c>
      <c r="Q33" s="11">
        <f t="shared" si="8"/>
        <v>93561.11187</v>
      </c>
      <c r="R33" s="11">
        <f t="shared" si="9"/>
        <v>53463.49249</v>
      </c>
      <c r="S33" s="6" t="str">
        <f t="shared" si="10"/>
        <v>Brain Clot Shower</v>
      </c>
      <c r="T33" s="11">
        <f t="shared" si="14"/>
        <v>8316.543277</v>
      </c>
    </row>
    <row r="34">
      <c r="B34" s="1" t="s">
        <v>500</v>
      </c>
      <c r="C34" s="1">
        <v>0.5</v>
      </c>
      <c r="D34" s="1">
        <v>24.0</v>
      </c>
      <c r="E34" s="1">
        <v>10607.0</v>
      </c>
      <c r="F34" s="1">
        <v>10607.0</v>
      </c>
      <c r="I34" s="2"/>
      <c r="J34" s="6">
        <f>J33^-1</f>
        <v>4.117647059</v>
      </c>
      <c r="K34" s="3"/>
      <c r="L34" s="9">
        <f t="shared" si="3"/>
        <v>74195.965</v>
      </c>
      <c r="M34" s="10">
        <f t="shared" si="4"/>
        <v>74195.965</v>
      </c>
      <c r="N34" s="9">
        <f t="shared" si="5"/>
        <v>0</v>
      </c>
      <c r="O34" s="11">
        <f t="shared" si="6"/>
        <v>0</v>
      </c>
      <c r="P34" s="11">
        <f t="shared" si="7"/>
        <v>74195.965</v>
      </c>
      <c r="Q34" s="11">
        <f t="shared" si="8"/>
        <v>93561.11187</v>
      </c>
      <c r="R34" s="11">
        <f t="shared" si="9"/>
        <v>93561.11187</v>
      </c>
      <c r="S34" s="6" t="str">
        <f t="shared" si="10"/>
        <v>Brain Clot Ngtmr</v>
      </c>
      <c r="T34" s="11">
        <f t="shared" si="14"/>
        <v>3818.820892</v>
      </c>
    </row>
    <row r="35">
      <c r="B35" s="1" t="s">
        <v>501</v>
      </c>
      <c r="C35" s="1">
        <v>1.0</v>
      </c>
      <c r="D35" s="1">
        <v>6.0</v>
      </c>
      <c r="E35" s="1">
        <v>9889.0</v>
      </c>
      <c r="F35" s="1">
        <v>9889.0</v>
      </c>
      <c r="I35" s="2"/>
      <c r="K35" s="3"/>
      <c r="L35" s="9">
        <f t="shared" si="3"/>
        <v>69173.555</v>
      </c>
      <c r="M35" s="10">
        <f t="shared" si="4"/>
        <v>69173.555</v>
      </c>
      <c r="N35" s="9">
        <f t="shared" si="5"/>
        <v>0</v>
      </c>
      <c r="O35" s="11">
        <f t="shared" si="6"/>
        <v>0</v>
      </c>
      <c r="P35" s="11">
        <f t="shared" si="7"/>
        <v>69173.555</v>
      </c>
      <c r="Q35" s="11">
        <f t="shared" si="8"/>
        <v>87227.85286</v>
      </c>
      <c r="R35" s="11">
        <f t="shared" si="9"/>
        <v>58151.9019</v>
      </c>
      <c r="S35" s="6" t="str">
        <f t="shared" si="10"/>
        <v>Brain Clot Storm</v>
      </c>
      <c r="T35" s="11">
        <f t="shared" si="14"/>
        <v>12461.12184</v>
      </c>
    </row>
    <row r="36">
      <c r="I36" s="2"/>
      <c r="J36" s="6">
        <f>58274/52000</f>
        <v>1.120653846</v>
      </c>
      <c r="K36" s="3"/>
      <c r="L36" s="9"/>
      <c r="M36" s="10"/>
      <c r="N36" s="9"/>
      <c r="O36" s="11"/>
      <c r="P36" s="11"/>
      <c r="Q36" s="11"/>
      <c r="R36" s="11"/>
      <c r="T36" s="11"/>
    </row>
    <row r="37">
      <c r="I37" s="2"/>
      <c r="K37" s="3"/>
      <c r="L37" s="9"/>
      <c r="M37" s="10"/>
      <c r="N37" s="9"/>
      <c r="O37" s="11"/>
      <c r="P37" s="11"/>
      <c r="Q37" s="11"/>
      <c r="R37" s="11"/>
      <c r="T37" s="11"/>
    </row>
    <row r="38">
      <c r="I38" s="2"/>
      <c r="K38" s="3"/>
      <c r="L38" s="9"/>
      <c r="M38" s="10"/>
      <c r="N38" s="9"/>
      <c r="O38" s="11"/>
      <c r="P38" s="11"/>
      <c r="Q38" s="11"/>
      <c r="R38" s="11"/>
      <c r="T38" s="11"/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G51" s="11"/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B57" s="6" t="str">
        <f>B32</f>
        <v>Migraine</v>
      </c>
      <c r="C57" s="6">
        <f t="shared" ref="C57:D57" si="15">sum(C33:C56)</f>
        <v>2.75</v>
      </c>
      <c r="D57" s="6">
        <f t="shared" si="15"/>
        <v>40</v>
      </c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B59" s="1" t="s">
        <v>74</v>
      </c>
      <c r="F59" s="6">
        <f t="shared" ref="F59:G59" si="16">E25</f>
        <v>12766</v>
      </c>
      <c r="G59" s="6">
        <f t="shared" si="16"/>
        <v>19612</v>
      </c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B60" s="1" t="s">
        <v>73</v>
      </c>
      <c r="E60" s="1">
        <v>1.0</v>
      </c>
      <c r="F60" s="6">
        <f t="shared" ref="F60:G60" si="17">F$59*0.85^($E60-1)</f>
        <v>12766</v>
      </c>
      <c r="G60" s="6">
        <f t="shared" si="17"/>
        <v>19612</v>
      </c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B61" s="1" t="s">
        <v>75</v>
      </c>
      <c r="D61" s="6">
        <f>E60+1</f>
        <v>2</v>
      </c>
      <c r="E61" s="6">
        <f t="shared" ref="E61:F61" si="18">F$59*0.85^($D61-1)</f>
        <v>10851.1</v>
      </c>
      <c r="F61" s="6">
        <f t="shared" si="18"/>
        <v>16670.2</v>
      </c>
      <c r="I61" s="6" t="str">
        <f t="shared" ref="I61:I77" si="20">B8</f>
        <v>Psychic Trauma</v>
      </c>
      <c r="J61" s="6">
        <f t="shared" ref="J61:J77" si="21">(C8+0.27)*K61</f>
        <v>2.31</v>
      </c>
      <c r="K61" s="1">
        <v>3.0</v>
      </c>
      <c r="L61" s="11">
        <f t="shared" ref="L61:L77" si="22">Q8*K61</f>
        <v>4940092.703</v>
      </c>
      <c r="N61" s="11"/>
      <c r="O61" s="11"/>
      <c r="P61" s="11"/>
      <c r="Q61" s="11"/>
      <c r="R61" s="11"/>
      <c r="T61" s="11"/>
    </row>
    <row r="62">
      <c r="B62" s="1" t="s">
        <v>79</v>
      </c>
      <c r="D62" s="6">
        <f t="shared" ref="D62:D79" si="23">D61+1</f>
        <v>3</v>
      </c>
      <c r="E62" s="6">
        <f t="shared" ref="E62:F62" si="19">F$59*0.85^($D62-1)</f>
        <v>9223.435</v>
      </c>
      <c r="F62" s="6">
        <f t="shared" si="19"/>
        <v>14169.67</v>
      </c>
      <c r="I62" s="6" t="str">
        <f t="shared" si="20"/>
        <v>Theorems</v>
      </c>
      <c r="J62" s="6">
        <f t="shared" si="21"/>
        <v>5.1</v>
      </c>
      <c r="K62" s="1">
        <v>5.0</v>
      </c>
      <c r="L62" s="11">
        <f t="shared" si="22"/>
        <v>4931594.277</v>
      </c>
      <c r="N62" s="11"/>
      <c r="O62" s="11"/>
      <c r="P62" s="11"/>
      <c r="Q62" s="11"/>
      <c r="R62" s="11"/>
      <c r="T62" s="11"/>
    </row>
    <row r="63">
      <c r="B63" s="1" t="s">
        <v>76</v>
      </c>
      <c r="D63" s="6">
        <f t="shared" si="23"/>
        <v>4</v>
      </c>
      <c r="E63" s="6">
        <f t="shared" ref="E63:F63" si="24">F$59*0.85^($D63-1)</f>
        <v>7839.91975</v>
      </c>
      <c r="F63" s="6">
        <f t="shared" si="24"/>
        <v>12044.2195</v>
      </c>
      <c r="I63" s="6" t="str">
        <f t="shared" si="20"/>
        <v>Chromatic Illusion</v>
      </c>
      <c r="J63" s="6">
        <f t="shared" si="21"/>
        <v>0.27</v>
      </c>
      <c r="K63" s="1">
        <v>1.0</v>
      </c>
      <c r="L63" s="11">
        <f t="shared" si="22"/>
        <v>282005.326</v>
      </c>
      <c r="N63" s="11"/>
      <c r="O63" s="11"/>
      <c r="P63" s="11"/>
      <c r="Q63" s="11"/>
      <c r="R63" s="11"/>
      <c r="T63" s="11"/>
    </row>
    <row r="64">
      <c r="B64" s="1" t="s">
        <v>77</v>
      </c>
      <c r="D64" s="6">
        <f t="shared" si="23"/>
        <v>5</v>
      </c>
      <c r="E64" s="6">
        <f t="shared" ref="E64:F64" si="25">F$59*0.85^($D64-1)</f>
        <v>6663.931788</v>
      </c>
      <c r="F64" s="6">
        <f t="shared" si="25"/>
        <v>10237.58658</v>
      </c>
      <c r="I64" s="6" t="str">
        <f t="shared" si="20"/>
        <v>Prismatic Chaos</v>
      </c>
      <c r="J64" s="6">
        <f t="shared" si="21"/>
        <v>8.89</v>
      </c>
      <c r="K64" s="1">
        <v>7.0</v>
      </c>
      <c r="L64" s="11">
        <f t="shared" si="22"/>
        <v>5672569.962</v>
      </c>
      <c r="N64" s="11"/>
      <c r="O64" s="11"/>
      <c r="P64" s="11"/>
      <c r="Q64" s="11"/>
      <c r="R64" s="11"/>
      <c r="T64" s="11"/>
    </row>
    <row r="65">
      <c r="B65" s="1" t="s">
        <v>82</v>
      </c>
      <c r="D65" s="6">
        <f t="shared" si="23"/>
        <v>6</v>
      </c>
      <c r="E65" s="6">
        <f t="shared" ref="E65:F65" si="26">F$59*0.85^($D65-1)</f>
        <v>5664.342019</v>
      </c>
      <c r="F65" s="6">
        <f t="shared" si="26"/>
        <v>8701.948589</v>
      </c>
      <c r="I65" s="6" t="str">
        <f t="shared" si="20"/>
        <v>Brainburst</v>
      </c>
      <c r="J65" s="6">
        <f t="shared" si="21"/>
        <v>8.47</v>
      </c>
      <c r="K65" s="1">
        <v>11.0</v>
      </c>
      <c r="L65" s="11">
        <f t="shared" si="22"/>
        <v>4636899.756</v>
      </c>
      <c r="N65" s="11"/>
      <c r="O65" s="11"/>
      <c r="P65" s="11"/>
      <c r="Q65" s="11"/>
      <c r="R65" s="11"/>
      <c r="T65" s="11"/>
    </row>
    <row r="66">
      <c r="B66" s="1" t="s">
        <v>84</v>
      </c>
      <c r="D66" s="6">
        <f t="shared" si="23"/>
        <v>7</v>
      </c>
      <c r="E66" s="6">
        <f t="shared" ref="E66:F66" si="27">F$59*0.85^($D66-1)</f>
        <v>4814.690716</v>
      </c>
      <c r="F66" s="6">
        <f t="shared" si="27"/>
        <v>7396.6563</v>
      </c>
      <c r="I66" s="6" t="str">
        <f t="shared" si="20"/>
        <v>Mana Cloak</v>
      </c>
      <c r="J66" s="6">
        <f t="shared" si="21"/>
        <v>5.08</v>
      </c>
      <c r="K66" s="1">
        <v>4.0</v>
      </c>
      <c r="L66" s="11">
        <f t="shared" si="22"/>
        <v>4012236.534</v>
      </c>
      <c r="N66" s="11"/>
      <c r="O66" s="11"/>
      <c r="P66" s="11"/>
      <c r="Q66" s="11"/>
      <c r="R66" s="11"/>
      <c r="T66" s="11"/>
    </row>
    <row r="67">
      <c r="B67" s="1" t="s">
        <v>81</v>
      </c>
      <c r="D67" s="6">
        <f t="shared" si="23"/>
        <v>8</v>
      </c>
      <c r="E67" s="6">
        <f t="shared" ref="E67:F67" si="28">F$59*0.85^($D67-1)</f>
        <v>4092.487109</v>
      </c>
      <c r="F67" s="6">
        <f t="shared" si="28"/>
        <v>6287.157855</v>
      </c>
      <c r="I67" s="6" t="str">
        <f t="shared" si="20"/>
        <v>Bewilderment</v>
      </c>
      <c r="J67" s="6">
        <f t="shared" si="21"/>
        <v>1.04</v>
      </c>
      <c r="K67" s="1">
        <v>2.0</v>
      </c>
      <c r="L67" s="11">
        <f t="shared" si="22"/>
        <v>746422.4969</v>
      </c>
      <c r="N67" s="11"/>
      <c r="O67" s="11"/>
      <c r="P67" s="11"/>
      <c r="Q67" s="11"/>
      <c r="R67" s="11"/>
      <c r="T67" s="11"/>
    </row>
    <row r="68">
      <c r="B68" s="1" t="s">
        <v>89</v>
      </c>
      <c r="D68" s="6">
        <f t="shared" si="23"/>
        <v>9</v>
      </c>
      <c r="E68" s="6">
        <f t="shared" ref="E68:F68" si="29">F$59*0.85^($D68-1)</f>
        <v>3478.614043</v>
      </c>
      <c r="F68" s="6">
        <f t="shared" si="29"/>
        <v>5344.084177</v>
      </c>
      <c r="I68" s="6" t="str">
        <f t="shared" si="20"/>
        <v>Chromatic Shower</v>
      </c>
      <c r="J68" s="6">
        <f t="shared" si="21"/>
        <v>7.6</v>
      </c>
      <c r="K68" s="1">
        <v>5.0</v>
      </c>
      <c r="L68" s="11">
        <f t="shared" si="22"/>
        <v>3277911.781</v>
      </c>
      <c r="N68" s="11"/>
      <c r="O68" s="11"/>
      <c r="P68" s="11"/>
      <c r="Q68" s="11"/>
      <c r="R68" s="11"/>
      <c r="T68" s="11"/>
    </row>
    <row r="69">
      <c r="B69" s="1" t="s">
        <v>88</v>
      </c>
      <c r="D69" s="6">
        <f t="shared" si="23"/>
        <v>10</v>
      </c>
      <c r="E69" s="6">
        <f t="shared" ref="E69:F69" si="30">F$59*0.85^($D69-1)</f>
        <v>2956.821936</v>
      </c>
      <c r="F69" s="6">
        <f t="shared" si="30"/>
        <v>4542.471551</v>
      </c>
      <c r="I69" s="6" t="str">
        <f t="shared" si="20"/>
        <v>Nightmare</v>
      </c>
      <c r="J69" s="6">
        <f t="shared" si="21"/>
        <v>6.93</v>
      </c>
      <c r="K69" s="1">
        <v>9.0</v>
      </c>
      <c r="L69" s="11">
        <f t="shared" si="22"/>
        <v>2265402.41</v>
      </c>
      <c r="N69" s="11"/>
      <c r="O69" s="11"/>
      <c r="P69" s="11"/>
      <c r="Q69" s="11"/>
      <c r="R69" s="11"/>
      <c r="T69" s="11"/>
    </row>
    <row r="70">
      <c r="B70" s="1" t="s">
        <v>85</v>
      </c>
      <c r="D70" s="6">
        <f t="shared" si="23"/>
        <v>11</v>
      </c>
      <c r="E70" s="6">
        <f t="shared" ref="E70:F70" si="31">F$59*0.85^($D70-1)</f>
        <v>2513.298646</v>
      </c>
      <c r="F70" s="6">
        <f t="shared" si="31"/>
        <v>3861.100818</v>
      </c>
      <c r="I70" s="6" t="str">
        <f t="shared" si="20"/>
        <v>Master Strike</v>
      </c>
      <c r="J70" s="6">
        <f t="shared" si="21"/>
        <v>2.36</v>
      </c>
      <c r="K70" s="1">
        <v>2.0</v>
      </c>
      <c r="L70" s="11">
        <f t="shared" si="22"/>
        <v>1078457.721</v>
      </c>
      <c r="N70" s="11"/>
      <c r="O70" s="11"/>
      <c r="P70" s="11"/>
      <c r="Q70" s="11"/>
      <c r="R70" s="11"/>
      <c r="T70" s="11"/>
    </row>
    <row r="71">
      <c r="B71" s="1" t="s">
        <v>86</v>
      </c>
      <c r="D71" s="6">
        <f t="shared" si="23"/>
        <v>12</v>
      </c>
      <c r="E71" s="6">
        <f t="shared" ref="E71:F71" si="32">F$59*0.85^($D71-1)</f>
        <v>2136.303849</v>
      </c>
      <c r="F71" s="6">
        <f t="shared" si="32"/>
        <v>3281.935695</v>
      </c>
      <c r="I71" s="6" t="str">
        <f t="shared" si="20"/>
        <v>Counterblade</v>
      </c>
      <c r="J71" s="6">
        <f t="shared" si="21"/>
        <v>0.52</v>
      </c>
      <c r="K71" s="1">
        <v>1.0</v>
      </c>
      <c r="L71" s="11">
        <f t="shared" si="22"/>
        <v>247998.7206</v>
      </c>
      <c r="N71" s="11"/>
      <c r="O71" s="11"/>
      <c r="P71" s="11"/>
      <c r="Q71" s="11"/>
      <c r="R71" s="11"/>
      <c r="T71" s="11"/>
    </row>
    <row r="72">
      <c r="B72" s="1" t="s">
        <v>93</v>
      </c>
      <c r="D72" s="6">
        <f t="shared" si="23"/>
        <v>13</v>
      </c>
      <c r="E72" s="6">
        <f t="shared" ref="E72:F72" si="33">F$59*0.85^($D72-1)</f>
        <v>1815.858272</v>
      </c>
      <c r="F72" s="6">
        <f t="shared" si="33"/>
        <v>2789.645341</v>
      </c>
      <c r="I72" s="6" t="str">
        <f t="shared" si="20"/>
        <v>Daydream</v>
      </c>
      <c r="J72" s="6">
        <f t="shared" si="21"/>
        <v>1.56</v>
      </c>
      <c r="K72" s="1">
        <v>3.0</v>
      </c>
      <c r="L72" s="11">
        <f t="shared" si="22"/>
        <v>569186.8538</v>
      </c>
      <c r="N72" s="11"/>
      <c r="O72" s="11"/>
      <c r="P72" s="11"/>
      <c r="Q72" s="11"/>
      <c r="R72" s="11"/>
      <c r="T72" s="11"/>
    </row>
    <row r="73">
      <c r="B73" s="1" t="s">
        <v>92</v>
      </c>
      <c r="D73" s="6">
        <f t="shared" si="23"/>
        <v>14</v>
      </c>
      <c r="E73" s="6">
        <f t="shared" ref="E73:F73" si="34">F$59*0.85^($D73-1)</f>
        <v>1543.479531</v>
      </c>
      <c r="F73" s="6">
        <f t="shared" si="34"/>
        <v>2371.19854</v>
      </c>
      <c r="I73" s="6" t="str">
        <f t="shared" si="20"/>
        <v>Brainburst spam</v>
      </c>
      <c r="J73" s="6">
        <f t="shared" si="21"/>
        <v>1.54</v>
      </c>
      <c r="K73" s="1">
        <v>2.0</v>
      </c>
      <c r="L73" s="11">
        <f t="shared" si="22"/>
        <v>395745.0155</v>
      </c>
      <c r="N73" s="11"/>
      <c r="O73" s="11"/>
      <c r="P73" s="11"/>
      <c r="Q73" s="11"/>
      <c r="R73" s="11"/>
      <c r="T73" s="11"/>
    </row>
    <row r="74">
      <c r="B74" s="1" t="s">
        <v>94</v>
      </c>
      <c r="D74" s="6">
        <f t="shared" si="23"/>
        <v>15</v>
      </c>
      <c r="E74" s="6">
        <f t="shared" ref="E74:F74" si="35">F$59*0.85^($D74-1)</f>
        <v>1311.957601</v>
      </c>
      <c r="F74" s="6">
        <f t="shared" si="35"/>
        <v>2015.518759</v>
      </c>
      <c r="I74" s="6" t="str">
        <f t="shared" si="20"/>
        <v>Ultraviolet Beam</v>
      </c>
      <c r="J74" s="6">
        <f t="shared" si="21"/>
        <v>2.31</v>
      </c>
      <c r="K74" s="1">
        <v>3.0</v>
      </c>
      <c r="L74" s="11">
        <f t="shared" si="22"/>
        <v>556418.6628</v>
      </c>
    </row>
    <row r="75">
      <c r="B75" s="1" t="s">
        <v>90</v>
      </c>
      <c r="D75" s="6">
        <f t="shared" si="23"/>
        <v>16</v>
      </c>
      <c r="E75" s="6">
        <f t="shared" ref="E75:F75" si="36">F$59*0.85^($D75-1)</f>
        <v>1115.163961</v>
      </c>
      <c r="F75" s="6">
        <f t="shared" si="36"/>
        <v>1713.190945</v>
      </c>
      <c r="I75" s="6" t="str">
        <f t="shared" si="20"/>
        <v>Speechless</v>
      </c>
      <c r="J75" s="6">
        <f t="shared" si="21"/>
        <v>5.08</v>
      </c>
      <c r="K75" s="1">
        <v>4.0</v>
      </c>
      <c r="L75" s="11">
        <f t="shared" si="22"/>
        <v>1116216.914</v>
      </c>
    </row>
    <row r="76">
      <c r="D76" s="6">
        <f t="shared" si="23"/>
        <v>17</v>
      </c>
      <c r="E76" s="6">
        <f t="shared" ref="E76:F76" si="37">F$59*0.85^($D76-1)</f>
        <v>947.8893669</v>
      </c>
      <c r="F76" s="6">
        <f t="shared" si="37"/>
        <v>1456.212303</v>
      </c>
      <c r="I76" s="6" t="str">
        <f t="shared" si="20"/>
        <v>Nightmare spam</v>
      </c>
      <c r="J76" s="6">
        <f t="shared" si="21"/>
        <v>7.7</v>
      </c>
      <c r="K76" s="1">
        <v>10.0</v>
      </c>
      <c r="L76" s="11">
        <f t="shared" si="22"/>
        <v>1503549.166</v>
      </c>
    </row>
    <row r="77">
      <c r="D77" s="6">
        <f t="shared" si="23"/>
        <v>18</v>
      </c>
      <c r="E77" s="6">
        <f t="shared" ref="E77:F77" si="38">F$59*0.85^($D77-1)</f>
        <v>805.7059619</v>
      </c>
      <c r="F77" s="6">
        <f t="shared" si="38"/>
        <v>1237.780458</v>
      </c>
      <c r="I77" s="6" t="str">
        <f t="shared" si="20"/>
        <v>Chromatic Storm</v>
      </c>
      <c r="J77" s="6">
        <f t="shared" si="21"/>
        <v>3.81</v>
      </c>
      <c r="K77" s="1">
        <v>3.0</v>
      </c>
      <c r="L77" s="11">
        <f t="shared" si="22"/>
        <v>665507.8485</v>
      </c>
    </row>
    <row r="78">
      <c r="D78" s="6">
        <f t="shared" si="23"/>
        <v>19</v>
      </c>
      <c r="E78" s="6">
        <f t="shared" ref="E78:F78" si="39">F$59*0.85^($D78-1)</f>
        <v>684.8500676</v>
      </c>
      <c r="F78" s="6">
        <f t="shared" si="39"/>
        <v>1052.113389</v>
      </c>
      <c r="L78" s="6">
        <f>sum(L61:L77)</f>
        <v>36898216.15</v>
      </c>
    </row>
    <row r="79">
      <c r="D79" s="6">
        <f t="shared" si="23"/>
        <v>20</v>
      </c>
      <c r="E79" s="6">
        <f t="shared" ref="E79:F79" si="40">F$59*0.85^($D79-1)</f>
        <v>582.1225574</v>
      </c>
      <c r="F79" s="6">
        <f t="shared" si="40"/>
        <v>894.2963807</v>
      </c>
      <c r="L79" s="6">
        <f>L78/C57</f>
        <v>13417533.14</v>
      </c>
      <c r="M79" s="1" t="s">
        <v>272</v>
      </c>
    </row>
    <row r="80">
      <c r="E80" s="6">
        <f t="shared" ref="E80:F80" si="41">sum(E61:E79)</f>
        <v>69041.97217</v>
      </c>
      <c r="F80" s="6">
        <f t="shared" si="41"/>
        <v>106066.9872</v>
      </c>
      <c r="I80" s="2"/>
      <c r="K80" s="3"/>
      <c r="L80" s="4"/>
    </row>
    <row r="81">
      <c r="I81" s="2"/>
      <c r="K81" s="7" t="s">
        <v>502</v>
      </c>
      <c r="L81" s="16" t="s">
        <v>17</v>
      </c>
      <c r="M81" s="13" t="s">
        <v>18</v>
      </c>
      <c r="N81" s="13" t="s">
        <v>19</v>
      </c>
      <c r="O81" s="13" t="s">
        <v>20</v>
      </c>
      <c r="P81" s="13" t="s">
        <v>21</v>
      </c>
      <c r="Q81" s="13" t="s">
        <v>22</v>
      </c>
      <c r="R81" s="13" t="s">
        <v>23</v>
      </c>
      <c r="S81" s="13" t="s">
        <v>69</v>
      </c>
      <c r="T81" s="1" t="s">
        <v>503</v>
      </c>
    </row>
    <row r="82">
      <c r="A82" s="1">
        <v>109323.164919163</v>
      </c>
      <c r="B82" s="1">
        <v>91117.0182751663</v>
      </c>
      <c r="C82" s="6">
        <f t="shared" ref="C82:C105" si="42">A82-B82</f>
        <v>18206.14664</v>
      </c>
      <c r="D82" s="1" t="s">
        <v>491</v>
      </c>
      <c r="I82" s="2"/>
      <c r="K82" s="13" t="s">
        <v>71</v>
      </c>
      <c r="L82" s="13">
        <v>297274.87</v>
      </c>
      <c r="M82" s="13">
        <v>356106.8</v>
      </c>
      <c r="N82" s="13">
        <v>297274.87</v>
      </c>
      <c r="O82" s="13">
        <v>356106.8</v>
      </c>
      <c r="P82" s="13">
        <v>1780534.0</v>
      </c>
      <c r="Q82" s="13">
        <v>2076485.63273464</v>
      </c>
      <c r="R82" s="13">
        <v>2076485.63273464</v>
      </c>
      <c r="S82" s="13">
        <v>101291.982084617</v>
      </c>
      <c r="T82" s="11">
        <f t="shared" ref="T82:T109" si="43">(max(L82:O82)*1.36379)</f>
        <v>485654.8928</v>
      </c>
    </row>
    <row r="83">
      <c r="A83" s="54">
        <v>105072.996922241</v>
      </c>
      <c r="B83" s="1">
        <v>87574.6525255619</v>
      </c>
      <c r="C83" s="6">
        <f t="shared" si="42"/>
        <v>17498.3444</v>
      </c>
      <c r="D83" s="1" t="s">
        <v>71</v>
      </c>
      <c r="I83" s="2"/>
      <c r="K83" s="13" t="s">
        <v>372</v>
      </c>
      <c r="L83" s="13">
        <v>148987.54</v>
      </c>
      <c r="M83" s="13">
        <v>177324.61</v>
      </c>
      <c r="N83" s="13">
        <v>148987.54</v>
      </c>
      <c r="O83" s="13">
        <v>177324.61</v>
      </c>
      <c r="P83" s="13">
        <v>1063947.66</v>
      </c>
      <c r="Q83" s="13">
        <v>986318.855492884</v>
      </c>
      <c r="R83" s="13">
        <v>789055.084394307</v>
      </c>
      <c r="S83" s="13">
        <v>91750.5912086404</v>
      </c>
      <c r="T83" s="11">
        <f t="shared" si="43"/>
        <v>241833.5299</v>
      </c>
    </row>
    <row r="84">
      <c r="A84" s="1">
        <v>78339.4316994274</v>
      </c>
      <c r="B84" s="1">
        <v>65293.1648576128</v>
      </c>
      <c r="C84" s="6">
        <f t="shared" si="42"/>
        <v>13046.26684</v>
      </c>
      <c r="D84" s="1" t="s">
        <v>377</v>
      </c>
      <c r="I84" s="2"/>
      <c r="K84" s="13" t="s">
        <v>378</v>
      </c>
      <c r="L84" s="13">
        <v>46321.035</v>
      </c>
      <c r="M84" s="13">
        <v>62675.94</v>
      </c>
      <c r="N84" s="13">
        <v>46321.035</v>
      </c>
      <c r="O84" s="13">
        <v>62675.94</v>
      </c>
      <c r="P84" s="13">
        <v>1128166.92</v>
      </c>
      <c r="Q84" s="13">
        <v>1003059.13343363</v>
      </c>
      <c r="R84" s="13">
        <v>668706.088955752</v>
      </c>
      <c r="S84" s="13">
        <v>11022.62783993</v>
      </c>
      <c r="T84" s="11">
        <f t="shared" si="43"/>
        <v>85476.82021</v>
      </c>
    </row>
    <row r="85">
      <c r="A85" s="1">
        <v>65659.8247929813</v>
      </c>
      <c r="B85" s="1">
        <v>54725.1578385069</v>
      </c>
      <c r="C85" s="6">
        <f t="shared" si="42"/>
        <v>10934.66695</v>
      </c>
      <c r="D85" s="1" t="s">
        <v>489</v>
      </c>
      <c r="I85" s="2"/>
      <c r="K85" s="13" t="s">
        <v>489</v>
      </c>
      <c r="L85" s="13">
        <v>107303.61</v>
      </c>
      <c r="M85" s="13">
        <v>175674.115</v>
      </c>
      <c r="N85" s="13">
        <v>12932.45</v>
      </c>
      <c r="O85" s="13">
        <v>21763.67</v>
      </c>
      <c r="P85" s="13">
        <v>262728.795</v>
      </c>
      <c r="Q85" s="13">
        <v>282005.325976644</v>
      </c>
      <c r="R85" s="13">
        <v>564010.651953288</v>
      </c>
      <c r="S85" s="13">
        <v>56401.0651953288</v>
      </c>
      <c r="T85" s="11">
        <f t="shared" si="43"/>
        <v>239582.6013</v>
      </c>
    </row>
    <row r="86">
      <c r="A86" s="1">
        <v>51967.371842217</v>
      </c>
      <c r="B86" s="1">
        <v>43312.9792149812</v>
      </c>
      <c r="C86" s="6">
        <f t="shared" si="42"/>
        <v>8654.392627</v>
      </c>
      <c r="D86" s="1" t="s">
        <v>490</v>
      </c>
      <c r="I86" s="2"/>
      <c r="K86" s="13" t="s">
        <v>374</v>
      </c>
      <c r="L86" s="13">
        <v>122411.52</v>
      </c>
      <c r="M86" s="13">
        <v>145689.705</v>
      </c>
      <c r="N86" s="13">
        <v>122411.52</v>
      </c>
      <c r="O86" s="13">
        <v>145689.705</v>
      </c>
      <c r="P86" s="13">
        <v>874138.23</v>
      </c>
      <c r="Q86" s="13">
        <v>810367.13737576</v>
      </c>
      <c r="R86" s="13">
        <v>540244.758250507</v>
      </c>
      <c r="S86" s="13">
        <v>95337.3102795012</v>
      </c>
      <c r="T86" s="11">
        <f t="shared" si="43"/>
        <v>198690.1628</v>
      </c>
    </row>
    <row r="87">
      <c r="A87" s="1">
        <v>44144.0625914364</v>
      </c>
      <c r="B87" s="1">
        <v>36792.5257273535</v>
      </c>
      <c r="C87" s="6">
        <f t="shared" si="42"/>
        <v>7351.536864</v>
      </c>
      <c r="D87" s="1" t="s">
        <v>371</v>
      </c>
      <c r="I87" s="2"/>
      <c r="K87" s="13" t="s">
        <v>76</v>
      </c>
      <c r="L87" s="13">
        <v>207283.595</v>
      </c>
      <c r="M87" s="13">
        <v>348683.145</v>
      </c>
      <c r="N87" s="13">
        <v>0.0</v>
      </c>
      <c r="O87" s="13">
        <v>0.0</v>
      </c>
      <c r="P87" s="13">
        <v>348683.145</v>
      </c>
      <c r="Q87" s="13">
        <v>373211.248431901</v>
      </c>
      <c r="R87" s="13">
        <v>497614.997909202</v>
      </c>
      <c r="S87" s="13">
        <v>12337.5619316331</v>
      </c>
      <c r="T87" s="11">
        <f t="shared" si="43"/>
        <v>475530.5863</v>
      </c>
    </row>
    <row r="88">
      <c r="A88" s="1">
        <v>37455.898028534</v>
      </c>
      <c r="B88" s="1">
        <v>31218.1754681388</v>
      </c>
      <c r="C88" s="6">
        <f t="shared" si="42"/>
        <v>6237.72256</v>
      </c>
      <c r="D88" s="1" t="s">
        <v>375</v>
      </c>
      <c r="I88" s="2"/>
      <c r="K88" s="13" t="s">
        <v>371</v>
      </c>
      <c r="L88" s="13">
        <v>110618.89</v>
      </c>
      <c r="M88" s="13">
        <v>131653.77</v>
      </c>
      <c r="N88" s="13">
        <v>31602.335</v>
      </c>
      <c r="O88" s="13">
        <v>37611.28</v>
      </c>
      <c r="P88" s="13">
        <v>360591.996086957</v>
      </c>
      <c r="Q88" s="13">
        <v>421536.341428574</v>
      </c>
      <c r="R88" s="13">
        <v>421536.341428574</v>
      </c>
      <c r="S88" s="13">
        <v>29071.4718226603</v>
      </c>
      <c r="T88" s="11">
        <f t="shared" si="43"/>
        <v>179548.095</v>
      </c>
    </row>
    <row r="89">
      <c r="A89" s="1">
        <v>24431.5737161821</v>
      </c>
      <c r="B89" s="1">
        <v>20362.8585984912</v>
      </c>
      <c r="C89" s="6">
        <f t="shared" si="42"/>
        <v>4068.715118</v>
      </c>
      <c r="D89" s="1" t="s">
        <v>373</v>
      </c>
      <c r="I89" s="2"/>
      <c r="K89" s="13" t="s">
        <v>80</v>
      </c>
      <c r="L89" s="13">
        <v>402785.085</v>
      </c>
      <c r="M89" s="13">
        <v>449856.345</v>
      </c>
      <c r="N89" s="13">
        <v>0.0</v>
      </c>
      <c r="O89" s="13">
        <v>0.0</v>
      </c>
      <c r="P89" s="13">
        <v>449856.345</v>
      </c>
      <c r="Q89" s="13">
        <v>539228.860727783</v>
      </c>
      <c r="R89" s="13">
        <v>382431.816118995</v>
      </c>
      <c r="S89" s="13">
        <v>8852.87901375444</v>
      </c>
      <c r="T89" s="11">
        <f t="shared" si="43"/>
        <v>613509.5847</v>
      </c>
    </row>
    <row r="90">
      <c r="A90" s="1">
        <v>18715.6674446549</v>
      </c>
      <c r="B90" s="1">
        <v>15598.8514771551</v>
      </c>
      <c r="C90" s="6">
        <f t="shared" si="42"/>
        <v>3116.815967</v>
      </c>
      <c r="D90" s="1" t="s">
        <v>87</v>
      </c>
      <c r="I90" s="2"/>
      <c r="K90" s="13" t="s">
        <v>377</v>
      </c>
      <c r="L90" s="13">
        <v>104738.555</v>
      </c>
      <c r="M90" s="13">
        <v>114898.745</v>
      </c>
      <c r="N90" s="13">
        <v>53065.915</v>
      </c>
      <c r="O90" s="13">
        <v>63154.655</v>
      </c>
      <c r="P90" s="13">
        <v>502478.862735</v>
      </c>
      <c r="Q90" s="13">
        <v>591867.719072463</v>
      </c>
      <c r="R90" s="13">
        <v>338210.125184265</v>
      </c>
      <c r="S90" s="13">
        <v>52610.4639175523</v>
      </c>
      <c r="T90" s="11">
        <f t="shared" si="43"/>
        <v>156697.7594</v>
      </c>
    </row>
    <row r="91">
      <c r="A91" s="1">
        <v>15052.6254348683</v>
      </c>
      <c r="B91" s="1">
        <v>12545.8346165911</v>
      </c>
      <c r="C91" s="6">
        <f t="shared" si="42"/>
        <v>2506.790818</v>
      </c>
      <c r="D91" s="1" t="s">
        <v>493</v>
      </c>
      <c r="I91" s="2"/>
      <c r="K91" s="13" t="s">
        <v>82</v>
      </c>
      <c r="L91" s="13">
        <v>183855.14</v>
      </c>
      <c r="M91" s="13">
        <v>288829.48</v>
      </c>
      <c r="N91" s="13">
        <v>0.0</v>
      </c>
      <c r="O91" s="13">
        <v>0.0</v>
      </c>
      <c r="P91" s="13">
        <v>288829.48</v>
      </c>
      <c r="Q91" s="13">
        <v>247998.720630026</v>
      </c>
      <c r="R91" s="13">
        <v>330664.960840035</v>
      </c>
      <c r="S91" s="13">
        <v>39679.7953008042</v>
      </c>
      <c r="T91" s="11">
        <f t="shared" si="43"/>
        <v>393902.7565</v>
      </c>
    </row>
    <row r="92">
      <c r="A92" s="1">
        <v>14395.939369148</v>
      </c>
      <c r="B92" s="1">
        <v>11998.5098451621</v>
      </c>
      <c r="C92" s="6">
        <f t="shared" si="42"/>
        <v>2397.429524</v>
      </c>
      <c r="D92" s="1" t="s">
        <v>76</v>
      </c>
      <c r="I92" s="2"/>
      <c r="K92" s="13" t="s">
        <v>87</v>
      </c>
      <c r="L92" s="13">
        <v>74215.115</v>
      </c>
      <c r="M92" s="13">
        <v>104960.05</v>
      </c>
      <c r="N92" s="13">
        <v>7809.485</v>
      </c>
      <c r="O92" s="13">
        <v>11046.17</v>
      </c>
      <c r="P92" s="13">
        <v>171237.07</v>
      </c>
      <c r="Q92" s="13">
        <v>189728.951269781</v>
      </c>
      <c r="R92" s="13">
        <v>252971.935026374</v>
      </c>
      <c r="S92" s="13">
        <v>12441.2427062151</v>
      </c>
      <c r="T92" s="11">
        <f t="shared" si="43"/>
        <v>143143.4666</v>
      </c>
    </row>
    <row r="93">
      <c r="A93" s="1">
        <v>14308.598297274</v>
      </c>
      <c r="B93" s="1">
        <v>11925.7141293776</v>
      </c>
      <c r="C93" s="6">
        <f t="shared" si="42"/>
        <v>2382.884168</v>
      </c>
      <c r="D93" s="1" t="s">
        <v>494</v>
      </c>
      <c r="I93" s="2"/>
      <c r="K93" s="13" t="s">
        <v>376</v>
      </c>
      <c r="L93" s="13">
        <v>84053.78</v>
      </c>
      <c r="M93" s="13">
        <v>100037.145</v>
      </c>
      <c r="N93" s="13">
        <v>24014.345</v>
      </c>
      <c r="O93" s="13">
        <v>28580.0</v>
      </c>
      <c r="P93" s="13">
        <v>271517.145</v>
      </c>
      <c r="Q93" s="13">
        <v>251711.378908959</v>
      </c>
      <c r="R93" s="13">
        <v>251711.378908959</v>
      </c>
      <c r="S93" s="13">
        <v>10273.9338330187</v>
      </c>
      <c r="T93" s="11">
        <f t="shared" si="43"/>
        <v>136429.658</v>
      </c>
    </row>
    <row r="94">
      <c r="A94" s="1">
        <v>9472.33522457809</v>
      </c>
      <c r="B94" s="1">
        <v>7894.85871914323</v>
      </c>
      <c r="C94" s="6">
        <f t="shared" si="42"/>
        <v>1577.476505</v>
      </c>
      <c r="D94" s="1" t="s">
        <v>80</v>
      </c>
      <c r="I94" s="2"/>
      <c r="K94" s="13" t="s">
        <v>490</v>
      </c>
      <c r="L94" s="13">
        <v>110618.89</v>
      </c>
      <c r="M94" s="13">
        <v>131653.77</v>
      </c>
      <c r="N94" s="13">
        <v>31602.335</v>
      </c>
      <c r="O94" s="13">
        <v>37611.28</v>
      </c>
      <c r="P94" s="13">
        <v>169265.05</v>
      </c>
      <c r="Q94" s="13">
        <v>197872.507751007</v>
      </c>
      <c r="R94" s="13">
        <v>197872.507751007</v>
      </c>
      <c r="S94" s="13">
        <v>43971.6683891126</v>
      </c>
      <c r="T94" s="11">
        <f t="shared" si="43"/>
        <v>179548.095</v>
      </c>
    </row>
    <row r="95">
      <c r="A95" s="1">
        <v>7253.05558460538</v>
      </c>
      <c r="B95" s="1">
        <v>6045.16708551167</v>
      </c>
      <c r="C95" s="6">
        <f t="shared" si="42"/>
        <v>1207.888499</v>
      </c>
      <c r="D95" s="1" t="s">
        <v>504</v>
      </c>
      <c r="I95" s="2"/>
      <c r="K95" s="13" t="s">
        <v>373</v>
      </c>
      <c r="L95" s="13">
        <v>200574.44</v>
      </c>
      <c r="M95" s="13">
        <v>238707.305</v>
      </c>
      <c r="N95" s="13">
        <v>0.0</v>
      </c>
      <c r="O95" s="13">
        <v>0.0</v>
      </c>
      <c r="P95" s="13">
        <v>238707.305</v>
      </c>
      <c r="Q95" s="13">
        <v>279054.228442737</v>
      </c>
      <c r="R95" s="13">
        <v>186036.152295158</v>
      </c>
      <c r="S95" s="13">
        <v>20670.6835883509</v>
      </c>
      <c r="T95" s="11">
        <f t="shared" si="43"/>
        <v>325546.6355</v>
      </c>
    </row>
    <row r="96">
      <c r="A96" s="1">
        <v>6631.64792425527</v>
      </c>
      <c r="B96" s="1">
        <v>5527.24562589863</v>
      </c>
      <c r="C96" s="6">
        <f t="shared" si="42"/>
        <v>1104.402298</v>
      </c>
      <c r="D96" s="1" t="s">
        <v>495</v>
      </c>
      <c r="I96" s="2"/>
      <c r="K96" s="13" t="s">
        <v>491</v>
      </c>
      <c r="L96" s="13">
        <v>125933.585</v>
      </c>
      <c r="M96" s="13">
        <v>163386.115</v>
      </c>
      <c r="N96" s="13">
        <v>0.0</v>
      </c>
      <c r="O96" s="13">
        <v>0.0</v>
      </c>
      <c r="P96" s="13">
        <v>163386.115</v>
      </c>
      <c r="Q96" s="13">
        <v>185472.887610643</v>
      </c>
      <c r="R96" s="13">
        <v>185472.887610643</v>
      </c>
      <c r="S96" s="13">
        <v>92736.4438053216</v>
      </c>
      <c r="T96" s="11">
        <f t="shared" si="43"/>
        <v>222824.3498</v>
      </c>
    </row>
    <row r="97">
      <c r="A97" s="1">
        <v>3750.8823591122</v>
      </c>
      <c r="B97" s="1">
        <v>3126.22870656866</v>
      </c>
      <c r="C97" s="6">
        <f t="shared" si="42"/>
        <v>624.6536525</v>
      </c>
      <c r="D97" s="1" t="s">
        <v>496</v>
      </c>
      <c r="I97" s="2"/>
      <c r="K97" s="13" t="s">
        <v>91</v>
      </c>
      <c r="L97" s="13">
        <v>91213.07</v>
      </c>
      <c r="M97" s="13">
        <v>140127.74</v>
      </c>
      <c r="N97" s="13">
        <v>0.0</v>
      </c>
      <c r="O97" s="13">
        <v>0.0</v>
      </c>
      <c r="P97" s="13">
        <v>140127.74</v>
      </c>
      <c r="Q97" s="13">
        <v>120841.660649206</v>
      </c>
      <c r="R97" s="13">
        <v>161122.214198942</v>
      </c>
      <c r="S97" s="13">
        <v>7924.04332125943</v>
      </c>
      <c r="T97" s="11">
        <f t="shared" si="43"/>
        <v>191104.8105</v>
      </c>
    </row>
    <row r="98">
      <c r="A98" s="1">
        <v>2923.4593190622</v>
      </c>
      <c r="B98" s="1">
        <v>2436.60066371719</v>
      </c>
      <c r="C98" s="6">
        <f t="shared" si="42"/>
        <v>486.8586553</v>
      </c>
      <c r="D98" s="1" t="s">
        <v>497</v>
      </c>
      <c r="I98" s="2"/>
      <c r="K98" s="13" t="s">
        <v>492</v>
      </c>
      <c r="L98" s="13">
        <v>84053.78</v>
      </c>
      <c r="M98" s="13">
        <v>100037.145</v>
      </c>
      <c r="N98" s="13">
        <v>24014.345</v>
      </c>
      <c r="O98" s="13">
        <v>28580.0</v>
      </c>
      <c r="P98" s="13">
        <v>128617.145</v>
      </c>
      <c r="Q98" s="13">
        <v>150354.916566563</v>
      </c>
      <c r="R98" s="13">
        <v>150354.916566563</v>
      </c>
      <c r="S98" s="13">
        <v>33412.2036814584</v>
      </c>
      <c r="T98" s="11">
        <f t="shared" si="43"/>
        <v>136429.658</v>
      </c>
    </row>
    <row r="99">
      <c r="A99" s="1">
        <v>107760.751039961</v>
      </c>
      <c r="B99" s="1">
        <v>107760.751039961</v>
      </c>
      <c r="C99" s="6">
        <f t="shared" si="42"/>
        <v>0</v>
      </c>
      <c r="D99" s="1" t="s">
        <v>372</v>
      </c>
      <c r="I99" s="2"/>
      <c r="K99" s="13" t="s">
        <v>375</v>
      </c>
      <c r="L99" s="13">
        <v>37318.335</v>
      </c>
      <c r="M99" s="13">
        <v>44413.32</v>
      </c>
      <c r="N99" s="13">
        <v>22385.285</v>
      </c>
      <c r="O99" s="13">
        <v>26650.85</v>
      </c>
      <c r="P99" s="13">
        <v>189781.592727273</v>
      </c>
      <c r="Q99" s="13">
        <v>221835.949516216</v>
      </c>
      <c r="R99" s="13">
        <v>147890.63301081</v>
      </c>
      <c r="S99" s="13">
        <v>31690.8499308879</v>
      </c>
      <c r="T99" s="11">
        <f t="shared" si="43"/>
        <v>60570.44168</v>
      </c>
    </row>
    <row r="100">
      <c r="A100" s="1">
        <v>11613.4838878926</v>
      </c>
      <c r="B100" s="1">
        <v>11613.4838878926</v>
      </c>
      <c r="C100" s="6">
        <f t="shared" si="42"/>
        <v>0</v>
      </c>
      <c r="D100" s="1" t="s">
        <v>378</v>
      </c>
      <c r="I100" s="2"/>
      <c r="K100" s="13" t="s">
        <v>493</v>
      </c>
      <c r="L100" s="13">
        <v>130053.29</v>
      </c>
      <c r="M100" s="13">
        <v>183919.445</v>
      </c>
      <c r="N100" s="13">
        <v>0.0</v>
      </c>
      <c r="O100" s="13">
        <v>0.0</v>
      </c>
      <c r="P100" s="13">
        <v>183919.445</v>
      </c>
      <c r="Q100" s="13">
        <v>203786.542282225</v>
      </c>
      <c r="R100" s="13">
        <v>135857.694854817</v>
      </c>
      <c r="S100" s="13">
        <v>12736.6588926391</v>
      </c>
      <c r="T100" s="11">
        <f t="shared" si="43"/>
        <v>250827.4999</v>
      </c>
    </row>
    <row r="101">
      <c r="A101" s="1">
        <v>111896.802099611</v>
      </c>
      <c r="B101" s="1">
        <v>111896.802099611</v>
      </c>
      <c r="C101" s="6">
        <f t="shared" si="42"/>
        <v>0</v>
      </c>
      <c r="D101" s="1" t="s">
        <v>374</v>
      </c>
      <c r="I101" s="2"/>
      <c r="K101" s="13" t="s">
        <v>494</v>
      </c>
      <c r="L101" s="13">
        <v>139213.18</v>
      </c>
      <c r="M101" s="13">
        <v>165692.55</v>
      </c>
      <c r="N101" s="13">
        <v>0.0</v>
      </c>
      <c r="O101" s="13">
        <v>0.0</v>
      </c>
      <c r="P101" s="13">
        <v>165692.55</v>
      </c>
      <c r="Q101" s="13">
        <v>193692.95191908</v>
      </c>
      <c r="R101" s="13">
        <v>129128.63461272</v>
      </c>
      <c r="S101" s="13">
        <v>12105.8094949425</v>
      </c>
      <c r="T101" s="11">
        <f t="shared" si="43"/>
        <v>225969.8428</v>
      </c>
    </row>
    <row r="102">
      <c r="A102" s="1">
        <v>47755.7937969646</v>
      </c>
      <c r="B102" s="1">
        <v>47755.7937969646</v>
      </c>
      <c r="C102" s="6">
        <f t="shared" si="42"/>
        <v>0</v>
      </c>
      <c r="D102" s="1" t="s">
        <v>82</v>
      </c>
      <c r="I102" s="2"/>
      <c r="K102" s="13" t="s">
        <v>498</v>
      </c>
      <c r="L102" s="13">
        <v>79889.895</v>
      </c>
      <c r="M102" s="13">
        <v>103651.91</v>
      </c>
      <c r="N102" s="13">
        <v>0.0</v>
      </c>
      <c r="O102" s="13">
        <v>0.0</v>
      </c>
      <c r="P102" s="13">
        <v>103651.91</v>
      </c>
      <c r="Q102" s="13">
        <v>117662.72792003</v>
      </c>
      <c r="R102" s="13">
        <v>117662.72792003</v>
      </c>
      <c r="S102" s="13">
        <v>8114.67089103657</v>
      </c>
      <c r="T102" s="11">
        <f t="shared" si="43"/>
        <v>141359.4383</v>
      </c>
    </row>
    <row r="103">
      <c r="A103" s="1">
        <v>15709.3886848211</v>
      </c>
      <c r="B103" s="1">
        <v>15709.3886848211</v>
      </c>
      <c r="C103" s="6">
        <f t="shared" si="42"/>
        <v>0</v>
      </c>
      <c r="D103" s="1" t="s">
        <v>376</v>
      </c>
      <c r="I103" s="2"/>
      <c r="K103" s="13" t="s">
        <v>500</v>
      </c>
      <c r="L103" s="13">
        <v>74195.965</v>
      </c>
      <c r="M103" s="13">
        <v>74195.965</v>
      </c>
      <c r="N103" s="13">
        <v>0.0</v>
      </c>
      <c r="O103" s="13">
        <v>0.0</v>
      </c>
      <c r="P103" s="13">
        <v>74195.965</v>
      </c>
      <c r="Q103" s="13">
        <v>93561.111865</v>
      </c>
      <c r="R103" s="13">
        <v>93561.111865</v>
      </c>
      <c r="S103" s="13">
        <v>3818.82089244898</v>
      </c>
      <c r="T103" s="11">
        <f t="shared" si="43"/>
        <v>101187.7151</v>
      </c>
    </row>
    <row r="104">
      <c r="A104" s="1">
        <v>8348.80309621287</v>
      </c>
      <c r="B104" s="1">
        <v>8348.80309621287</v>
      </c>
      <c r="C104" s="6">
        <f t="shared" si="42"/>
        <v>0</v>
      </c>
      <c r="D104" s="1" t="s">
        <v>91</v>
      </c>
      <c r="I104" s="2"/>
      <c r="K104" s="13" t="s">
        <v>93</v>
      </c>
      <c r="L104" s="13">
        <v>36125.12</v>
      </c>
      <c r="M104" s="13">
        <v>56745.59</v>
      </c>
      <c r="N104" s="13">
        <v>0.0</v>
      </c>
      <c r="O104" s="13">
        <v>0.0</v>
      </c>
      <c r="P104" s="13">
        <v>56745.59</v>
      </c>
      <c r="Q104" s="13">
        <v>48724.5793583628</v>
      </c>
      <c r="R104" s="13">
        <v>64966.1058111504</v>
      </c>
      <c r="S104" s="13">
        <v>11464.6069078501</v>
      </c>
      <c r="T104" s="11">
        <f t="shared" si="43"/>
        <v>77389.06819</v>
      </c>
    </row>
    <row r="105">
      <c r="A105" s="1">
        <v>13798.0508627214</v>
      </c>
      <c r="B105" s="1">
        <v>13798.0508627214</v>
      </c>
      <c r="C105" s="6">
        <f t="shared" si="42"/>
        <v>0</v>
      </c>
      <c r="D105" s="1" t="s">
        <v>93</v>
      </c>
      <c r="I105" s="2"/>
      <c r="K105" s="13" t="s">
        <v>495</v>
      </c>
      <c r="L105" s="13">
        <v>40805.095</v>
      </c>
      <c r="M105" s="13">
        <v>51393.985</v>
      </c>
      <c r="N105" s="13">
        <v>0.0</v>
      </c>
      <c r="O105" s="13">
        <v>0.0</v>
      </c>
      <c r="P105" s="13">
        <v>51393.985</v>
      </c>
      <c r="Q105" s="13">
        <v>58898.2798132866</v>
      </c>
      <c r="R105" s="13">
        <v>58898.2798132866</v>
      </c>
      <c r="S105" s="13">
        <v>5609.35998221777</v>
      </c>
      <c r="T105" s="11">
        <f t="shared" si="43"/>
        <v>70090.6028</v>
      </c>
    </row>
    <row r="106">
      <c r="C106" s="6">
        <f>sum(C82:C105)</f>
        <v>101402.9921</v>
      </c>
      <c r="I106" s="2"/>
      <c r="K106" s="13" t="s">
        <v>501</v>
      </c>
      <c r="L106" s="13">
        <v>69173.555</v>
      </c>
      <c r="M106" s="13">
        <v>69173.555</v>
      </c>
      <c r="N106" s="13">
        <v>0.0</v>
      </c>
      <c r="O106" s="13">
        <v>0.0</v>
      </c>
      <c r="P106" s="13">
        <v>69173.555</v>
      </c>
      <c r="Q106" s="13">
        <v>87227.852855</v>
      </c>
      <c r="R106" s="13">
        <v>58151.9019033334</v>
      </c>
      <c r="S106" s="13">
        <v>12461.1218364286</v>
      </c>
      <c r="T106" s="11">
        <f t="shared" si="43"/>
        <v>94338.20257</v>
      </c>
    </row>
    <row r="107">
      <c r="C107" s="6">
        <f>C106/21.1</f>
        <v>4805.829009</v>
      </c>
      <c r="I107" s="2"/>
      <c r="K107" s="13" t="s">
        <v>496</v>
      </c>
      <c r="L107" s="13">
        <v>57131.42</v>
      </c>
      <c r="M107" s="13">
        <v>68992.12</v>
      </c>
      <c r="N107" s="13">
        <v>0.0</v>
      </c>
      <c r="O107" s="13">
        <v>0.0</v>
      </c>
      <c r="P107" s="13">
        <v>68992.12</v>
      </c>
      <c r="Q107" s="13">
        <v>80224.141711729</v>
      </c>
      <c r="R107" s="13">
        <v>53482.7611411527</v>
      </c>
      <c r="S107" s="13">
        <v>3413.79326432889</v>
      </c>
      <c r="T107" s="11">
        <f t="shared" si="43"/>
        <v>94090.76333</v>
      </c>
    </row>
    <row r="108">
      <c r="I108" s="2"/>
      <c r="K108" s="13" t="s">
        <v>499</v>
      </c>
      <c r="L108" s="13">
        <v>74195.965</v>
      </c>
      <c r="M108" s="13">
        <v>74195.965</v>
      </c>
      <c r="N108" s="13">
        <v>0.0</v>
      </c>
      <c r="O108" s="13">
        <v>0.0</v>
      </c>
      <c r="P108" s="13">
        <v>74195.965</v>
      </c>
      <c r="Q108" s="13">
        <v>93561.111865</v>
      </c>
      <c r="R108" s="13">
        <v>53463.4924942857</v>
      </c>
      <c r="S108" s="13">
        <v>8316.54327688889</v>
      </c>
      <c r="T108" s="11">
        <f t="shared" si="43"/>
        <v>101187.7151</v>
      </c>
    </row>
    <row r="109">
      <c r="I109" s="2"/>
      <c r="K109" s="13" t="s">
        <v>497</v>
      </c>
      <c r="L109" s="13">
        <v>26029.235</v>
      </c>
      <c r="M109" s="13">
        <v>33781.56</v>
      </c>
      <c r="N109" s="13">
        <v>0.0</v>
      </c>
      <c r="O109" s="13">
        <v>0.0</v>
      </c>
      <c r="P109" s="13">
        <v>33781.56</v>
      </c>
      <c r="Q109" s="13">
        <v>38344.2395637182</v>
      </c>
      <c r="R109" s="13">
        <v>38344.2395637182</v>
      </c>
      <c r="S109" s="13">
        <v>2473.82190733666</v>
      </c>
      <c r="T109" s="11">
        <f t="shared" si="43"/>
        <v>46070.95371</v>
      </c>
    </row>
    <row r="110">
      <c r="I110" s="2"/>
      <c r="K110" s="3"/>
      <c r="L110" s="4"/>
    </row>
    <row r="111">
      <c r="I111" s="2"/>
      <c r="K111" s="3"/>
      <c r="L111" s="4"/>
    </row>
    <row r="112">
      <c r="I112" s="2"/>
      <c r="K112" s="3"/>
      <c r="L112" s="4"/>
    </row>
    <row r="113">
      <c r="I113" s="2"/>
      <c r="K113" s="3"/>
      <c r="L113" s="4"/>
    </row>
    <row r="114">
      <c r="I114" s="2"/>
      <c r="K114" s="3"/>
      <c r="L114" s="4"/>
    </row>
    <row r="115">
      <c r="I115" s="2"/>
      <c r="K115" s="3"/>
      <c r="L115" s="4"/>
    </row>
    <row r="116">
      <c r="I116" s="2"/>
      <c r="K116" s="3"/>
      <c r="L116" s="4"/>
    </row>
    <row r="117">
      <c r="I117" s="2"/>
      <c r="K117" s="3"/>
      <c r="L117" s="4"/>
    </row>
    <row r="118">
      <c r="I118" s="2"/>
      <c r="K118" s="3"/>
      <c r="L118" s="4"/>
    </row>
  </sheetData>
  <autoFilter ref="$A$7:$U$57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f>1.3+6.078</f>
        <v>7.378</v>
      </c>
      <c r="I1" s="2"/>
      <c r="K1" s="3"/>
      <c r="L1" s="4"/>
    </row>
    <row r="2">
      <c r="A2" s="1" t="s">
        <v>1</v>
      </c>
      <c r="B2" s="5">
        <v>1.0</v>
      </c>
      <c r="I2" s="2"/>
      <c r="K2" s="3"/>
      <c r="L2" s="4"/>
    </row>
    <row r="3">
      <c r="A3" s="1" t="s">
        <v>2</v>
      </c>
      <c r="B3" s="19">
        <v>0.0</v>
      </c>
      <c r="I3" s="2"/>
      <c r="K3" s="3"/>
      <c r="L3" s="4"/>
    </row>
    <row r="4">
      <c r="A4" s="1" t="s">
        <v>3</v>
      </c>
      <c r="B4" s="1">
        <v>1.0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69</v>
      </c>
      <c r="U7" s="1" t="s">
        <v>70</v>
      </c>
    </row>
    <row r="8">
      <c r="B8" s="57" t="s">
        <v>505</v>
      </c>
      <c r="C8" s="1">
        <v>0.25</v>
      </c>
      <c r="D8" s="1">
        <v>10.0</v>
      </c>
      <c r="E8" s="1">
        <v>148260.0</v>
      </c>
      <c r="F8" s="1">
        <v>255255.0</v>
      </c>
      <c r="G8" s="1">
        <v>41115.0</v>
      </c>
      <c r="H8" s="1">
        <v>72930.0</v>
      </c>
      <c r="I8" s="5">
        <v>0.05</v>
      </c>
      <c r="J8" s="1">
        <v>4.0</v>
      </c>
      <c r="K8" s="7">
        <v>1.0</v>
      </c>
      <c r="L8" s="9">
        <f t="shared" ref="L8:L38" si="1">if(E8*($B$1+$I8)&lt;(F8+1),F8+1,E8*($I8+$B$1))</f>
        <v>1101275.28</v>
      </c>
      <c r="M8" s="10">
        <f t="shared" ref="M8:M38" si="2">F8*($B$1+$I8)</f>
        <v>1896034.14</v>
      </c>
      <c r="N8" s="9">
        <f t="shared" ref="N8:N38" si="3">if(if(G8*($B$1+$I8)&lt;(H8+1),H8+1,G8*($I8+$B$1))=1,0,if(G8*($B$1+$I8)&lt;(H8+1),H8+1,G8*($I8+$B$1)))</f>
        <v>305402.22</v>
      </c>
      <c r="O8" s="11">
        <f t="shared" ref="O8:O38" si="4">H8*($B$1+$I8)</f>
        <v>541724.04</v>
      </c>
      <c r="P8" s="11">
        <f t="shared" ref="P8:P38" si="5">M8+O8*K8*J8</f>
        <v>4062930.3</v>
      </c>
      <c r="Q8" s="11">
        <f t="shared" ref="Q8:Q38" si="6">(if($A8=1,$B$4,1)*((L8*E8+F8*M8)/(E8+F8)+if(G8&gt;0,(N8*G8+H8*O8)/(G8+H8)*J8*K8,0)))*(if($U8=0,1+$B$3,1))</f>
        <v>3430128.18</v>
      </c>
      <c r="R8" s="11">
        <f t="shared" ref="R8:R38" si="7">Q8/(C8+0.5*(1/(1+$B$5)))</f>
        <v>4573504.241</v>
      </c>
      <c r="S8" s="6" t="str">
        <f t="shared" ref="S8:S38" si="8">B8</f>
        <v>bloodflurry max</v>
      </c>
      <c r="T8" s="11">
        <f t="shared" ref="T8:T13" si="9">$Q8/(($C8+if($D8&lt;=$J8,$J8,$D8)))</f>
        <v>334646.6517</v>
      </c>
    </row>
    <row r="9">
      <c r="B9" s="68" t="s">
        <v>506</v>
      </c>
      <c r="C9" s="1">
        <v>5.0</v>
      </c>
      <c r="D9" s="1">
        <v>30.0</v>
      </c>
      <c r="E9" s="1">
        <v>802430.02</v>
      </c>
      <c r="F9" s="1">
        <v>1097980.1</v>
      </c>
      <c r="I9" s="5">
        <v>0.05</v>
      </c>
      <c r="K9" s="3"/>
      <c r="L9" s="9">
        <f t="shared" si="1"/>
        <v>5960450.189</v>
      </c>
      <c r="M9" s="10">
        <f t="shared" si="2"/>
        <v>8155796.183</v>
      </c>
      <c r="N9" s="9">
        <f t="shared" si="3"/>
        <v>0</v>
      </c>
      <c r="O9" s="11">
        <f t="shared" si="4"/>
        <v>0</v>
      </c>
      <c r="P9" s="11">
        <f t="shared" si="5"/>
        <v>8155796.183</v>
      </c>
      <c r="Q9" s="11">
        <f t="shared" si="6"/>
        <v>7228832.307</v>
      </c>
      <c r="R9" s="11">
        <f t="shared" si="7"/>
        <v>1314333.147</v>
      </c>
      <c r="S9" s="6" t="str">
        <f t="shared" si="8"/>
        <v>conceal chain</v>
      </c>
      <c r="T9" s="11">
        <f t="shared" si="9"/>
        <v>206538.0659</v>
      </c>
    </row>
    <row r="10">
      <c r="B10" s="68" t="s">
        <v>507</v>
      </c>
      <c r="C10" s="1">
        <v>0.25</v>
      </c>
      <c r="D10" s="1">
        <v>5.0</v>
      </c>
      <c r="E10" s="1">
        <v>30187.0</v>
      </c>
      <c r="F10" s="1">
        <v>47743.0</v>
      </c>
      <c r="G10" s="1">
        <v>14846.0</v>
      </c>
      <c r="H10" s="1">
        <v>23871.0</v>
      </c>
      <c r="I10" s="5">
        <v>0.05</v>
      </c>
      <c r="J10" s="1">
        <v>1.0</v>
      </c>
      <c r="K10" s="7">
        <v>1.0</v>
      </c>
      <c r="L10" s="9">
        <f t="shared" si="1"/>
        <v>224229.036</v>
      </c>
      <c r="M10" s="10">
        <f t="shared" si="2"/>
        <v>354635.004</v>
      </c>
      <c r="N10" s="9">
        <f t="shared" si="3"/>
        <v>110276.088</v>
      </c>
      <c r="O10" s="11">
        <f t="shared" si="4"/>
        <v>177313.788</v>
      </c>
      <c r="P10" s="11">
        <f t="shared" si="5"/>
        <v>531948.792</v>
      </c>
      <c r="Q10" s="11">
        <f t="shared" si="6"/>
        <v>455729.1295</v>
      </c>
      <c r="R10" s="11">
        <f t="shared" si="7"/>
        <v>607638.8394</v>
      </c>
      <c r="S10" s="6" t="str">
        <f t="shared" si="8"/>
        <v>ambush</v>
      </c>
      <c r="T10" s="11">
        <f t="shared" si="9"/>
        <v>86805.54848</v>
      </c>
    </row>
    <row r="11">
      <c r="B11" s="69" t="s">
        <v>508</v>
      </c>
      <c r="C11" s="1">
        <v>0.25</v>
      </c>
      <c r="D11" s="1">
        <v>5.0</v>
      </c>
      <c r="E11" s="1">
        <v>35677.0</v>
      </c>
      <c r="F11" s="1">
        <v>58195.0</v>
      </c>
      <c r="G11" s="1">
        <v>1244.0</v>
      </c>
      <c r="H11" s="1">
        <v>1244.0</v>
      </c>
      <c r="I11" s="5">
        <v>0.125</v>
      </c>
      <c r="J11" s="1">
        <v>4.0</v>
      </c>
      <c r="K11" s="7">
        <v>0.25</v>
      </c>
      <c r="L11" s="9">
        <f t="shared" si="1"/>
        <v>267684.531</v>
      </c>
      <c r="M11" s="10">
        <f t="shared" si="2"/>
        <v>436637.085</v>
      </c>
      <c r="N11" s="9">
        <f t="shared" si="3"/>
        <v>9333.732</v>
      </c>
      <c r="O11" s="11">
        <f t="shared" si="4"/>
        <v>9333.732</v>
      </c>
      <c r="P11" s="11">
        <f t="shared" si="5"/>
        <v>445970.817</v>
      </c>
      <c r="Q11" s="11">
        <f t="shared" si="6"/>
        <v>381758.6955</v>
      </c>
      <c r="R11" s="11">
        <f t="shared" si="7"/>
        <v>509011.594</v>
      </c>
      <c r="S11" s="6" t="str">
        <f t="shared" si="8"/>
        <v>quick strike</v>
      </c>
      <c r="T11" s="11">
        <f t="shared" si="9"/>
        <v>72715.942</v>
      </c>
    </row>
    <row r="12">
      <c r="B12" s="70" t="s">
        <v>509</v>
      </c>
      <c r="C12" s="1">
        <v>0.25</v>
      </c>
      <c r="D12" s="1">
        <v>10.0</v>
      </c>
      <c r="E12" s="1">
        <v>29652.0</v>
      </c>
      <c r="F12" s="1">
        <v>51051.0</v>
      </c>
      <c r="G12" s="1">
        <v>8223.0</v>
      </c>
      <c r="H12" s="1">
        <v>14586.0</v>
      </c>
      <c r="I12" s="5">
        <v>0.05</v>
      </c>
      <c r="J12" s="1">
        <v>4.0</v>
      </c>
      <c r="K12" s="7">
        <v>1.0</v>
      </c>
      <c r="L12" s="9">
        <f t="shared" si="1"/>
        <v>220255.056</v>
      </c>
      <c r="M12" s="10">
        <f t="shared" si="2"/>
        <v>379206.828</v>
      </c>
      <c r="N12" s="9">
        <f t="shared" si="3"/>
        <v>61080.444</v>
      </c>
      <c r="O12" s="11">
        <f t="shared" si="4"/>
        <v>108344.808</v>
      </c>
      <c r="P12" s="11">
        <f t="shared" si="5"/>
        <v>812586.06</v>
      </c>
      <c r="Q12" s="11">
        <f t="shared" si="6"/>
        <v>686025.6361</v>
      </c>
      <c r="R12" s="11">
        <f t="shared" si="7"/>
        <v>914700.8481</v>
      </c>
      <c r="S12" s="6" t="str">
        <f t="shared" si="8"/>
        <v>bloodflurry</v>
      </c>
      <c r="T12" s="11">
        <f t="shared" si="9"/>
        <v>66929.33035</v>
      </c>
    </row>
    <row r="13">
      <c r="B13" s="69" t="s">
        <v>510</v>
      </c>
      <c r="C13" s="1">
        <v>0.25</v>
      </c>
      <c r="D13" s="1">
        <v>15.0</v>
      </c>
      <c r="E13" s="1">
        <v>84430.0</v>
      </c>
      <c r="F13" s="1">
        <v>112053.0</v>
      </c>
      <c r="G13" s="1">
        <v>1677.0</v>
      </c>
      <c r="H13" s="1">
        <v>2795.0</v>
      </c>
      <c r="I13" s="5">
        <v>0.05</v>
      </c>
      <c r="J13" s="1">
        <v>15.0</v>
      </c>
      <c r="K13" s="7">
        <v>1.0</v>
      </c>
      <c r="L13" s="9">
        <f t="shared" si="1"/>
        <v>627146.04</v>
      </c>
      <c r="M13" s="10">
        <f t="shared" si="2"/>
        <v>832329.684</v>
      </c>
      <c r="N13" s="9">
        <f t="shared" si="3"/>
        <v>12456.756</v>
      </c>
      <c r="O13" s="11">
        <f t="shared" si="4"/>
        <v>20761.26</v>
      </c>
      <c r="P13" s="11">
        <f t="shared" si="5"/>
        <v>1143748.584</v>
      </c>
      <c r="Q13" s="11">
        <f t="shared" si="6"/>
        <v>1008867.027</v>
      </c>
      <c r="R13" s="11">
        <f t="shared" si="7"/>
        <v>1345156.036</v>
      </c>
      <c r="S13" s="6" t="str">
        <f t="shared" si="8"/>
        <v>Bleedout spam</v>
      </c>
      <c r="T13" s="11">
        <f t="shared" si="9"/>
        <v>66155.21487</v>
      </c>
    </row>
    <row r="14">
      <c r="B14" s="1" t="s">
        <v>511</v>
      </c>
      <c r="C14" s="1">
        <v>0.25</v>
      </c>
      <c r="D14" s="1">
        <v>5.0</v>
      </c>
      <c r="E14" s="1">
        <v>29397.0</v>
      </c>
      <c r="F14" s="1">
        <v>46750.0</v>
      </c>
      <c r="I14" s="5">
        <v>0.15</v>
      </c>
      <c r="K14" s="3"/>
      <c r="L14" s="9">
        <f t="shared" si="1"/>
        <v>221300.616</v>
      </c>
      <c r="M14" s="10">
        <f t="shared" si="2"/>
        <v>351934</v>
      </c>
      <c r="N14" s="9">
        <f t="shared" si="3"/>
        <v>0</v>
      </c>
      <c r="O14" s="11">
        <f t="shared" si="4"/>
        <v>0</v>
      </c>
      <c r="P14" s="11">
        <f t="shared" si="5"/>
        <v>351934</v>
      </c>
      <c r="Q14" s="11">
        <f t="shared" si="6"/>
        <v>301502.209</v>
      </c>
      <c r="R14" s="11">
        <f t="shared" si="7"/>
        <v>402002.9453</v>
      </c>
      <c r="S14" s="6" t="str">
        <f t="shared" si="8"/>
        <v>masked strike</v>
      </c>
      <c r="T14" s="11">
        <f t="shared" ref="T14:T15" si="10">$Q14/(($C14+$D14))</f>
        <v>57428.99219</v>
      </c>
    </row>
    <row r="15">
      <c r="B15" s="1" t="s">
        <v>512</v>
      </c>
      <c r="C15" s="1">
        <v>0.25</v>
      </c>
      <c r="D15" s="1">
        <v>15.0</v>
      </c>
      <c r="E15" s="1">
        <v>9582.0</v>
      </c>
      <c r="F15" s="1">
        <v>15407.0</v>
      </c>
      <c r="G15" s="1">
        <v>9582.0</v>
      </c>
      <c r="H15" s="1">
        <v>15407.0</v>
      </c>
      <c r="I15" s="19">
        <v>0.175</v>
      </c>
      <c r="J15" s="1">
        <v>7.0</v>
      </c>
      <c r="K15" s="7">
        <v>1.0</v>
      </c>
      <c r="L15" s="9">
        <f t="shared" si="1"/>
        <v>72372.846</v>
      </c>
      <c r="M15" s="10">
        <f t="shared" si="2"/>
        <v>116369.071</v>
      </c>
      <c r="N15" s="9">
        <f t="shared" si="3"/>
        <v>72372.846</v>
      </c>
      <c r="O15" s="11">
        <f t="shared" si="4"/>
        <v>116369.071</v>
      </c>
      <c r="P15" s="11">
        <f t="shared" si="5"/>
        <v>930952.568</v>
      </c>
      <c r="Q15" s="11">
        <f t="shared" si="6"/>
        <v>795990.1996</v>
      </c>
      <c r="R15" s="11">
        <f t="shared" si="7"/>
        <v>1061320.266</v>
      </c>
      <c r="S15" s="6" t="str">
        <f t="shared" si="8"/>
        <v>death mark</v>
      </c>
      <c r="T15" s="11">
        <f t="shared" si="10"/>
        <v>52196.07866</v>
      </c>
    </row>
    <row r="16">
      <c r="B16" s="71" t="s">
        <v>513</v>
      </c>
      <c r="C16" s="1">
        <v>0.25</v>
      </c>
      <c r="D16" s="1">
        <v>24.0</v>
      </c>
      <c r="E16" s="1">
        <v>84430.0</v>
      </c>
      <c r="F16" s="1">
        <v>112053.0</v>
      </c>
      <c r="G16" s="1">
        <v>1677.0</v>
      </c>
      <c r="H16" s="1">
        <v>2795.0</v>
      </c>
      <c r="I16" s="19">
        <v>0.05</v>
      </c>
      <c r="J16" s="14">
        <v>24.0</v>
      </c>
      <c r="K16" s="7">
        <v>1.0</v>
      </c>
      <c r="L16" s="9">
        <f t="shared" si="1"/>
        <v>627146.04</v>
      </c>
      <c r="M16" s="10">
        <f t="shared" si="2"/>
        <v>832329.684</v>
      </c>
      <c r="N16" s="9">
        <f t="shared" si="3"/>
        <v>12456.756</v>
      </c>
      <c r="O16" s="11">
        <f t="shared" si="4"/>
        <v>20761.26</v>
      </c>
      <c r="P16" s="11">
        <f t="shared" si="5"/>
        <v>1330599.924</v>
      </c>
      <c r="Q16" s="11">
        <f t="shared" si="6"/>
        <v>1167690.666</v>
      </c>
      <c r="R16" s="11">
        <f t="shared" si="7"/>
        <v>1556920.888</v>
      </c>
      <c r="S16" s="6" t="str">
        <f t="shared" si="8"/>
        <v>Bleedout Full dur</v>
      </c>
      <c r="T16" s="11">
        <f t="shared" ref="T16:T24" si="11">$Q16/(($C16+if($D16&lt;=$J16,$J16,$D16)))</f>
        <v>48152.1924</v>
      </c>
    </row>
    <row r="17">
      <c r="B17" s="1" t="s">
        <v>514</v>
      </c>
      <c r="C17" s="1">
        <v>0.25</v>
      </c>
      <c r="D17" s="1">
        <v>30.0</v>
      </c>
      <c r="E17" s="1">
        <v>120487.0</v>
      </c>
      <c r="F17" s="1">
        <v>186575.0</v>
      </c>
      <c r="I17" s="5">
        <v>0.05</v>
      </c>
      <c r="K17" s="3"/>
      <c r="L17" s="9">
        <f t="shared" si="1"/>
        <v>894977.436</v>
      </c>
      <c r="M17" s="10">
        <f t="shared" si="2"/>
        <v>1385879.1</v>
      </c>
      <c r="N17" s="9">
        <f t="shared" si="3"/>
        <v>0</v>
      </c>
      <c r="O17" s="11">
        <f t="shared" si="4"/>
        <v>0</v>
      </c>
      <c r="P17" s="11">
        <f t="shared" si="5"/>
        <v>1385879.1</v>
      </c>
      <c r="Q17" s="11">
        <f t="shared" si="6"/>
        <v>1193255.888</v>
      </c>
      <c r="R17" s="11">
        <f t="shared" si="7"/>
        <v>1591007.85</v>
      </c>
      <c r="S17" s="6" t="str">
        <f t="shared" si="8"/>
        <v>shadowstep</v>
      </c>
      <c r="T17" s="11">
        <f t="shared" si="11"/>
        <v>39446.47563</v>
      </c>
    </row>
    <row r="18">
      <c r="A18" s="1">
        <v>1.0</v>
      </c>
      <c r="B18" s="72" t="s">
        <v>515</v>
      </c>
      <c r="C18" s="1">
        <v>0.5</v>
      </c>
      <c r="D18" s="1">
        <v>15.0</v>
      </c>
      <c r="E18" s="1">
        <v>41370.0</v>
      </c>
      <c r="F18" s="1">
        <v>66893.0</v>
      </c>
      <c r="G18" s="1">
        <v>3272.0</v>
      </c>
      <c r="H18" s="1">
        <v>3272.0</v>
      </c>
      <c r="I18" s="5">
        <v>0.05</v>
      </c>
      <c r="J18" s="1">
        <v>12.0</v>
      </c>
      <c r="K18" s="7">
        <v>0.5</v>
      </c>
      <c r="L18" s="9">
        <f t="shared" si="1"/>
        <v>307296.36</v>
      </c>
      <c r="M18" s="10">
        <f t="shared" si="2"/>
        <v>496881.204</v>
      </c>
      <c r="N18" s="9">
        <f t="shared" si="3"/>
        <v>24304.416</v>
      </c>
      <c r="O18" s="11">
        <f t="shared" si="4"/>
        <v>24304.416</v>
      </c>
      <c r="P18" s="11">
        <f t="shared" si="5"/>
        <v>642707.7</v>
      </c>
      <c r="Q18" s="11">
        <f t="shared" si="6"/>
        <v>570262.5895</v>
      </c>
      <c r="R18" s="11">
        <f t="shared" si="7"/>
        <v>570262.5895</v>
      </c>
      <c r="S18" s="6" t="str">
        <f t="shared" si="8"/>
        <v>stealth assault</v>
      </c>
      <c r="T18" s="11">
        <f t="shared" si="11"/>
        <v>36791.13481</v>
      </c>
    </row>
    <row r="19">
      <c r="B19" s="71" t="s">
        <v>516</v>
      </c>
      <c r="C19" s="1">
        <v>0.25</v>
      </c>
      <c r="D19" s="1">
        <v>12.0</v>
      </c>
      <c r="E19" s="1">
        <v>35677.0</v>
      </c>
      <c r="F19" s="1">
        <v>58195.0</v>
      </c>
      <c r="G19" s="1">
        <v>1244.0</v>
      </c>
      <c r="H19" s="1">
        <v>1244.0</v>
      </c>
      <c r="I19" s="5">
        <v>0.125</v>
      </c>
      <c r="J19" s="1">
        <v>12.0</v>
      </c>
      <c r="K19" s="7">
        <v>0.25</v>
      </c>
      <c r="L19" s="9">
        <f t="shared" si="1"/>
        <v>267684.531</v>
      </c>
      <c r="M19" s="10">
        <f t="shared" si="2"/>
        <v>436637.085</v>
      </c>
      <c r="N19" s="9">
        <f t="shared" si="3"/>
        <v>9333.732</v>
      </c>
      <c r="O19" s="11">
        <f t="shared" si="4"/>
        <v>9333.732</v>
      </c>
      <c r="P19" s="11">
        <f t="shared" si="5"/>
        <v>464638.281</v>
      </c>
      <c r="Q19" s="11">
        <f t="shared" si="6"/>
        <v>400426.1595</v>
      </c>
      <c r="R19" s="11">
        <f t="shared" si="7"/>
        <v>533901.546</v>
      </c>
      <c r="S19" s="6" t="str">
        <f t="shared" si="8"/>
        <v>quick strike dur</v>
      </c>
      <c r="T19" s="11">
        <f t="shared" si="11"/>
        <v>32687.84976</v>
      </c>
    </row>
    <row r="20">
      <c r="B20" s="69" t="s">
        <v>155</v>
      </c>
      <c r="C20" s="1">
        <v>0.25</v>
      </c>
      <c r="D20" s="1">
        <v>14.0</v>
      </c>
      <c r="E20" s="1">
        <v>36481.0</v>
      </c>
      <c r="F20" s="1">
        <v>60088.0</v>
      </c>
      <c r="G20" s="1">
        <v>1356.0</v>
      </c>
      <c r="H20" s="1">
        <v>2260.0</v>
      </c>
      <c r="I20" s="5">
        <v>0.05</v>
      </c>
      <c r="J20" s="1">
        <v>14.0</v>
      </c>
      <c r="K20" s="7">
        <v>0.428571428571429</v>
      </c>
      <c r="L20" s="9">
        <f t="shared" si="1"/>
        <v>270980.868</v>
      </c>
      <c r="M20" s="10">
        <f t="shared" si="2"/>
        <v>446333.664</v>
      </c>
      <c r="N20" s="9">
        <f t="shared" si="3"/>
        <v>10072.368</v>
      </c>
      <c r="O20" s="11">
        <f t="shared" si="4"/>
        <v>16787.28</v>
      </c>
      <c r="P20" s="11">
        <f t="shared" si="5"/>
        <v>547057.344</v>
      </c>
      <c r="Q20" s="11">
        <f t="shared" si="6"/>
        <v>465705.5322</v>
      </c>
      <c r="R20" s="11">
        <f t="shared" si="7"/>
        <v>620940.7097</v>
      </c>
      <c r="S20" s="6" t="str">
        <f t="shared" si="8"/>
        <v>Impale</v>
      </c>
      <c r="T20" s="11">
        <f t="shared" si="11"/>
        <v>32681.08998</v>
      </c>
    </row>
    <row r="21">
      <c r="B21" s="68" t="s">
        <v>517</v>
      </c>
      <c r="C21" s="1">
        <v>0.25</v>
      </c>
      <c r="D21" s="1">
        <v>30.0</v>
      </c>
      <c r="E21" s="1">
        <v>55635.0</v>
      </c>
      <c r="F21" s="1">
        <v>86223.0</v>
      </c>
      <c r="G21" s="1">
        <v>27413.0</v>
      </c>
      <c r="H21" s="1">
        <v>44079.0</v>
      </c>
      <c r="I21" s="5">
        <v>0.05</v>
      </c>
      <c r="J21" s="1">
        <v>1.0</v>
      </c>
      <c r="K21" s="7">
        <v>1.0</v>
      </c>
      <c r="L21" s="9">
        <f t="shared" si="1"/>
        <v>413256.78</v>
      </c>
      <c r="M21" s="10">
        <f t="shared" si="2"/>
        <v>640464.444</v>
      </c>
      <c r="N21" s="9">
        <f t="shared" si="3"/>
        <v>203623.764</v>
      </c>
      <c r="O21" s="11">
        <f t="shared" si="4"/>
        <v>327418.812</v>
      </c>
      <c r="P21" s="11">
        <f t="shared" si="5"/>
        <v>967883.256</v>
      </c>
      <c r="Q21" s="11">
        <f t="shared" si="6"/>
        <v>831306.9858</v>
      </c>
      <c r="R21" s="11">
        <f t="shared" si="7"/>
        <v>1108409.314</v>
      </c>
      <c r="S21" s="6" t="str">
        <f t="shared" si="8"/>
        <v>eviscerate</v>
      </c>
      <c r="T21" s="11">
        <f t="shared" si="11"/>
        <v>27481.22267</v>
      </c>
    </row>
    <row r="22">
      <c r="B22" s="1" t="s">
        <v>321</v>
      </c>
      <c r="C22" s="1">
        <v>0.125</v>
      </c>
      <c r="D22" s="1">
        <v>10.0</v>
      </c>
      <c r="E22" s="1">
        <v>29749.0</v>
      </c>
      <c r="F22" s="1">
        <v>36359.0</v>
      </c>
      <c r="I22" s="5">
        <v>0.05</v>
      </c>
      <c r="K22" s="3"/>
      <c r="L22" s="9">
        <f t="shared" si="1"/>
        <v>220975.572</v>
      </c>
      <c r="M22" s="10">
        <f t="shared" si="2"/>
        <v>270074.652</v>
      </c>
      <c r="N22" s="9">
        <f t="shared" si="3"/>
        <v>0</v>
      </c>
      <c r="O22" s="11">
        <f t="shared" si="4"/>
        <v>0</v>
      </c>
      <c r="P22" s="11">
        <f t="shared" si="5"/>
        <v>270074.652</v>
      </c>
      <c r="Q22" s="11">
        <f t="shared" si="6"/>
        <v>247979.7689</v>
      </c>
      <c r="R22" s="11">
        <f t="shared" si="7"/>
        <v>396767.6303</v>
      </c>
      <c r="S22" s="6" t="str">
        <f t="shared" si="8"/>
        <v>evade</v>
      </c>
      <c r="T22" s="11">
        <f t="shared" si="11"/>
        <v>24491.82903</v>
      </c>
    </row>
    <row r="23">
      <c r="B23" s="68" t="s">
        <v>518</v>
      </c>
      <c r="C23" s="1">
        <v>0.25</v>
      </c>
      <c r="D23" s="1">
        <v>30.0</v>
      </c>
      <c r="E23" s="1">
        <v>46086.0</v>
      </c>
      <c r="F23" s="1">
        <v>72888.0</v>
      </c>
      <c r="G23" s="1">
        <v>22665.0</v>
      </c>
      <c r="H23" s="1">
        <v>36444.0</v>
      </c>
      <c r="I23" s="5">
        <v>0.05</v>
      </c>
      <c r="J23" s="1">
        <v>1.0</v>
      </c>
      <c r="K23" s="7">
        <v>1.0</v>
      </c>
      <c r="L23" s="9">
        <f t="shared" si="1"/>
        <v>342326.808</v>
      </c>
      <c r="M23" s="10">
        <f t="shared" si="2"/>
        <v>541412.064</v>
      </c>
      <c r="N23" s="9">
        <f t="shared" si="3"/>
        <v>168355.62</v>
      </c>
      <c r="O23" s="11">
        <f t="shared" si="4"/>
        <v>270706.032</v>
      </c>
      <c r="P23" s="11">
        <f t="shared" si="5"/>
        <v>812118.096</v>
      </c>
      <c r="Q23" s="11">
        <f t="shared" si="6"/>
        <v>695754.3778</v>
      </c>
      <c r="R23" s="11">
        <f t="shared" si="7"/>
        <v>927672.5037</v>
      </c>
      <c r="S23" s="6" t="str">
        <f t="shared" si="8"/>
        <v>jugular</v>
      </c>
      <c r="T23" s="11">
        <f t="shared" si="11"/>
        <v>23000.14472</v>
      </c>
    </row>
    <row r="24">
      <c r="B24" s="1" t="s">
        <v>519</v>
      </c>
      <c r="C24" s="1">
        <v>0.25</v>
      </c>
      <c r="D24" s="1">
        <v>22.5</v>
      </c>
      <c r="E24" s="1">
        <v>48433.0</v>
      </c>
      <c r="F24" s="1">
        <v>77878.0</v>
      </c>
      <c r="I24" s="5">
        <v>0.05</v>
      </c>
      <c r="K24" s="3"/>
      <c r="L24" s="9">
        <f t="shared" si="1"/>
        <v>359760.324</v>
      </c>
      <c r="M24" s="10">
        <f t="shared" si="2"/>
        <v>578477.784</v>
      </c>
      <c r="N24" s="9">
        <f t="shared" si="3"/>
        <v>0</v>
      </c>
      <c r="O24" s="11">
        <f t="shared" si="4"/>
        <v>0</v>
      </c>
      <c r="P24" s="11">
        <f t="shared" si="5"/>
        <v>578477.784</v>
      </c>
      <c r="Q24" s="11">
        <f t="shared" si="6"/>
        <v>494612.2241</v>
      </c>
      <c r="R24" s="11">
        <f t="shared" si="7"/>
        <v>659482.9654</v>
      </c>
      <c r="S24" s="6" t="str">
        <f t="shared" si="8"/>
        <v>death blow &lt;33%</v>
      </c>
      <c r="T24" s="11">
        <f t="shared" si="11"/>
        <v>21741.19666</v>
      </c>
      <c r="U24" s="11"/>
    </row>
    <row r="25">
      <c r="B25" s="1" t="s">
        <v>520</v>
      </c>
      <c r="C25" s="1">
        <v>0.25</v>
      </c>
      <c r="D25" s="1">
        <v>22.5</v>
      </c>
      <c r="E25" s="1">
        <v>48973.0</v>
      </c>
      <c r="F25" s="1">
        <v>68103.0</v>
      </c>
      <c r="I25" s="5">
        <v>0.05</v>
      </c>
      <c r="K25" s="3"/>
      <c r="L25" s="9">
        <f t="shared" si="1"/>
        <v>363771.444</v>
      </c>
      <c r="M25" s="10">
        <f t="shared" si="2"/>
        <v>505869.084</v>
      </c>
      <c r="N25" s="9">
        <f t="shared" si="3"/>
        <v>0</v>
      </c>
      <c r="O25" s="11">
        <f t="shared" si="4"/>
        <v>0</v>
      </c>
      <c r="P25" s="11">
        <f t="shared" si="5"/>
        <v>505869.084</v>
      </c>
      <c r="Q25" s="11">
        <f t="shared" si="6"/>
        <v>446429.5086</v>
      </c>
      <c r="R25" s="11">
        <f t="shared" si="7"/>
        <v>595239.3449</v>
      </c>
      <c r="S25" s="6" t="str">
        <f t="shared" si="8"/>
        <v>death blow</v>
      </c>
      <c r="T25" s="11">
        <f>$Q25/(($C25+$D25))</f>
        <v>19623.27511</v>
      </c>
    </row>
    <row r="26">
      <c r="B26" s="1" t="s">
        <v>40</v>
      </c>
      <c r="C26" s="1">
        <v>0.25</v>
      </c>
      <c r="D26" s="1">
        <v>30.0</v>
      </c>
      <c r="E26" s="1">
        <v>59840.0</v>
      </c>
      <c r="F26" s="1">
        <v>80411.0</v>
      </c>
      <c r="I26" s="5">
        <v>0.2</v>
      </c>
      <c r="K26" s="3"/>
      <c r="L26" s="9">
        <f t="shared" si="1"/>
        <v>453467.52</v>
      </c>
      <c r="M26" s="10">
        <f t="shared" si="2"/>
        <v>609354.558</v>
      </c>
      <c r="N26" s="9">
        <f t="shared" si="3"/>
        <v>0</v>
      </c>
      <c r="O26" s="11">
        <f t="shared" si="4"/>
        <v>0</v>
      </c>
      <c r="P26" s="11">
        <f t="shared" si="5"/>
        <v>609354.558</v>
      </c>
      <c r="Q26" s="11">
        <f t="shared" si="6"/>
        <v>542843.2294</v>
      </c>
      <c r="R26" s="11">
        <f t="shared" si="7"/>
        <v>723790.9725</v>
      </c>
      <c r="S26" s="6" t="str">
        <f t="shared" si="8"/>
        <v>master strike</v>
      </c>
      <c r="T26" s="11">
        <f t="shared" ref="T26:T36" si="12">$Q26/(($C26+if($D26&lt;=$J26,$J26,$D26)))</f>
        <v>17945.23072</v>
      </c>
      <c r="U26" s="11"/>
    </row>
    <row r="27">
      <c r="B27" s="1" t="s">
        <v>521</v>
      </c>
      <c r="C27" s="1">
        <v>0.25</v>
      </c>
      <c r="D27" s="1">
        <v>22.5</v>
      </c>
      <c r="E27" s="1">
        <v>34227.0</v>
      </c>
      <c r="F27" s="1">
        <v>49972.0</v>
      </c>
      <c r="I27" s="5">
        <v>0.05</v>
      </c>
      <c r="K27" s="3"/>
      <c r="L27" s="9">
        <f t="shared" si="1"/>
        <v>254238.156</v>
      </c>
      <c r="M27" s="10">
        <f t="shared" si="2"/>
        <v>371192.016</v>
      </c>
      <c r="N27" s="9">
        <f t="shared" si="3"/>
        <v>0</v>
      </c>
      <c r="O27" s="11">
        <f t="shared" si="4"/>
        <v>0</v>
      </c>
      <c r="P27" s="11">
        <f t="shared" si="5"/>
        <v>371192.016</v>
      </c>
      <c r="Q27" s="11">
        <f t="shared" si="6"/>
        <v>323650.124</v>
      </c>
      <c r="R27" s="11">
        <f t="shared" si="7"/>
        <v>431533.4986</v>
      </c>
      <c r="S27" s="6" t="str">
        <f t="shared" si="8"/>
        <v>touch nightshade</v>
      </c>
      <c r="T27" s="11">
        <f t="shared" si="12"/>
        <v>14226.37908</v>
      </c>
    </row>
    <row r="28">
      <c r="B28" s="68" t="s">
        <v>522</v>
      </c>
      <c r="C28" s="1">
        <v>0.25</v>
      </c>
      <c r="D28" s="1">
        <v>210.0</v>
      </c>
      <c r="E28" s="1">
        <v>165038.0</v>
      </c>
      <c r="F28" s="1">
        <v>239748.0</v>
      </c>
      <c r="G28" s="1">
        <v>122894.0</v>
      </c>
      <c r="H28" s="1">
        <v>197604.0</v>
      </c>
      <c r="I28" s="5">
        <v>0.11</v>
      </c>
      <c r="J28" s="1">
        <v>1.0</v>
      </c>
      <c r="K28" s="7">
        <v>1.0</v>
      </c>
      <c r="L28" s="9">
        <f t="shared" si="1"/>
        <v>1235804.544</v>
      </c>
      <c r="M28" s="10">
        <f t="shared" si="2"/>
        <v>1795233.024</v>
      </c>
      <c r="N28" s="9">
        <f t="shared" si="3"/>
        <v>920230.272</v>
      </c>
      <c r="O28" s="11">
        <f t="shared" si="4"/>
        <v>1479658.752</v>
      </c>
      <c r="P28" s="11">
        <f t="shared" si="5"/>
        <v>3274891.776</v>
      </c>
      <c r="Q28" s="11">
        <f t="shared" si="6"/>
        <v>2832292.281</v>
      </c>
      <c r="R28" s="11">
        <f t="shared" si="7"/>
        <v>3776389.708</v>
      </c>
      <c r="S28" s="6" t="str">
        <f t="shared" si="8"/>
        <v>assassinate</v>
      </c>
      <c r="T28" s="11">
        <f t="shared" si="12"/>
        <v>13471.06911</v>
      </c>
    </row>
    <row r="29">
      <c r="B29" s="18" t="s">
        <v>523</v>
      </c>
      <c r="C29" s="1">
        <v>0.0</v>
      </c>
      <c r="D29" s="1">
        <v>60.0</v>
      </c>
      <c r="E29" s="1">
        <v>4225.0</v>
      </c>
      <c r="F29" s="1">
        <v>7042.0</v>
      </c>
      <c r="G29" s="1">
        <v>4225.0</v>
      </c>
      <c r="H29" s="1">
        <v>7042.0</v>
      </c>
      <c r="I29" s="5">
        <v>0.05</v>
      </c>
      <c r="J29" s="1">
        <v>60.0</v>
      </c>
      <c r="K29" s="7">
        <v>0.25</v>
      </c>
      <c r="L29" s="9">
        <f t="shared" si="1"/>
        <v>31383.3</v>
      </c>
      <c r="M29" s="10">
        <f t="shared" si="2"/>
        <v>52307.976</v>
      </c>
      <c r="N29" s="9">
        <f t="shared" si="3"/>
        <v>31383.3</v>
      </c>
      <c r="O29" s="11">
        <f t="shared" si="4"/>
        <v>52307.976</v>
      </c>
      <c r="P29" s="11">
        <f t="shared" si="5"/>
        <v>836927.616</v>
      </c>
      <c r="Q29" s="11">
        <f t="shared" si="6"/>
        <v>711383.2743</v>
      </c>
      <c r="R29" s="11">
        <f t="shared" si="7"/>
        <v>1422766.549</v>
      </c>
      <c r="S29" s="6" t="str">
        <f t="shared" si="8"/>
        <v>carnage dot</v>
      </c>
      <c r="T29" s="11">
        <f t="shared" si="12"/>
        <v>11856.38791</v>
      </c>
    </row>
    <row r="30">
      <c r="A30" s="1">
        <v>1.0</v>
      </c>
      <c r="B30" s="54" t="s">
        <v>524</v>
      </c>
      <c r="C30" s="1">
        <v>0.75</v>
      </c>
      <c r="D30" s="1">
        <v>30.0</v>
      </c>
      <c r="E30" s="1">
        <v>29594.0</v>
      </c>
      <c r="F30" s="1">
        <v>47585.0</v>
      </c>
      <c r="I30" s="5">
        <v>0.05</v>
      </c>
      <c r="K30" s="3"/>
      <c r="L30" s="9">
        <f t="shared" si="1"/>
        <v>219824.232</v>
      </c>
      <c r="M30" s="10">
        <f t="shared" si="2"/>
        <v>353461.38</v>
      </c>
      <c r="N30" s="9">
        <f t="shared" si="3"/>
        <v>0</v>
      </c>
      <c r="O30" s="11">
        <f t="shared" si="4"/>
        <v>0</v>
      </c>
      <c r="P30" s="11">
        <f t="shared" si="5"/>
        <v>353461.38</v>
      </c>
      <c r="Q30" s="11">
        <f t="shared" si="6"/>
        <v>302218.7135</v>
      </c>
      <c r="R30" s="11">
        <f t="shared" si="7"/>
        <v>241774.9708</v>
      </c>
      <c r="S30" s="6" t="str">
        <f t="shared" si="8"/>
        <v>massacre</v>
      </c>
      <c r="T30" s="11">
        <f t="shared" si="12"/>
        <v>9828.250845</v>
      </c>
    </row>
    <row r="31">
      <c r="B31" s="1" t="s">
        <v>525</v>
      </c>
      <c r="C31" s="1">
        <v>0.25</v>
      </c>
      <c r="D31" s="1">
        <v>30.0</v>
      </c>
      <c r="E31" s="1">
        <v>28218.0</v>
      </c>
      <c r="F31" s="1">
        <v>45373.0</v>
      </c>
      <c r="I31" s="5">
        <v>0.05</v>
      </c>
      <c r="K31" s="3"/>
      <c r="L31" s="9">
        <f t="shared" si="1"/>
        <v>209603.304</v>
      </c>
      <c r="M31" s="10">
        <f t="shared" si="2"/>
        <v>337030.644</v>
      </c>
      <c r="N31" s="9">
        <f t="shared" si="3"/>
        <v>0</v>
      </c>
      <c r="O31" s="11">
        <f t="shared" si="4"/>
        <v>0</v>
      </c>
      <c r="P31" s="11">
        <f t="shared" si="5"/>
        <v>337030.644</v>
      </c>
      <c r="Q31" s="11">
        <f t="shared" si="6"/>
        <v>288169.4425</v>
      </c>
      <c r="R31" s="11">
        <f t="shared" si="7"/>
        <v>384225.9233</v>
      </c>
      <c r="S31" s="6" t="str">
        <f t="shared" si="8"/>
        <v>paralyzing strike</v>
      </c>
      <c r="T31" s="11">
        <f t="shared" si="12"/>
        <v>9526.262562</v>
      </c>
    </row>
    <row r="32">
      <c r="B32" s="1" t="s">
        <v>526</v>
      </c>
      <c r="C32" s="1">
        <v>0.25</v>
      </c>
      <c r="D32" s="1">
        <v>30.0</v>
      </c>
      <c r="E32" s="1">
        <v>28048.0</v>
      </c>
      <c r="F32" s="1">
        <v>45099.0</v>
      </c>
      <c r="I32" s="5">
        <v>0.05</v>
      </c>
      <c r="K32" s="3"/>
      <c r="L32" s="9">
        <f t="shared" si="1"/>
        <v>208340.544</v>
      </c>
      <c r="M32" s="10">
        <f t="shared" si="2"/>
        <v>334995.372</v>
      </c>
      <c r="N32" s="9">
        <f t="shared" si="3"/>
        <v>0</v>
      </c>
      <c r="O32" s="11">
        <f t="shared" si="4"/>
        <v>0</v>
      </c>
      <c r="P32" s="11">
        <f t="shared" si="5"/>
        <v>334995.372</v>
      </c>
      <c r="Q32" s="11">
        <f t="shared" si="6"/>
        <v>286429.9542</v>
      </c>
      <c r="R32" s="11">
        <f t="shared" si="7"/>
        <v>381906.6056</v>
      </c>
      <c r="S32" s="6" t="str">
        <f t="shared" si="8"/>
        <v>crippling strike</v>
      </c>
      <c r="T32" s="11">
        <f t="shared" si="12"/>
        <v>9468.758817</v>
      </c>
    </row>
    <row r="33">
      <c r="B33" s="68" t="s">
        <v>527</v>
      </c>
      <c r="C33" s="1">
        <v>0.25</v>
      </c>
      <c r="D33" s="1">
        <v>90.0</v>
      </c>
      <c r="E33" s="1">
        <v>82135.0</v>
      </c>
      <c r="F33" s="1">
        <v>130302.0</v>
      </c>
      <c r="I33" s="5">
        <v>0.125</v>
      </c>
      <c r="K33" s="3"/>
      <c r="L33" s="9">
        <f t="shared" si="1"/>
        <v>616258.905</v>
      </c>
      <c r="M33" s="10">
        <f t="shared" si="2"/>
        <v>977655.906</v>
      </c>
      <c r="N33" s="9">
        <f t="shared" si="3"/>
        <v>0</v>
      </c>
      <c r="O33" s="11">
        <f t="shared" si="4"/>
        <v>0</v>
      </c>
      <c r="P33" s="11">
        <f t="shared" si="5"/>
        <v>977655.906</v>
      </c>
      <c r="Q33" s="11">
        <f t="shared" si="6"/>
        <v>837928.1624</v>
      </c>
      <c r="R33" s="11">
        <f t="shared" si="7"/>
        <v>1117237.55</v>
      </c>
      <c r="S33" s="6" t="str">
        <f t="shared" si="8"/>
        <v>mortal blade</v>
      </c>
      <c r="T33" s="11">
        <f t="shared" si="12"/>
        <v>9284.522575</v>
      </c>
    </row>
    <row r="34">
      <c r="B34" s="1" t="s">
        <v>528</v>
      </c>
      <c r="C34" s="1">
        <v>0.25</v>
      </c>
      <c r="D34" s="1">
        <v>10.0</v>
      </c>
      <c r="E34" s="1">
        <v>5850.0</v>
      </c>
      <c r="F34" s="1">
        <v>9245.0</v>
      </c>
      <c r="G34" s="1">
        <v>2876.0</v>
      </c>
      <c r="H34" s="1">
        <v>4622.0</v>
      </c>
      <c r="I34" s="5">
        <v>0.05</v>
      </c>
      <c r="J34" s="1">
        <v>1.0</v>
      </c>
      <c r="K34" s="7">
        <v>1.0</v>
      </c>
      <c r="L34" s="9">
        <f t="shared" si="1"/>
        <v>43453.8</v>
      </c>
      <c r="M34" s="10">
        <f t="shared" si="2"/>
        <v>68671.86</v>
      </c>
      <c r="N34" s="9">
        <f t="shared" si="3"/>
        <v>21362.928</v>
      </c>
      <c r="O34" s="11">
        <f t="shared" si="4"/>
        <v>34332.216</v>
      </c>
      <c r="P34" s="11">
        <f t="shared" si="5"/>
        <v>103004.076</v>
      </c>
      <c r="Q34" s="11">
        <f t="shared" si="6"/>
        <v>88256.31299</v>
      </c>
      <c r="R34" s="11">
        <f t="shared" si="7"/>
        <v>117675.084</v>
      </c>
      <c r="S34" s="6" t="str">
        <f t="shared" si="8"/>
        <v>deadly shot</v>
      </c>
      <c r="T34" s="11">
        <f t="shared" si="12"/>
        <v>8610.371999</v>
      </c>
    </row>
    <row r="35">
      <c r="B35" s="1" t="s">
        <v>529</v>
      </c>
      <c r="C35" s="1">
        <v>0.25</v>
      </c>
      <c r="D35" s="1">
        <v>30.0</v>
      </c>
      <c r="E35" s="1">
        <v>22410.0</v>
      </c>
      <c r="F35" s="1">
        <v>32719.0</v>
      </c>
      <c r="I35" s="19">
        <v>0.05</v>
      </c>
      <c r="J35" s="2"/>
      <c r="K35" s="3"/>
      <c r="L35" s="9">
        <f t="shared" si="1"/>
        <v>166461.48</v>
      </c>
      <c r="M35" s="10">
        <f t="shared" si="2"/>
        <v>243036.732</v>
      </c>
      <c r="N35" s="9">
        <f t="shared" si="3"/>
        <v>0</v>
      </c>
      <c r="O35" s="11">
        <f t="shared" si="4"/>
        <v>0</v>
      </c>
      <c r="P35" s="11">
        <f t="shared" si="5"/>
        <v>243036.732</v>
      </c>
      <c r="Q35" s="11">
        <f t="shared" si="6"/>
        <v>211908.8066</v>
      </c>
      <c r="R35" s="11">
        <f t="shared" si="7"/>
        <v>282545.0755</v>
      </c>
      <c r="S35" s="6" t="str">
        <f t="shared" si="8"/>
        <v>evasive</v>
      </c>
      <c r="T35" s="11">
        <f t="shared" si="12"/>
        <v>7005.249806</v>
      </c>
      <c r="U35" s="11"/>
    </row>
    <row r="36">
      <c r="B36" s="1" t="s">
        <v>34</v>
      </c>
      <c r="C36" s="1">
        <v>0.25</v>
      </c>
      <c r="D36" s="1">
        <v>90.0</v>
      </c>
      <c r="E36" s="1">
        <v>38712.0</v>
      </c>
      <c r="F36" s="1">
        <v>71894.0</v>
      </c>
      <c r="I36" s="2"/>
      <c r="K36" s="3"/>
      <c r="L36" s="9">
        <f t="shared" si="1"/>
        <v>285617.136</v>
      </c>
      <c r="M36" s="10">
        <f t="shared" si="2"/>
        <v>530433.932</v>
      </c>
      <c r="N36" s="9">
        <f t="shared" si="3"/>
        <v>0</v>
      </c>
      <c r="O36" s="11">
        <f t="shared" si="4"/>
        <v>0</v>
      </c>
      <c r="P36" s="11">
        <f t="shared" si="5"/>
        <v>530433.932</v>
      </c>
      <c r="Q36" s="11">
        <f t="shared" si="6"/>
        <v>444748.2747</v>
      </c>
      <c r="R36" s="11">
        <f t="shared" si="7"/>
        <v>592997.6997</v>
      </c>
      <c r="S36" s="6" t="str">
        <f t="shared" si="8"/>
        <v>smoke bomb</v>
      </c>
      <c r="T36" s="11">
        <f t="shared" si="12"/>
        <v>4927.958723</v>
      </c>
    </row>
    <row r="37">
      <c r="B37" s="1" t="s">
        <v>530</v>
      </c>
      <c r="C37" s="1">
        <v>0.75</v>
      </c>
      <c r="D37" s="1">
        <v>30.0</v>
      </c>
      <c r="E37" s="1">
        <v>35810.0</v>
      </c>
      <c r="F37" s="1">
        <v>57543.0</v>
      </c>
      <c r="I37" s="5">
        <v>0.05</v>
      </c>
      <c r="K37" s="3"/>
      <c r="L37" s="9">
        <f t="shared" si="1"/>
        <v>265996.68</v>
      </c>
      <c r="M37" s="10">
        <f t="shared" si="2"/>
        <v>427429.404</v>
      </c>
      <c r="N37" s="9">
        <f t="shared" si="3"/>
        <v>0</v>
      </c>
      <c r="O37" s="11">
        <f t="shared" si="4"/>
        <v>0</v>
      </c>
      <c r="P37" s="11">
        <f t="shared" si="5"/>
        <v>427429.404</v>
      </c>
      <c r="Q37" s="11">
        <f t="shared" si="6"/>
        <v>365504.1756</v>
      </c>
      <c r="R37" s="11">
        <f t="shared" si="7"/>
        <v>292403.3405</v>
      </c>
      <c r="S37" s="6" t="str">
        <f t="shared" si="8"/>
        <v>spine shot</v>
      </c>
      <c r="T37" s="11">
        <f t="shared" ref="T37:T38" si="13">$Q37/(($C37+if($E37&lt;=$J37,$J37,$E37)))</f>
        <v>10.20654903</v>
      </c>
    </row>
    <row r="38">
      <c r="B38" s="1" t="s">
        <v>531</v>
      </c>
      <c r="C38" s="1">
        <v>1.125</v>
      </c>
      <c r="D38" s="1">
        <v>30.0</v>
      </c>
      <c r="E38" s="1">
        <v>34353.0</v>
      </c>
      <c r="F38" s="1">
        <v>55202.0</v>
      </c>
      <c r="I38" s="5">
        <v>0.05</v>
      </c>
      <c r="K38" s="3"/>
      <c r="L38" s="9">
        <f t="shared" si="1"/>
        <v>255174.084</v>
      </c>
      <c r="M38" s="10">
        <f t="shared" si="2"/>
        <v>410040.456</v>
      </c>
      <c r="N38" s="9">
        <f t="shared" si="3"/>
        <v>0</v>
      </c>
      <c r="O38" s="11">
        <f t="shared" si="4"/>
        <v>0</v>
      </c>
      <c r="P38" s="11">
        <f t="shared" si="5"/>
        <v>410040.456</v>
      </c>
      <c r="Q38" s="11">
        <f t="shared" si="6"/>
        <v>350634.231</v>
      </c>
      <c r="R38" s="11">
        <f t="shared" si="7"/>
        <v>215774.9114</v>
      </c>
      <c r="S38" s="6" t="str">
        <f t="shared" si="8"/>
        <v>head shot</v>
      </c>
      <c r="T38" s="11">
        <f t="shared" si="13"/>
        <v>10.20646665</v>
      </c>
    </row>
    <row r="39">
      <c r="I39" s="2"/>
      <c r="K39" s="3"/>
      <c r="L39" s="9"/>
      <c r="M39" s="10"/>
      <c r="N39" s="9"/>
      <c r="O39" s="11"/>
      <c r="P39" s="11"/>
      <c r="Q39" s="11"/>
      <c r="R39" s="11"/>
      <c r="T39" s="11"/>
    </row>
    <row r="40">
      <c r="I40" s="2"/>
      <c r="K40" s="3"/>
      <c r="L40" s="9"/>
      <c r="M40" s="10"/>
      <c r="N40" s="9"/>
      <c r="O40" s="11"/>
      <c r="P40" s="11"/>
      <c r="Q40" s="11"/>
      <c r="R40" s="11"/>
      <c r="T40" s="11"/>
    </row>
    <row r="41">
      <c r="I41" s="2"/>
      <c r="K41" s="3"/>
      <c r="L41" s="9"/>
      <c r="M41" s="10"/>
      <c r="N41" s="9"/>
      <c r="O41" s="11"/>
      <c r="P41" s="11"/>
      <c r="Q41" s="11"/>
      <c r="R41" s="11"/>
      <c r="T41" s="11"/>
    </row>
    <row r="42">
      <c r="I42" s="2"/>
      <c r="K42" s="3"/>
      <c r="L42" s="9"/>
      <c r="M42" s="10"/>
      <c r="N42" s="9"/>
      <c r="O42" s="11"/>
      <c r="P42" s="11"/>
      <c r="Q42" s="11"/>
      <c r="R42" s="11"/>
      <c r="T42" s="11"/>
    </row>
    <row r="43">
      <c r="I43" s="2"/>
      <c r="K43" s="3"/>
      <c r="L43" s="9"/>
      <c r="M43" s="10"/>
      <c r="N43" s="9"/>
      <c r="O43" s="11"/>
      <c r="P43" s="11"/>
      <c r="Q43" s="11"/>
      <c r="R43" s="11"/>
      <c r="T43" s="11"/>
    </row>
    <row r="44">
      <c r="I44" s="2"/>
      <c r="K44" s="3"/>
      <c r="L44" s="9"/>
      <c r="M44" s="10"/>
      <c r="N44" s="9"/>
      <c r="O44" s="11"/>
      <c r="P44" s="11"/>
      <c r="Q44" s="11"/>
      <c r="R44" s="11"/>
      <c r="T44" s="11"/>
    </row>
    <row r="45">
      <c r="I45" s="2"/>
      <c r="K45" s="3"/>
      <c r="L45" s="9"/>
      <c r="M45" s="10"/>
      <c r="N45" s="9"/>
      <c r="O45" s="11"/>
      <c r="P45" s="11"/>
      <c r="Q45" s="11"/>
      <c r="R45" s="11"/>
      <c r="T45" s="11"/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B51" s="1" t="s">
        <v>74</v>
      </c>
      <c r="F51" s="6">
        <f t="shared" ref="F51:G51" si="14">E25</f>
        <v>48973</v>
      </c>
      <c r="G51" s="6">
        <f t="shared" si="14"/>
        <v>68103</v>
      </c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B52" s="1" t="s">
        <v>73</v>
      </c>
      <c r="E52" s="1">
        <v>1.0</v>
      </c>
      <c r="F52" s="6">
        <f t="shared" ref="F52:G52" si="15">F$51*0.85^($E52-1)</f>
        <v>48973</v>
      </c>
      <c r="G52" s="6">
        <f t="shared" si="15"/>
        <v>68103</v>
      </c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B53" s="1" t="s">
        <v>75</v>
      </c>
      <c r="D53" s="6">
        <f>E52+1</f>
        <v>2</v>
      </c>
      <c r="E53" s="6">
        <f t="shared" ref="E53:F53" si="16">F$51*0.85^($D53-1)</f>
        <v>41627.05</v>
      </c>
      <c r="F53" s="6">
        <f t="shared" si="16"/>
        <v>57887.55</v>
      </c>
      <c r="I53" s="6" t="str">
        <f t="shared" ref="I53:I69" si="18">B8</f>
        <v>bloodflurry max</v>
      </c>
      <c r="J53" s="6">
        <f t="shared" ref="J53:J69" si="19">(C8+0.27)*K53</f>
        <v>1.56</v>
      </c>
      <c r="K53" s="1">
        <v>3.0</v>
      </c>
      <c r="L53" s="11">
        <f t="shared" ref="L53:L69" si="20">Q8*K53</f>
        <v>10290384.54</v>
      </c>
      <c r="N53" s="11"/>
      <c r="O53" s="11"/>
      <c r="P53" s="13">
        <v>1560.0</v>
      </c>
      <c r="Q53" s="2">
        <f>0.16*2+1</f>
        <v>1.32</v>
      </c>
      <c r="R53" s="2">
        <f>0.15*2+1</f>
        <v>1.3</v>
      </c>
      <c r="S53" s="49">
        <f>Q53*R53</f>
        <v>1.716</v>
      </c>
      <c r="T53" s="11"/>
    </row>
    <row r="54">
      <c r="B54" s="1" t="s">
        <v>79</v>
      </c>
      <c r="D54" s="6">
        <f t="shared" ref="D54:D71" si="21">D53+1</f>
        <v>3</v>
      </c>
      <c r="E54" s="6">
        <f t="shared" ref="E54:F54" si="17">F$51*0.85^($D54-1)</f>
        <v>35382.9925</v>
      </c>
      <c r="F54" s="6">
        <f t="shared" si="17"/>
        <v>49204.4175</v>
      </c>
      <c r="I54" s="6" t="str">
        <f t="shared" si="18"/>
        <v>conceal chain</v>
      </c>
      <c r="J54" s="6">
        <f t="shared" si="19"/>
        <v>26.35</v>
      </c>
      <c r="K54" s="1">
        <v>5.0</v>
      </c>
      <c r="L54" s="11">
        <f t="shared" si="20"/>
        <v>36144161.54</v>
      </c>
      <c r="N54" s="11"/>
      <c r="O54" s="11"/>
      <c r="P54" s="11"/>
      <c r="Q54" s="11"/>
      <c r="R54" s="11"/>
      <c r="T54" s="11"/>
    </row>
    <row r="55">
      <c r="B55" s="1" t="s">
        <v>76</v>
      </c>
      <c r="D55" s="6">
        <f t="shared" si="21"/>
        <v>4</v>
      </c>
      <c r="E55" s="6">
        <f t="shared" ref="E55:F55" si="22">F$51*0.85^($D55-1)</f>
        <v>30075.54363</v>
      </c>
      <c r="F55" s="6">
        <f t="shared" si="22"/>
        <v>41823.75488</v>
      </c>
      <c r="I55" s="6" t="str">
        <f t="shared" si="18"/>
        <v>ambush</v>
      </c>
      <c r="J55" s="6">
        <f t="shared" si="19"/>
        <v>0.52</v>
      </c>
      <c r="K55" s="1">
        <v>1.0</v>
      </c>
      <c r="L55" s="11">
        <f t="shared" si="20"/>
        <v>455729.1295</v>
      </c>
      <c r="N55" s="11"/>
      <c r="O55" s="11"/>
      <c r="P55" s="11"/>
      <c r="Q55" s="11"/>
      <c r="R55" s="11"/>
      <c r="T55" s="11"/>
    </row>
    <row r="56">
      <c r="B56" s="1" t="s">
        <v>77</v>
      </c>
      <c r="D56" s="6">
        <f t="shared" si="21"/>
        <v>5</v>
      </c>
      <c r="E56" s="6">
        <f t="shared" ref="E56:F56" si="23">F$51*0.85^($D56-1)</f>
        <v>25564.21208</v>
      </c>
      <c r="F56" s="6">
        <f t="shared" si="23"/>
        <v>35550.19164</v>
      </c>
      <c r="I56" s="6" t="str">
        <f t="shared" si="18"/>
        <v>quick strike</v>
      </c>
      <c r="J56" s="6">
        <f t="shared" si="19"/>
        <v>3.64</v>
      </c>
      <c r="K56" s="1">
        <v>7.0</v>
      </c>
      <c r="L56" s="11">
        <f t="shared" si="20"/>
        <v>2672310.869</v>
      </c>
      <c r="N56" s="11"/>
      <c r="O56" s="11"/>
      <c r="P56" s="11"/>
      <c r="Q56" s="11"/>
      <c r="R56" s="11"/>
      <c r="T56" s="11"/>
    </row>
    <row r="57">
      <c r="B57" s="1" t="s">
        <v>82</v>
      </c>
      <c r="D57" s="6">
        <f t="shared" si="21"/>
        <v>6</v>
      </c>
      <c r="E57" s="6">
        <f t="shared" ref="E57:F57" si="24">F$51*0.85^($D57-1)</f>
        <v>21729.58027</v>
      </c>
      <c r="F57" s="6">
        <f t="shared" si="24"/>
        <v>30217.6629</v>
      </c>
      <c r="I57" s="6" t="str">
        <f t="shared" si="18"/>
        <v>bloodflurry</v>
      </c>
      <c r="J57" s="6">
        <f t="shared" si="19"/>
        <v>5.72</v>
      </c>
      <c r="K57" s="1">
        <v>11.0</v>
      </c>
      <c r="L57" s="11">
        <f t="shared" si="20"/>
        <v>7546281.997</v>
      </c>
      <c r="N57" s="11"/>
      <c r="O57" s="11"/>
      <c r="P57" s="11"/>
      <c r="Q57" s="11"/>
      <c r="R57" s="11"/>
      <c r="T57" s="11"/>
    </row>
    <row r="58">
      <c r="B58" s="1" t="s">
        <v>84</v>
      </c>
      <c r="D58" s="6">
        <f t="shared" si="21"/>
        <v>7</v>
      </c>
      <c r="E58" s="6">
        <f t="shared" ref="E58:F58" si="25">F$51*0.85^($D58-1)</f>
        <v>18470.14323</v>
      </c>
      <c r="F58" s="6">
        <f t="shared" si="25"/>
        <v>25685.01346</v>
      </c>
      <c r="I58" s="6" t="str">
        <f t="shared" si="18"/>
        <v>Bleedout spam</v>
      </c>
      <c r="J58" s="6">
        <f t="shared" si="19"/>
        <v>2.08</v>
      </c>
      <c r="K58" s="1">
        <v>4.0</v>
      </c>
      <c r="L58" s="11">
        <f t="shared" si="20"/>
        <v>4035468.107</v>
      </c>
      <c r="N58" s="11"/>
      <c r="O58" s="11"/>
      <c r="P58" s="11"/>
      <c r="Q58" s="11"/>
      <c r="R58" s="11"/>
      <c r="T58" s="11"/>
    </row>
    <row r="59">
      <c r="B59" s="1" t="s">
        <v>81</v>
      </c>
      <c r="D59" s="6">
        <f t="shared" si="21"/>
        <v>8</v>
      </c>
      <c r="E59" s="6">
        <f t="shared" ref="E59:F59" si="26">F$51*0.85^($D59-1)</f>
        <v>15699.62174</v>
      </c>
      <c r="F59" s="6">
        <f t="shared" si="26"/>
        <v>21832.26144</v>
      </c>
      <c r="I59" s="6" t="str">
        <f t="shared" si="18"/>
        <v>masked strike</v>
      </c>
      <c r="J59" s="6">
        <f t="shared" si="19"/>
        <v>1.04</v>
      </c>
      <c r="K59" s="1">
        <v>2.0</v>
      </c>
      <c r="L59" s="11">
        <f t="shared" si="20"/>
        <v>603004.418</v>
      </c>
      <c r="N59" s="11"/>
      <c r="O59" s="11"/>
      <c r="P59" s="11"/>
      <c r="Q59" s="11"/>
      <c r="R59" s="11"/>
      <c r="T59" s="11"/>
    </row>
    <row r="60">
      <c r="B60" s="1" t="s">
        <v>89</v>
      </c>
      <c r="D60" s="6">
        <f t="shared" si="21"/>
        <v>9</v>
      </c>
      <c r="E60" s="6">
        <f t="shared" ref="E60:F60" si="27">F$51*0.85^($D60-1)</f>
        <v>13344.67848</v>
      </c>
      <c r="F60" s="6">
        <f t="shared" si="27"/>
        <v>18557.42223</v>
      </c>
      <c r="I60" s="6" t="str">
        <f t="shared" si="18"/>
        <v>death mark</v>
      </c>
      <c r="J60" s="6">
        <f t="shared" si="19"/>
        <v>2.6</v>
      </c>
      <c r="K60" s="1">
        <v>5.0</v>
      </c>
      <c r="L60" s="11">
        <f t="shared" si="20"/>
        <v>3979950.998</v>
      </c>
      <c r="N60" s="11"/>
      <c r="O60" s="11"/>
      <c r="P60" s="11"/>
      <c r="Q60" s="11"/>
      <c r="R60" s="11"/>
      <c r="T60" s="11"/>
    </row>
    <row r="61">
      <c r="B61" s="1" t="s">
        <v>88</v>
      </c>
      <c r="D61" s="6">
        <f t="shared" si="21"/>
        <v>10</v>
      </c>
      <c r="E61" s="6">
        <f t="shared" ref="E61:F61" si="28">F$51*0.85^($D61-1)</f>
        <v>11342.97671</v>
      </c>
      <c r="F61" s="6">
        <f t="shared" si="28"/>
        <v>15773.80889</v>
      </c>
      <c r="I61" s="6" t="str">
        <f t="shared" si="18"/>
        <v>Bleedout Full dur</v>
      </c>
      <c r="J61" s="6">
        <f t="shared" si="19"/>
        <v>4.68</v>
      </c>
      <c r="K61" s="1">
        <v>9.0</v>
      </c>
      <c r="L61" s="11">
        <f t="shared" si="20"/>
        <v>10509215.99</v>
      </c>
      <c r="N61" s="11"/>
      <c r="O61" s="11"/>
      <c r="P61" s="11"/>
      <c r="Q61" s="11"/>
      <c r="R61" s="11"/>
      <c r="T61" s="11"/>
    </row>
    <row r="62">
      <c r="B62" s="1" t="s">
        <v>85</v>
      </c>
      <c r="D62" s="6">
        <f t="shared" si="21"/>
        <v>11</v>
      </c>
      <c r="E62" s="6">
        <f t="shared" ref="E62:F62" si="29">F$51*0.85^($D62-1)</f>
        <v>9641.530204</v>
      </c>
      <c r="F62" s="6">
        <f t="shared" si="29"/>
        <v>13407.73756</v>
      </c>
      <c r="I62" s="6" t="str">
        <f t="shared" si="18"/>
        <v>shadowstep</v>
      </c>
      <c r="J62" s="6">
        <f t="shared" si="19"/>
        <v>1.04</v>
      </c>
      <c r="K62" s="1">
        <v>2.0</v>
      </c>
      <c r="L62" s="11">
        <f t="shared" si="20"/>
        <v>2386511.776</v>
      </c>
      <c r="N62" s="11"/>
      <c r="O62" s="11"/>
      <c r="P62" s="11"/>
      <c r="Q62" s="11"/>
      <c r="R62" s="11"/>
      <c r="T62" s="11"/>
    </row>
    <row r="63">
      <c r="B63" s="1" t="s">
        <v>86</v>
      </c>
      <c r="D63" s="6">
        <f t="shared" si="21"/>
        <v>12</v>
      </c>
      <c r="E63" s="6">
        <f t="shared" ref="E63:F63" si="30">F$51*0.85^($D63-1)</f>
        <v>8195.300673</v>
      </c>
      <c r="F63" s="6">
        <f t="shared" si="30"/>
        <v>11396.57692</v>
      </c>
      <c r="I63" s="6" t="str">
        <f t="shared" si="18"/>
        <v>stealth assault</v>
      </c>
      <c r="J63" s="6">
        <f t="shared" si="19"/>
        <v>0.77</v>
      </c>
      <c r="K63" s="1">
        <v>1.0</v>
      </c>
      <c r="L63" s="11">
        <f t="shared" si="20"/>
        <v>570262.5895</v>
      </c>
      <c r="N63" s="11"/>
      <c r="O63" s="11"/>
      <c r="P63" s="11"/>
      <c r="Q63" s="11"/>
      <c r="R63" s="11"/>
      <c r="T63" s="11"/>
    </row>
    <row r="64">
      <c r="B64" s="1" t="s">
        <v>93</v>
      </c>
      <c r="D64" s="6">
        <f t="shared" si="21"/>
        <v>13</v>
      </c>
      <c r="E64" s="6">
        <f t="shared" ref="E64:F64" si="31">F$51*0.85^($D64-1)</f>
        <v>6966.005572</v>
      </c>
      <c r="F64" s="6">
        <f t="shared" si="31"/>
        <v>9687.090386</v>
      </c>
      <c r="I64" s="6" t="str">
        <f t="shared" si="18"/>
        <v>quick strike dur</v>
      </c>
      <c r="J64" s="6">
        <f t="shared" si="19"/>
        <v>1.56</v>
      </c>
      <c r="K64" s="1">
        <v>3.0</v>
      </c>
      <c r="L64" s="11">
        <f t="shared" si="20"/>
        <v>1201278.479</v>
      </c>
      <c r="N64" s="11"/>
      <c r="O64" s="11"/>
      <c r="P64" s="11"/>
      <c r="Q64" s="11"/>
      <c r="R64" s="11"/>
      <c r="T64" s="11"/>
    </row>
    <row r="65">
      <c r="B65" s="1" t="s">
        <v>92</v>
      </c>
      <c r="D65" s="6">
        <f t="shared" si="21"/>
        <v>14</v>
      </c>
      <c r="E65" s="6">
        <f t="shared" ref="E65:F65" si="32">F$51*0.85^($D65-1)</f>
        <v>5921.104736</v>
      </c>
      <c r="F65" s="6">
        <f t="shared" si="32"/>
        <v>8234.026828</v>
      </c>
      <c r="I65" s="6" t="str">
        <f t="shared" si="18"/>
        <v>Impale</v>
      </c>
      <c r="J65" s="6">
        <f t="shared" si="19"/>
        <v>1.04</v>
      </c>
      <c r="K65" s="1">
        <v>2.0</v>
      </c>
      <c r="L65" s="11">
        <f t="shared" si="20"/>
        <v>931411.0645</v>
      </c>
      <c r="N65" s="11"/>
      <c r="O65" s="11"/>
      <c r="P65" s="11"/>
      <c r="Q65" s="11"/>
      <c r="R65" s="11"/>
      <c r="T65" s="11"/>
    </row>
    <row r="66">
      <c r="B66" s="1" t="s">
        <v>94</v>
      </c>
      <c r="D66" s="6">
        <f t="shared" si="21"/>
        <v>15</v>
      </c>
      <c r="E66" s="6">
        <f t="shared" ref="E66:F66" si="33">F$51*0.85^($D66-1)</f>
        <v>5032.939026</v>
      </c>
      <c r="F66" s="6">
        <f t="shared" si="33"/>
        <v>6998.922804</v>
      </c>
      <c r="I66" s="6" t="str">
        <f t="shared" si="18"/>
        <v>eviscerate</v>
      </c>
      <c r="J66" s="6">
        <f t="shared" si="19"/>
        <v>1.56</v>
      </c>
      <c r="K66" s="1">
        <v>3.0</v>
      </c>
      <c r="L66" s="11">
        <f t="shared" si="20"/>
        <v>2493920.957</v>
      </c>
    </row>
    <row r="67">
      <c r="B67" s="1" t="s">
        <v>90</v>
      </c>
      <c r="D67" s="6">
        <f t="shared" si="21"/>
        <v>16</v>
      </c>
      <c r="E67" s="6">
        <f t="shared" ref="E67:F67" si="34">F$51*0.85^($D67-1)</f>
        <v>4277.998172</v>
      </c>
      <c r="F67" s="6">
        <f t="shared" si="34"/>
        <v>5949.084383</v>
      </c>
      <c r="I67" s="6" t="str">
        <f t="shared" si="18"/>
        <v>evade</v>
      </c>
      <c r="J67" s="6">
        <f t="shared" si="19"/>
        <v>1.58</v>
      </c>
      <c r="K67" s="1">
        <v>4.0</v>
      </c>
      <c r="L67" s="11">
        <f t="shared" si="20"/>
        <v>991919.0757</v>
      </c>
    </row>
    <row r="68">
      <c r="D68" s="6">
        <f t="shared" si="21"/>
        <v>17</v>
      </c>
      <c r="E68" s="6">
        <f t="shared" ref="E68:F68" si="35">F$51*0.85^($D68-1)</f>
        <v>3636.298446</v>
      </c>
      <c r="F68" s="6">
        <f t="shared" si="35"/>
        <v>5056.721726</v>
      </c>
      <c r="I68" s="6" t="str">
        <f t="shared" si="18"/>
        <v>jugular</v>
      </c>
      <c r="J68" s="6">
        <f t="shared" si="19"/>
        <v>5.2</v>
      </c>
      <c r="K68" s="1">
        <v>10.0</v>
      </c>
      <c r="L68" s="11">
        <f t="shared" si="20"/>
        <v>6957543.778</v>
      </c>
    </row>
    <row r="69">
      <c r="D69" s="6">
        <f t="shared" si="21"/>
        <v>18</v>
      </c>
      <c r="E69" s="6">
        <f t="shared" ref="E69:F69" si="36">F$51*0.85^($D69-1)</f>
        <v>3090.853679</v>
      </c>
      <c r="F69" s="6">
        <f t="shared" si="36"/>
        <v>4298.213467</v>
      </c>
      <c r="I69" s="6" t="str">
        <f t="shared" si="18"/>
        <v>death blow &lt;33%</v>
      </c>
      <c r="J69" s="6">
        <f t="shared" si="19"/>
        <v>1.56</v>
      </c>
      <c r="K69" s="1">
        <v>3.0</v>
      </c>
      <c r="L69" s="11">
        <f t="shared" si="20"/>
        <v>1483836.672</v>
      </c>
    </row>
    <row r="70">
      <c r="D70" s="6">
        <f t="shared" si="21"/>
        <v>19</v>
      </c>
      <c r="E70" s="6">
        <f t="shared" ref="E70:F70" si="37">F$51*0.85^($D70-1)</f>
        <v>2627.225627</v>
      </c>
      <c r="F70" s="6">
        <f t="shared" si="37"/>
        <v>3653.481447</v>
      </c>
      <c r="L70" s="6">
        <f>sum(L53:L69)</f>
        <v>93253191.98</v>
      </c>
    </row>
    <row r="71">
      <c r="D71" s="6">
        <f t="shared" si="21"/>
        <v>20</v>
      </c>
      <c r="E71" s="6">
        <f t="shared" ref="E71:F71" si="38">F$51*0.85^($D71-1)</f>
        <v>2233.141783</v>
      </c>
      <c r="F71" s="6">
        <f t="shared" si="38"/>
        <v>3105.45923</v>
      </c>
      <c r="L71" s="6" t="str">
        <f>L70/C49</f>
        <v>#DIV/0!</v>
      </c>
      <c r="M71" s="1" t="s">
        <v>272</v>
      </c>
    </row>
    <row r="72">
      <c r="E72" s="6">
        <f t="shared" ref="E72:F72" si="39">sum(E53:E71)</f>
        <v>264859.1966</v>
      </c>
      <c r="F72" s="6">
        <f t="shared" si="39"/>
        <v>368319.3977</v>
      </c>
      <c r="I72" s="2"/>
      <c r="K72" s="3"/>
      <c r="L72" s="4"/>
    </row>
    <row r="73">
      <c r="I73" s="2"/>
      <c r="K73" s="3"/>
      <c r="L73" s="4"/>
    </row>
    <row r="74">
      <c r="I74" s="2"/>
      <c r="K74" s="3"/>
      <c r="L74" s="4"/>
    </row>
    <row r="75">
      <c r="I75" s="2"/>
      <c r="K75" s="3"/>
      <c r="L75" s="4"/>
    </row>
    <row r="76">
      <c r="I76" s="2"/>
      <c r="K76" s="3"/>
      <c r="L76" s="4"/>
    </row>
    <row r="77">
      <c r="I77" s="2"/>
      <c r="K77" s="3"/>
      <c r="L77" s="4"/>
    </row>
    <row r="78">
      <c r="C78" s="1" t="s">
        <v>155</v>
      </c>
      <c r="D78" s="1">
        <v>0.25</v>
      </c>
      <c r="E78" s="1">
        <v>10.0</v>
      </c>
      <c r="F78" s="1">
        <v>11135.0</v>
      </c>
      <c r="G78" s="1">
        <v>17844.0</v>
      </c>
      <c r="H78" s="1">
        <v>1356.0</v>
      </c>
      <c r="I78" s="5">
        <v>2260.0</v>
      </c>
      <c r="K78" s="7">
        <v>14.0</v>
      </c>
      <c r="L78" s="8">
        <v>0.428571428571429</v>
      </c>
    </row>
    <row r="79">
      <c r="C79" s="1" t="s">
        <v>510</v>
      </c>
      <c r="D79" s="1">
        <v>0.25</v>
      </c>
      <c r="E79" s="1">
        <v>15.0</v>
      </c>
      <c r="F79" s="1">
        <v>59084.0</v>
      </c>
      <c r="G79" s="1">
        <v>69809.0</v>
      </c>
      <c r="H79" s="1">
        <v>1677.0</v>
      </c>
      <c r="I79" s="5">
        <v>2795.0</v>
      </c>
      <c r="K79" s="7">
        <v>15.0</v>
      </c>
      <c r="L79" s="8">
        <v>1.0</v>
      </c>
    </row>
    <row r="80">
      <c r="C80" s="1" t="s">
        <v>513</v>
      </c>
      <c r="D80" s="1">
        <v>0.25</v>
      </c>
      <c r="E80" s="1">
        <v>24.0</v>
      </c>
      <c r="F80" s="1">
        <v>59084.0</v>
      </c>
      <c r="G80" s="1">
        <v>69809.0</v>
      </c>
      <c r="H80" s="1">
        <v>1677.0</v>
      </c>
      <c r="I80" s="5">
        <v>2795.0</v>
      </c>
      <c r="K80" s="7">
        <v>24.0</v>
      </c>
      <c r="L80" s="8">
        <v>1.0</v>
      </c>
    </row>
    <row r="81">
      <c r="B81" s="1">
        <v>1.0</v>
      </c>
      <c r="C81" s="1" t="s">
        <v>515</v>
      </c>
      <c r="D81" s="1">
        <v>0.5</v>
      </c>
      <c r="E81" s="1">
        <v>15.0</v>
      </c>
      <c r="F81" s="1">
        <v>16024.0</v>
      </c>
      <c r="G81" s="1">
        <v>24649.0</v>
      </c>
      <c r="H81" s="1">
        <v>3272.0</v>
      </c>
      <c r="I81" s="5">
        <v>3272.0</v>
      </c>
      <c r="K81" s="7">
        <v>12.0</v>
      </c>
      <c r="L81" s="8">
        <v>0.5</v>
      </c>
    </row>
    <row r="82">
      <c r="C82" s="1" t="s">
        <v>508</v>
      </c>
      <c r="D82" s="1">
        <v>0.25</v>
      </c>
      <c r="E82" s="1">
        <v>5.0</v>
      </c>
      <c r="F82" s="1">
        <v>10331.0</v>
      </c>
      <c r="G82" s="1">
        <v>15951.0</v>
      </c>
      <c r="H82" s="1">
        <v>1244.0</v>
      </c>
      <c r="I82" s="5">
        <v>1244.0</v>
      </c>
      <c r="J82" s="19">
        <v>0.075</v>
      </c>
      <c r="K82" s="7">
        <v>4.0</v>
      </c>
      <c r="L82" s="8">
        <v>0.25</v>
      </c>
    </row>
    <row r="83">
      <c r="C83" s="1" t="s">
        <v>516</v>
      </c>
      <c r="D83" s="1">
        <v>0.25</v>
      </c>
      <c r="E83" s="1">
        <v>12.0</v>
      </c>
      <c r="F83" s="1">
        <v>10331.0</v>
      </c>
      <c r="G83" s="1">
        <v>15951.0</v>
      </c>
      <c r="H83" s="1">
        <v>1244.0</v>
      </c>
      <c r="I83" s="5">
        <v>1244.0</v>
      </c>
      <c r="J83" s="19">
        <v>0.075</v>
      </c>
      <c r="K83" s="7">
        <v>12.0</v>
      </c>
      <c r="L83" s="8">
        <v>0.25</v>
      </c>
    </row>
    <row r="84">
      <c r="I84" s="2"/>
      <c r="K84" s="3"/>
      <c r="L84" s="4"/>
    </row>
    <row r="85">
      <c r="B85" s="1" t="s">
        <v>507</v>
      </c>
      <c r="D85" s="1">
        <v>1.0</v>
      </c>
      <c r="E85" s="1">
        <v>232959.0</v>
      </c>
      <c r="F85" s="1">
        <v>185253.0</v>
      </c>
      <c r="G85" s="1">
        <v>1.0</v>
      </c>
      <c r="H85" s="1">
        <v>1.0</v>
      </c>
      <c r="I85" s="6">
        <f t="shared" ref="I85:I91" si="40">1.9*G85*H85</f>
        <v>1.9</v>
      </c>
      <c r="K85" s="3"/>
      <c r="L85" s="4"/>
    </row>
    <row r="86">
      <c r="B86" s="1" t="s">
        <v>518</v>
      </c>
      <c r="C86" s="6">
        <f t="shared" ref="C86:C91" si="41">D86/$E$85</f>
        <v>1.003974948</v>
      </c>
      <c r="D86" s="6">
        <f t="shared" ref="D86:D91" si="42">E86-E85</f>
        <v>233885</v>
      </c>
      <c r="E86" s="1">
        <v>466844.0</v>
      </c>
      <c r="F86" s="1">
        <v>195272.0</v>
      </c>
      <c r="G86" s="1">
        <v>1.0</v>
      </c>
      <c r="H86" s="1">
        <v>1.0</v>
      </c>
      <c r="I86" s="6">
        <f t="shared" si="40"/>
        <v>1.9</v>
      </c>
      <c r="K86" s="3"/>
      <c r="L86" s="4"/>
    </row>
    <row r="87">
      <c r="B87" s="1" t="s">
        <v>515</v>
      </c>
      <c r="C87" s="6">
        <f t="shared" si="41"/>
        <v>1.333470697</v>
      </c>
      <c r="D87" s="6">
        <f t="shared" si="42"/>
        <v>310644</v>
      </c>
      <c r="E87" s="1">
        <v>777488.0</v>
      </c>
      <c r="F87" s="1">
        <v>266001.0</v>
      </c>
      <c r="G87" s="1">
        <v>1.5</v>
      </c>
      <c r="H87" s="1">
        <v>1.0</v>
      </c>
      <c r="I87" s="6">
        <f t="shared" si="40"/>
        <v>2.85</v>
      </c>
      <c r="K87" s="3"/>
      <c r="L87" s="4"/>
    </row>
    <row r="88">
      <c r="B88" s="1" t="s">
        <v>524</v>
      </c>
      <c r="C88" s="6">
        <f t="shared" si="41"/>
        <v>1.74085998</v>
      </c>
      <c r="D88" s="6">
        <f t="shared" si="42"/>
        <v>405549</v>
      </c>
      <c r="E88" s="1">
        <v>1183037.0</v>
      </c>
      <c r="F88" s="1">
        <v>403484.0</v>
      </c>
      <c r="G88" s="1">
        <v>2.0</v>
      </c>
      <c r="H88" s="1">
        <v>1.0</v>
      </c>
      <c r="I88" s="6">
        <f t="shared" si="40"/>
        <v>3.8</v>
      </c>
      <c r="K88" s="3"/>
      <c r="L88" s="4"/>
    </row>
    <row r="89">
      <c r="B89" s="1" t="s">
        <v>517</v>
      </c>
      <c r="C89" s="6">
        <f t="shared" si="41"/>
        <v>0.7816482729</v>
      </c>
      <c r="D89" s="6">
        <f t="shared" si="42"/>
        <v>182092</v>
      </c>
      <c r="E89" s="1">
        <v>1365129.0</v>
      </c>
      <c r="F89" s="1">
        <v>171369.0</v>
      </c>
      <c r="G89" s="1">
        <v>1.0</v>
      </c>
      <c r="H89" s="13">
        <v>1.0</v>
      </c>
      <c r="I89" s="6">
        <f t="shared" si="40"/>
        <v>1.9</v>
      </c>
      <c r="K89" s="3"/>
      <c r="L89" s="4"/>
    </row>
    <row r="90">
      <c r="B90" s="1" t="s">
        <v>527</v>
      </c>
      <c r="C90" s="6">
        <f t="shared" si="41"/>
        <v>0.3945844548</v>
      </c>
      <c r="D90" s="6">
        <f t="shared" si="42"/>
        <v>91922</v>
      </c>
      <c r="E90" s="1">
        <v>1457051.0</v>
      </c>
      <c r="F90" s="1">
        <v>169538.0</v>
      </c>
      <c r="G90" s="1">
        <v>1.0</v>
      </c>
      <c r="H90" s="1">
        <v>0.3333</v>
      </c>
      <c r="I90" s="6">
        <f t="shared" si="40"/>
        <v>0.63327</v>
      </c>
      <c r="K90" s="3"/>
      <c r="L90" s="4"/>
    </row>
    <row r="91">
      <c r="B91" s="1" t="s">
        <v>532</v>
      </c>
      <c r="C91" s="6">
        <f t="shared" si="41"/>
        <v>1.466270889</v>
      </c>
      <c r="D91" s="6">
        <f t="shared" si="42"/>
        <v>341581</v>
      </c>
      <c r="E91" s="1">
        <v>1798632.0</v>
      </c>
      <c r="F91" s="1">
        <v>283426.0</v>
      </c>
      <c r="G91" s="1">
        <v>1.5</v>
      </c>
      <c r="H91" s="1">
        <v>0.2</v>
      </c>
      <c r="I91" s="6">
        <f t="shared" si="40"/>
        <v>0.57</v>
      </c>
      <c r="K91" s="3"/>
      <c r="L91" s="4"/>
    </row>
    <row r="92">
      <c r="F92" s="1">
        <v>20435.0</v>
      </c>
      <c r="G92" s="6">
        <f>sum(G85:G91)</f>
        <v>9</v>
      </c>
      <c r="I92" s="6">
        <f>sum(I85:I91)</f>
        <v>13.55327</v>
      </c>
      <c r="K92" s="3"/>
      <c r="L92" s="4"/>
    </row>
    <row r="93">
      <c r="F93" s="6">
        <f>F92*G93*(1.5+3.666)</f>
        <v>1805199.291</v>
      </c>
      <c r="G93" s="6">
        <f>G92*1.9</f>
        <v>17.1</v>
      </c>
      <c r="K93" s="3"/>
      <c r="L93" s="4"/>
    </row>
  </sheetData>
  <autoFilter ref="$A$7:$U$49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2.75"/>
  <cols>
    <col customWidth="1" min="1" max="20" width="15.13"/>
  </cols>
  <sheetData>
    <row r="1">
      <c r="A1" s="1" t="s">
        <v>0</v>
      </c>
      <c r="B1" s="2">
        <f>2.354+1.3</f>
        <v>3.654</v>
      </c>
      <c r="I1" s="2"/>
      <c r="K1" s="3"/>
      <c r="L1" s="4"/>
    </row>
    <row r="2">
      <c r="A2" s="1" t="s">
        <v>1</v>
      </c>
      <c r="B2" s="5">
        <v>0.32</v>
      </c>
      <c r="I2" s="2"/>
      <c r="K2" s="3"/>
      <c r="L2" s="4"/>
    </row>
    <row r="3">
      <c r="A3" s="1" t="s">
        <v>2</v>
      </c>
      <c r="I3" s="2"/>
      <c r="K3" s="3"/>
      <c r="L3" s="4"/>
    </row>
    <row r="4">
      <c r="A4" s="1" t="s">
        <v>3</v>
      </c>
      <c r="B4" s="1">
        <v>3.0</v>
      </c>
      <c r="I4" s="2"/>
      <c r="K4" s="3"/>
      <c r="L4" s="4"/>
    </row>
    <row r="5">
      <c r="B5" s="2"/>
      <c r="I5" s="2"/>
      <c r="K5" s="3"/>
      <c r="L5" s="4"/>
    </row>
    <row r="6">
      <c r="B6" s="2"/>
      <c r="I6" s="2"/>
      <c r="K6" s="3"/>
      <c r="L6" s="4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5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T7" s="1" t="s">
        <v>24</v>
      </c>
    </row>
    <row r="8">
      <c r="B8" s="1" t="s">
        <v>481</v>
      </c>
      <c r="C8" s="1">
        <v>0.33</v>
      </c>
      <c r="D8" s="1">
        <v>34.9</v>
      </c>
      <c r="E8" s="1">
        <v>7198.0</v>
      </c>
      <c r="F8" s="1">
        <v>10666.0</v>
      </c>
      <c r="G8" s="1">
        <v>2306.0</v>
      </c>
      <c r="H8" s="1">
        <v>2306.0</v>
      </c>
      <c r="I8" s="2"/>
      <c r="J8" s="1">
        <v>45.0</v>
      </c>
      <c r="K8" s="12">
        <f>1/3</f>
        <v>0.3333333333</v>
      </c>
      <c r="L8" s="9">
        <f t="shared" ref="L8:L45" si="1">if(E8*($B$1+$I8)&lt;(F8+1),F8+1,E8*($I8+$B$1))</f>
        <v>26301.492</v>
      </c>
      <c r="M8" s="10">
        <f t="shared" ref="M8:M45" si="2">F8*($B$1+$I8)</f>
        <v>38973.564</v>
      </c>
      <c r="N8" s="9">
        <f t="shared" ref="N8:N45" si="3">if(if(G8*($B$1+$I8)&lt;(H8+1),H8+1,G8*($I8+$B$1))=1,0,if(G8*($B$1+$I8)&lt;(H8+1),H8+1,G8*($I8+$B$1)))</f>
        <v>8426.124</v>
      </c>
      <c r="O8" s="11">
        <f t="shared" ref="O8:O45" si="4">H8*($B$1+$I8)</f>
        <v>8426.124</v>
      </c>
      <c r="P8" s="11">
        <f t="shared" ref="P8:P45" si="5">M8+O8*K8*J8</f>
        <v>165365.424</v>
      </c>
      <c r="Q8" s="11">
        <f t="shared" ref="Q8:Q31" si="6">if($A8=1,$B$4,1)*((L8*E8+F8*M8)/(E8+F8)+if(G8&gt;0,(N8*G8+H8*O8)/(G8+H8)*J8*K8,0))</f>
        <v>160259.4245</v>
      </c>
      <c r="R8" s="11">
        <f t="shared" ref="R8:R31" si="7">Q8/(C8+0.5*(1/(1+$B$5)))</f>
        <v>193083.644</v>
      </c>
      <c r="S8" s="6" t="str">
        <f t="shared" ref="S8:S45" si="8">B8</f>
        <v>Scream of Death</v>
      </c>
      <c r="T8" s="11">
        <f t="shared" ref="T8:T31" si="9">$Q8/(($C8+$D8))</f>
        <v>4548.947617</v>
      </c>
    </row>
    <row r="9">
      <c r="A9" s="1">
        <v>1.0</v>
      </c>
      <c r="B9" s="1" t="s">
        <v>110</v>
      </c>
      <c r="C9" s="1">
        <v>0.33</v>
      </c>
      <c r="D9" s="1">
        <v>15.0</v>
      </c>
      <c r="E9" s="6">
        <f>3340+2841+1419</f>
        <v>7600</v>
      </c>
      <c r="F9" s="6">
        <f>5068+4569+1419</f>
        <v>11056</v>
      </c>
      <c r="G9" s="1">
        <v>1419.0</v>
      </c>
      <c r="H9" s="1">
        <v>1419.0</v>
      </c>
      <c r="I9" s="2"/>
      <c r="J9" s="1">
        <v>14.0</v>
      </c>
      <c r="K9" s="12">
        <f>1/3.5</f>
        <v>0.2857142857</v>
      </c>
      <c r="L9" s="9">
        <f t="shared" si="1"/>
        <v>27770.4</v>
      </c>
      <c r="M9" s="10">
        <f t="shared" si="2"/>
        <v>40398.624</v>
      </c>
      <c r="N9" s="9">
        <f t="shared" si="3"/>
        <v>5185.026</v>
      </c>
      <c r="O9" s="11">
        <f t="shared" si="4"/>
        <v>5185.026</v>
      </c>
      <c r="P9" s="11">
        <f t="shared" si="5"/>
        <v>61138.728</v>
      </c>
      <c r="Q9" s="11">
        <f t="shared" si="6"/>
        <v>167982.8914</v>
      </c>
      <c r="R9" s="11">
        <f t="shared" si="7"/>
        <v>202389.0258</v>
      </c>
      <c r="S9" s="6" t="str">
        <f t="shared" si="8"/>
        <v>Darksong Spin</v>
      </c>
      <c r="T9" s="11">
        <f t="shared" si="9"/>
        <v>10957.78809</v>
      </c>
    </row>
    <row r="10">
      <c r="A10" s="1">
        <v>1.0</v>
      </c>
      <c r="B10" s="1" t="s">
        <v>109</v>
      </c>
      <c r="C10" s="1">
        <v>0.33</v>
      </c>
      <c r="D10" s="1">
        <v>15.0</v>
      </c>
      <c r="E10" s="6">
        <f>1901+4353</f>
        <v>6254</v>
      </c>
      <c r="F10" s="6">
        <f>3102+8084</f>
        <v>11186</v>
      </c>
      <c r="G10" s="1">
        <v>3297.0</v>
      </c>
      <c r="H10" s="1">
        <v>6124.0</v>
      </c>
      <c r="I10" s="2"/>
      <c r="K10" s="3"/>
      <c r="L10" s="9">
        <f t="shared" si="1"/>
        <v>22852.116</v>
      </c>
      <c r="M10" s="10">
        <f t="shared" si="2"/>
        <v>40873.644</v>
      </c>
      <c r="N10" s="9">
        <f t="shared" si="3"/>
        <v>12047.238</v>
      </c>
      <c r="O10" s="11">
        <f t="shared" si="4"/>
        <v>22377.096</v>
      </c>
      <c r="P10" s="11">
        <f t="shared" si="5"/>
        <v>40873.644</v>
      </c>
      <c r="Q10" s="11">
        <f t="shared" si="6"/>
        <v>103233.3226</v>
      </c>
      <c r="R10" s="11">
        <f t="shared" si="7"/>
        <v>124377.4971</v>
      </c>
      <c r="S10" s="6" t="str">
        <f t="shared" si="8"/>
        <v>Echoing Howl</v>
      </c>
      <c r="T10" s="11">
        <f t="shared" si="9"/>
        <v>6734.071923</v>
      </c>
    </row>
    <row r="11">
      <c r="A11" s="1">
        <v>1.0</v>
      </c>
      <c r="B11" s="1" t="s">
        <v>478</v>
      </c>
      <c r="C11" s="1">
        <v>1.14</v>
      </c>
      <c r="D11" s="1">
        <v>15.0</v>
      </c>
      <c r="E11" s="1">
        <v>2073.0</v>
      </c>
      <c r="F11" s="1">
        <v>2073.0</v>
      </c>
      <c r="G11" s="6">
        <f>1574+4582/4</f>
        <v>2719.5</v>
      </c>
      <c r="H11" s="6">
        <f>1574+7637/4</f>
        <v>3483.25</v>
      </c>
      <c r="I11" s="2"/>
      <c r="J11" s="1">
        <v>16.0</v>
      </c>
      <c r="K11" s="7">
        <v>0.25</v>
      </c>
      <c r="L11" s="9">
        <f t="shared" si="1"/>
        <v>7574.742</v>
      </c>
      <c r="M11" s="10">
        <f t="shared" si="2"/>
        <v>7574.742</v>
      </c>
      <c r="N11" s="9">
        <f t="shared" si="3"/>
        <v>9937.053</v>
      </c>
      <c r="O11" s="11">
        <f t="shared" si="4"/>
        <v>12727.7955</v>
      </c>
      <c r="P11" s="11">
        <f t="shared" si="5"/>
        <v>58485.924</v>
      </c>
      <c r="Q11" s="11">
        <f t="shared" si="6"/>
        <v>160775.0763</v>
      </c>
      <c r="R11" s="11">
        <f t="shared" si="7"/>
        <v>98033.58311</v>
      </c>
      <c r="S11" s="6" t="str">
        <f t="shared" si="8"/>
        <v>wail of the banshee</v>
      </c>
      <c r="T11" s="11">
        <f t="shared" si="9"/>
        <v>9961.28106</v>
      </c>
    </row>
    <row r="12">
      <c r="B12" s="1" t="s">
        <v>487</v>
      </c>
      <c r="C12" s="1">
        <v>0.33</v>
      </c>
      <c r="D12" s="1">
        <v>15.0</v>
      </c>
      <c r="E12" s="1">
        <v>8668.0</v>
      </c>
      <c r="F12" s="1">
        <v>13030.0</v>
      </c>
      <c r="I12" s="2"/>
      <c r="K12" s="3"/>
      <c r="L12" s="9">
        <f t="shared" si="1"/>
        <v>31672.872</v>
      </c>
      <c r="M12" s="10">
        <f t="shared" si="2"/>
        <v>47611.62</v>
      </c>
      <c r="N12" s="9">
        <f t="shared" si="3"/>
        <v>0</v>
      </c>
      <c r="O12" s="11">
        <f t="shared" si="4"/>
        <v>0</v>
      </c>
      <c r="P12" s="11">
        <f t="shared" si="5"/>
        <v>47611.62</v>
      </c>
      <c r="Q12" s="11">
        <f t="shared" si="6"/>
        <v>41244.34801</v>
      </c>
      <c r="R12" s="11">
        <f t="shared" si="7"/>
        <v>49691.98555</v>
      </c>
      <c r="S12" s="6" t="str">
        <f t="shared" si="8"/>
        <v>Misfortune's kiss</v>
      </c>
      <c r="T12" s="11">
        <f t="shared" si="9"/>
        <v>2690.43366</v>
      </c>
    </row>
    <row r="13">
      <c r="B13" s="1" t="s">
        <v>121</v>
      </c>
      <c r="C13" s="1">
        <v>0.33</v>
      </c>
      <c r="D13" s="1">
        <v>44.9</v>
      </c>
      <c r="E13" s="1">
        <v>8516.0</v>
      </c>
      <c r="F13" s="1">
        <v>11747.0</v>
      </c>
      <c r="I13" s="2"/>
      <c r="K13" s="3"/>
      <c r="L13" s="9">
        <f t="shared" si="1"/>
        <v>31117.464</v>
      </c>
      <c r="M13" s="10">
        <f t="shared" si="2"/>
        <v>42923.538</v>
      </c>
      <c r="N13" s="9">
        <f t="shared" si="3"/>
        <v>0</v>
      </c>
      <c r="O13" s="11">
        <f t="shared" si="4"/>
        <v>0</v>
      </c>
      <c r="P13" s="11">
        <f t="shared" si="5"/>
        <v>42923.538</v>
      </c>
      <c r="Q13" s="11">
        <f t="shared" si="6"/>
        <v>37961.75908</v>
      </c>
      <c r="R13" s="11">
        <f t="shared" si="7"/>
        <v>45737.05914</v>
      </c>
      <c r="S13" s="6" t="str">
        <f t="shared" si="8"/>
        <v>Evasive</v>
      </c>
      <c r="T13" s="11">
        <f t="shared" si="9"/>
        <v>839.3048659</v>
      </c>
    </row>
    <row r="14">
      <c r="B14" s="1" t="s">
        <v>483</v>
      </c>
      <c r="C14" s="1">
        <v>0.5</v>
      </c>
      <c r="D14" s="1">
        <v>15.0</v>
      </c>
      <c r="E14" s="1">
        <v>8502.0</v>
      </c>
      <c r="F14" s="1">
        <v>13171.0</v>
      </c>
      <c r="I14" s="2"/>
      <c r="K14" s="3"/>
      <c r="L14" s="9">
        <f t="shared" si="1"/>
        <v>31066.308</v>
      </c>
      <c r="M14" s="10">
        <f t="shared" si="2"/>
        <v>48126.834</v>
      </c>
      <c r="N14" s="9">
        <f t="shared" si="3"/>
        <v>0</v>
      </c>
      <c r="O14" s="11">
        <f t="shared" si="4"/>
        <v>0</v>
      </c>
      <c r="P14" s="11">
        <f t="shared" si="5"/>
        <v>48126.834</v>
      </c>
      <c r="Q14" s="11">
        <f t="shared" si="6"/>
        <v>41434.23989</v>
      </c>
      <c r="R14" s="11">
        <f t="shared" si="7"/>
        <v>41434.23989</v>
      </c>
      <c r="S14" s="6" t="str">
        <f t="shared" si="8"/>
        <v>Luda's Nef Wail</v>
      </c>
      <c r="T14" s="11">
        <f t="shared" si="9"/>
        <v>2673.176767</v>
      </c>
    </row>
    <row r="15">
      <c r="B15" s="1" t="s">
        <v>108</v>
      </c>
      <c r="C15" s="1">
        <v>0.33</v>
      </c>
      <c r="D15" s="1">
        <v>7.5</v>
      </c>
      <c r="E15" s="1">
        <v>5573.0</v>
      </c>
      <c r="F15" s="1">
        <v>8053.0</v>
      </c>
      <c r="I15" s="2"/>
      <c r="K15" s="3"/>
      <c r="L15" s="9">
        <f t="shared" si="1"/>
        <v>20363.742</v>
      </c>
      <c r="M15" s="10">
        <f t="shared" si="2"/>
        <v>29425.662</v>
      </c>
      <c r="N15" s="9">
        <f t="shared" si="3"/>
        <v>0</v>
      </c>
      <c r="O15" s="11">
        <f t="shared" si="4"/>
        <v>0</v>
      </c>
      <c r="P15" s="11">
        <f t="shared" si="5"/>
        <v>29425.662</v>
      </c>
      <c r="Q15" s="11">
        <f t="shared" si="6"/>
        <v>25719.35933</v>
      </c>
      <c r="R15" s="11">
        <f t="shared" si="7"/>
        <v>30987.17992</v>
      </c>
      <c r="S15" s="6" t="str">
        <f t="shared" si="8"/>
        <v>Daro's Dull Blade</v>
      </c>
      <c r="T15" s="11">
        <f t="shared" si="9"/>
        <v>3284.720221</v>
      </c>
    </row>
    <row r="16">
      <c r="B16" s="1" t="s">
        <v>114</v>
      </c>
      <c r="C16" s="1">
        <v>0.33</v>
      </c>
      <c r="D16" s="1">
        <v>44.9</v>
      </c>
      <c r="E16" s="1">
        <v>4642.0</v>
      </c>
      <c r="F16" s="1">
        <v>6555.0</v>
      </c>
      <c r="I16" s="2"/>
      <c r="K16" s="3"/>
      <c r="L16" s="9">
        <f t="shared" si="1"/>
        <v>16961.868</v>
      </c>
      <c r="M16" s="10">
        <f t="shared" si="2"/>
        <v>23951.97</v>
      </c>
      <c r="N16" s="9">
        <f t="shared" si="3"/>
        <v>0</v>
      </c>
      <c r="O16" s="11">
        <f t="shared" si="4"/>
        <v>0</v>
      </c>
      <c r="P16" s="11">
        <f t="shared" si="5"/>
        <v>23951.97</v>
      </c>
      <c r="Q16" s="11">
        <f t="shared" si="6"/>
        <v>21054.04614</v>
      </c>
      <c r="R16" s="11">
        <f t="shared" si="7"/>
        <v>25366.32065</v>
      </c>
      <c r="S16" s="6" t="str">
        <f t="shared" si="8"/>
        <v>Turnstrike</v>
      </c>
      <c r="T16" s="11">
        <f t="shared" si="9"/>
        <v>465.4885284</v>
      </c>
    </row>
    <row r="17">
      <c r="A17" s="1">
        <v>1.0</v>
      </c>
      <c r="B17" s="1" t="s">
        <v>480</v>
      </c>
      <c r="C17" s="1">
        <v>1.42</v>
      </c>
      <c r="D17" s="1">
        <v>9.0</v>
      </c>
      <c r="E17" s="1">
        <v>4726.0</v>
      </c>
      <c r="F17" s="1">
        <v>7543.0</v>
      </c>
      <c r="I17" s="2"/>
      <c r="K17" s="3"/>
      <c r="L17" s="9">
        <f t="shared" si="1"/>
        <v>17268.804</v>
      </c>
      <c r="M17" s="10">
        <f t="shared" si="2"/>
        <v>27562.122</v>
      </c>
      <c r="N17" s="9">
        <f t="shared" si="3"/>
        <v>0</v>
      </c>
      <c r="O17" s="11">
        <f t="shared" si="4"/>
        <v>0</v>
      </c>
      <c r="P17" s="11">
        <f t="shared" si="5"/>
        <v>27562.122</v>
      </c>
      <c r="Q17" s="11">
        <f t="shared" si="6"/>
        <v>70791.45504</v>
      </c>
      <c r="R17" s="11">
        <f t="shared" si="7"/>
        <v>36870.5495</v>
      </c>
      <c r="S17" s="6" t="str">
        <f t="shared" si="8"/>
        <v>Jarol's Sorrowful</v>
      </c>
      <c r="T17" s="11">
        <f t="shared" si="9"/>
        <v>6793.805666</v>
      </c>
    </row>
    <row r="18">
      <c r="B18" s="1" t="s">
        <v>485</v>
      </c>
      <c r="C18" s="1">
        <v>0.66</v>
      </c>
      <c r="D18" s="1">
        <v>12.5</v>
      </c>
      <c r="E18" s="6">
        <f>3647+2150</f>
        <v>5797</v>
      </c>
      <c r="F18" s="6">
        <f>4953+3455</f>
        <v>8408</v>
      </c>
      <c r="I18" s="2"/>
      <c r="K18" s="3"/>
      <c r="L18" s="9">
        <f t="shared" si="1"/>
        <v>21182.238</v>
      </c>
      <c r="M18" s="10">
        <f t="shared" si="2"/>
        <v>30722.832</v>
      </c>
      <c r="N18" s="9">
        <f t="shared" si="3"/>
        <v>0</v>
      </c>
      <c r="O18" s="11">
        <f t="shared" si="4"/>
        <v>0</v>
      </c>
      <c r="P18" s="11">
        <f t="shared" si="5"/>
        <v>30722.832</v>
      </c>
      <c r="Q18" s="11">
        <f t="shared" si="6"/>
        <v>26829.35622</v>
      </c>
      <c r="R18" s="11">
        <f t="shared" si="7"/>
        <v>23128.75536</v>
      </c>
      <c r="S18" s="6" t="str">
        <f t="shared" si="8"/>
        <v>Jael's Dreadful Dep</v>
      </c>
      <c r="T18" s="11">
        <f t="shared" si="9"/>
        <v>2038.70488</v>
      </c>
    </row>
    <row r="19">
      <c r="B19" s="1" t="s">
        <v>440</v>
      </c>
      <c r="C19" s="1">
        <v>0.33</v>
      </c>
      <c r="D19" s="1">
        <v>33.7</v>
      </c>
      <c r="E19" s="1">
        <v>3999.0</v>
      </c>
      <c r="F19" s="1">
        <v>5824.0</v>
      </c>
      <c r="I19" s="2"/>
      <c r="K19" s="3"/>
      <c r="L19" s="9">
        <f t="shared" si="1"/>
        <v>14612.346</v>
      </c>
      <c r="M19" s="10">
        <f t="shared" si="2"/>
        <v>21280.896</v>
      </c>
      <c r="N19" s="9">
        <f t="shared" si="3"/>
        <v>0</v>
      </c>
      <c r="O19" s="11">
        <f t="shared" si="4"/>
        <v>0</v>
      </c>
      <c r="P19" s="11">
        <f t="shared" si="5"/>
        <v>21280.896</v>
      </c>
      <c r="Q19" s="11">
        <f t="shared" si="6"/>
        <v>18566.0908</v>
      </c>
      <c r="R19" s="11">
        <f t="shared" si="7"/>
        <v>22368.7841</v>
      </c>
      <c r="S19" s="6" t="str">
        <f t="shared" si="8"/>
        <v>Bash</v>
      </c>
      <c r="T19" s="11">
        <f t="shared" si="9"/>
        <v>545.5801</v>
      </c>
    </row>
    <row r="20">
      <c r="B20" s="1" t="s">
        <v>486</v>
      </c>
      <c r="C20" s="1">
        <v>0.66</v>
      </c>
      <c r="D20" s="1">
        <v>15.0</v>
      </c>
      <c r="E20" s="1">
        <v>4939.0</v>
      </c>
      <c r="F20" s="1">
        <v>7234.0</v>
      </c>
      <c r="I20" s="2"/>
      <c r="K20" s="3"/>
      <c r="L20" s="9">
        <f t="shared" si="1"/>
        <v>18047.106</v>
      </c>
      <c r="M20" s="10">
        <f t="shared" si="2"/>
        <v>26433.036</v>
      </c>
      <c r="N20" s="9">
        <f t="shared" si="3"/>
        <v>0</v>
      </c>
      <c r="O20" s="11">
        <f t="shared" si="4"/>
        <v>0</v>
      </c>
      <c r="P20" s="11">
        <f t="shared" si="5"/>
        <v>26433.036</v>
      </c>
      <c r="Q20" s="11">
        <f t="shared" si="6"/>
        <v>23030.57906</v>
      </c>
      <c r="R20" s="11">
        <f t="shared" si="7"/>
        <v>19853.94747</v>
      </c>
      <c r="S20" s="6" t="str">
        <f t="shared" si="8"/>
        <v>Lanet's Excr</v>
      </c>
      <c r="T20" s="11">
        <f t="shared" si="9"/>
        <v>1470.662776</v>
      </c>
    </row>
    <row r="21">
      <c r="B21" s="1" t="s">
        <v>488</v>
      </c>
      <c r="C21" s="1">
        <v>0.33</v>
      </c>
      <c r="D21" s="1">
        <v>7.5</v>
      </c>
      <c r="E21" s="1">
        <v>3262.0</v>
      </c>
      <c r="F21" s="1">
        <v>4967.0</v>
      </c>
      <c r="I21" s="2"/>
      <c r="K21" s="3"/>
      <c r="L21" s="9">
        <f t="shared" si="1"/>
        <v>11919.348</v>
      </c>
      <c r="M21" s="10">
        <f t="shared" si="2"/>
        <v>18149.418</v>
      </c>
      <c r="N21" s="9">
        <f t="shared" si="3"/>
        <v>0</v>
      </c>
      <c r="O21" s="11">
        <f t="shared" si="4"/>
        <v>0</v>
      </c>
      <c r="P21" s="11">
        <f t="shared" si="5"/>
        <v>18149.418</v>
      </c>
      <c r="Q21" s="11">
        <f t="shared" si="6"/>
        <v>15679.79978</v>
      </c>
      <c r="R21" s="11">
        <f t="shared" si="7"/>
        <v>18891.32504</v>
      </c>
      <c r="S21" s="6" t="str">
        <f t="shared" si="8"/>
        <v>Thuri's Doleful</v>
      </c>
      <c r="T21" s="11">
        <f t="shared" si="9"/>
        <v>2002.528707</v>
      </c>
    </row>
    <row r="22">
      <c r="B22" s="1" t="s">
        <v>115</v>
      </c>
      <c r="C22" s="1">
        <v>0.33</v>
      </c>
      <c r="D22" s="1">
        <v>21.2</v>
      </c>
      <c r="E22" s="1">
        <v>2855.0</v>
      </c>
      <c r="F22" s="1">
        <v>4561.0</v>
      </c>
      <c r="I22" s="2"/>
      <c r="K22" s="3"/>
      <c r="L22" s="9">
        <f t="shared" si="1"/>
        <v>10432.17</v>
      </c>
      <c r="M22" s="10">
        <f t="shared" si="2"/>
        <v>16665.894</v>
      </c>
      <c r="N22" s="9">
        <f t="shared" si="3"/>
        <v>0</v>
      </c>
      <c r="O22" s="11">
        <f t="shared" si="4"/>
        <v>0</v>
      </c>
      <c r="P22" s="11">
        <f t="shared" si="5"/>
        <v>16665.894</v>
      </c>
      <c r="Q22" s="11">
        <f t="shared" si="6"/>
        <v>14266.04475</v>
      </c>
      <c r="R22" s="11">
        <f t="shared" si="7"/>
        <v>17188.00573</v>
      </c>
      <c r="S22" s="6" t="str">
        <f t="shared" si="8"/>
        <v>Bump</v>
      </c>
      <c r="T22" s="11">
        <f t="shared" si="9"/>
        <v>662.6123898</v>
      </c>
    </row>
    <row r="23">
      <c r="B23" s="1" t="s">
        <v>113</v>
      </c>
      <c r="C23" s="1">
        <v>0.54</v>
      </c>
      <c r="D23" s="1">
        <v>7.5</v>
      </c>
      <c r="E23" s="1">
        <v>3665.0</v>
      </c>
      <c r="F23" s="1">
        <v>5635.0</v>
      </c>
      <c r="I23" s="2"/>
      <c r="K23" s="3"/>
      <c r="L23" s="9">
        <f t="shared" si="1"/>
        <v>13391.91</v>
      </c>
      <c r="M23" s="10">
        <f t="shared" si="2"/>
        <v>20590.29</v>
      </c>
      <c r="N23" s="9">
        <f t="shared" si="3"/>
        <v>0</v>
      </c>
      <c r="O23" s="11">
        <f t="shared" si="4"/>
        <v>0</v>
      </c>
      <c r="P23" s="11">
        <f t="shared" si="5"/>
        <v>20590.29</v>
      </c>
      <c r="Q23" s="11">
        <f t="shared" si="6"/>
        <v>17753.50906</v>
      </c>
      <c r="R23" s="11">
        <f t="shared" si="7"/>
        <v>17070.68179</v>
      </c>
      <c r="S23" s="6" t="str">
        <f t="shared" si="8"/>
        <v>Howl of Death</v>
      </c>
      <c r="T23" s="11">
        <f t="shared" si="9"/>
        <v>2208.147894</v>
      </c>
    </row>
    <row r="24">
      <c r="B24" s="1" t="s">
        <v>122</v>
      </c>
      <c r="C24" s="1">
        <v>0.66</v>
      </c>
      <c r="D24" s="1">
        <v>22.5</v>
      </c>
      <c r="E24" s="1">
        <v>2295.0</v>
      </c>
      <c r="F24" s="1">
        <v>3689.0</v>
      </c>
      <c r="I24" s="2"/>
      <c r="K24" s="3"/>
      <c r="L24" s="9">
        <f t="shared" si="1"/>
        <v>8385.93</v>
      </c>
      <c r="M24" s="10">
        <f t="shared" si="2"/>
        <v>13479.606</v>
      </c>
      <c r="N24" s="9">
        <f t="shared" si="3"/>
        <v>0</v>
      </c>
      <c r="O24" s="11">
        <f t="shared" si="4"/>
        <v>0</v>
      </c>
      <c r="P24" s="11">
        <f t="shared" si="5"/>
        <v>13479.606</v>
      </c>
      <c r="Q24" s="11">
        <f t="shared" si="6"/>
        <v>11526.06549</v>
      </c>
      <c r="R24" s="11">
        <f t="shared" si="7"/>
        <v>9936.263352</v>
      </c>
      <c r="S24" s="6" t="str">
        <f t="shared" si="8"/>
        <v>Messenger's</v>
      </c>
      <c r="T24" s="11">
        <f t="shared" si="9"/>
        <v>497.6712214</v>
      </c>
    </row>
    <row r="25">
      <c r="I25" s="2"/>
      <c r="K25" s="3"/>
      <c r="L25" s="9">
        <f t="shared" si="1"/>
        <v>1</v>
      </c>
      <c r="M25" s="10">
        <f t="shared" si="2"/>
        <v>0</v>
      </c>
      <c r="N25" s="9">
        <f t="shared" si="3"/>
        <v>0</v>
      </c>
      <c r="O25" s="11">
        <f t="shared" si="4"/>
        <v>0</v>
      </c>
      <c r="P25" s="11">
        <f t="shared" si="5"/>
        <v>0</v>
      </c>
      <c r="Q25" s="11" t="str">
        <f t="shared" si="6"/>
        <v>#DIV/0!</v>
      </c>
      <c r="R25" s="11" t="str">
        <f t="shared" si="7"/>
        <v>#DIV/0!</v>
      </c>
      <c r="S25" s="6" t="str">
        <f t="shared" si="8"/>
        <v/>
      </c>
      <c r="T25" s="11" t="str">
        <f t="shared" si="9"/>
        <v>#DIV/0!</v>
      </c>
    </row>
    <row r="26">
      <c r="K26" s="3"/>
      <c r="L26" s="9">
        <f t="shared" si="1"/>
        <v>1</v>
      </c>
      <c r="M26" s="10">
        <f t="shared" si="2"/>
        <v>0</v>
      </c>
      <c r="N26" s="9">
        <f t="shared" si="3"/>
        <v>0</v>
      </c>
      <c r="O26" s="11">
        <f t="shared" si="4"/>
        <v>0</v>
      </c>
      <c r="P26" s="11">
        <f t="shared" si="5"/>
        <v>0</v>
      </c>
      <c r="Q26" s="11" t="str">
        <f t="shared" si="6"/>
        <v>#DIV/0!</v>
      </c>
      <c r="R26" s="11" t="str">
        <f t="shared" si="7"/>
        <v>#DIV/0!</v>
      </c>
      <c r="S26" s="6" t="str">
        <f t="shared" si="8"/>
        <v/>
      </c>
      <c r="T26" s="11" t="str">
        <f t="shared" si="9"/>
        <v>#DIV/0!</v>
      </c>
    </row>
    <row r="27">
      <c r="I27" s="2"/>
      <c r="K27" s="3"/>
      <c r="L27" s="9">
        <f t="shared" si="1"/>
        <v>1</v>
      </c>
      <c r="M27" s="10">
        <f t="shared" si="2"/>
        <v>0</v>
      </c>
      <c r="N27" s="9">
        <f t="shared" si="3"/>
        <v>0</v>
      </c>
      <c r="O27" s="11">
        <f t="shared" si="4"/>
        <v>0</v>
      </c>
      <c r="P27" s="11">
        <f t="shared" si="5"/>
        <v>0</v>
      </c>
      <c r="Q27" s="11" t="str">
        <f t="shared" si="6"/>
        <v>#DIV/0!</v>
      </c>
      <c r="R27" s="11" t="str">
        <f t="shared" si="7"/>
        <v>#DIV/0!</v>
      </c>
      <c r="S27" s="6" t="str">
        <f t="shared" si="8"/>
        <v/>
      </c>
      <c r="T27" s="11" t="str">
        <f t="shared" si="9"/>
        <v>#DIV/0!</v>
      </c>
    </row>
    <row r="28">
      <c r="I28" s="2"/>
      <c r="K28" s="3"/>
      <c r="L28" s="9">
        <f t="shared" si="1"/>
        <v>1</v>
      </c>
      <c r="M28" s="10">
        <f t="shared" si="2"/>
        <v>0</v>
      </c>
      <c r="N28" s="9">
        <f t="shared" si="3"/>
        <v>0</v>
      </c>
      <c r="O28" s="11">
        <f t="shared" si="4"/>
        <v>0</v>
      </c>
      <c r="P28" s="11">
        <f t="shared" si="5"/>
        <v>0</v>
      </c>
      <c r="Q28" s="11" t="str">
        <f t="shared" si="6"/>
        <v>#DIV/0!</v>
      </c>
      <c r="R28" s="11" t="str">
        <f t="shared" si="7"/>
        <v>#DIV/0!</v>
      </c>
      <c r="S28" s="6" t="str">
        <f t="shared" si="8"/>
        <v/>
      </c>
      <c r="T28" s="11" t="str">
        <f t="shared" si="9"/>
        <v>#DIV/0!</v>
      </c>
    </row>
    <row r="29">
      <c r="I29" s="2"/>
      <c r="K29" s="3"/>
      <c r="L29" s="9">
        <f t="shared" si="1"/>
        <v>1</v>
      </c>
      <c r="M29" s="10">
        <f t="shared" si="2"/>
        <v>0</v>
      </c>
      <c r="N29" s="9">
        <f t="shared" si="3"/>
        <v>0</v>
      </c>
      <c r="O29" s="11">
        <f t="shared" si="4"/>
        <v>0</v>
      </c>
      <c r="P29" s="11">
        <f t="shared" si="5"/>
        <v>0</v>
      </c>
      <c r="Q29" s="11" t="str">
        <f t="shared" si="6"/>
        <v>#DIV/0!</v>
      </c>
      <c r="R29" s="11" t="str">
        <f t="shared" si="7"/>
        <v>#DIV/0!</v>
      </c>
      <c r="S29" s="6" t="str">
        <f t="shared" si="8"/>
        <v/>
      </c>
      <c r="T29" s="11" t="str">
        <f t="shared" si="9"/>
        <v>#DIV/0!</v>
      </c>
    </row>
    <row r="30">
      <c r="I30" s="2"/>
      <c r="K30" s="3"/>
      <c r="L30" s="9">
        <f t="shared" si="1"/>
        <v>1</v>
      </c>
      <c r="M30" s="10">
        <f t="shared" si="2"/>
        <v>0</v>
      </c>
      <c r="N30" s="9">
        <f t="shared" si="3"/>
        <v>0</v>
      </c>
      <c r="O30" s="11">
        <f t="shared" si="4"/>
        <v>0</v>
      </c>
      <c r="P30" s="11">
        <f t="shared" si="5"/>
        <v>0</v>
      </c>
      <c r="Q30" s="11" t="str">
        <f t="shared" si="6"/>
        <v>#DIV/0!</v>
      </c>
      <c r="R30" s="11" t="str">
        <f t="shared" si="7"/>
        <v>#DIV/0!</v>
      </c>
      <c r="S30" s="6" t="str">
        <f t="shared" si="8"/>
        <v/>
      </c>
      <c r="T30" s="11" t="str">
        <f t="shared" si="9"/>
        <v>#DIV/0!</v>
      </c>
    </row>
    <row r="31">
      <c r="I31" s="2"/>
      <c r="K31" s="3"/>
      <c r="L31" s="9">
        <f t="shared" si="1"/>
        <v>1</v>
      </c>
      <c r="M31" s="10">
        <f t="shared" si="2"/>
        <v>0</v>
      </c>
      <c r="N31" s="9">
        <f t="shared" si="3"/>
        <v>0</v>
      </c>
      <c r="O31" s="11">
        <f t="shared" si="4"/>
        <v>0</v>
      </c>
      <c r="P31" s="11">
        <f t="shared" si="5"/>
        <v>0</v>
      </c>
      <c r="Q31" s="11" t="str">
        <f t="shared" si="6"/>
        <v>#DIV/0!</v>
      </c>
      <c r="R31" s="11" t="str">
        <f t="shared" si="7"/>
        <v>#DIV/0!</v>
      </c>
      <c r="S31" s="6" t="str">
        <f t="shared" si="8"/>
        <v/>
      </c>
      <c r="T31" s="11" t="str">
        <f t="shared" si="9"/>
        <v>#DIV/0!</v>
      </c>
    </row>
    <row r="32">
      <c r="I32" s="2"/>
      <c r="K32" s="3"/>
      <c r="L32" s="9">
        <f t="shared" si="1"/>
        <v>1</v>
      </c>
      <c r="M32" s="10">
        <f t="shared" si="2"/>
        <v>0</v>
      </c>
      <c r="N32" s="9">
        <f t="shared" si="3"/>
        <v>0</v>
      </c>
      <c r="O32" s="11">
        <f t="shared" si="4"/>
        <v>0</v>
      </c>
      <c r="P32" s="11">
        <f t="shared" si="5"/>
        <v>0</v>
      </c>
      <c r="Q32" s="11" t="str">
        <f t="shared" ref="Q32:Q45" si="10">(L32*E32+F32*M32)/(E32+F32)+if(G32&gt;0,(N32*G32+H32*O32)/(G32+H32)*J32*K32,0)</f>
        <v>#DIV/0!</v>
      </c>
      <c r="R32" s="11"/>
      <c r="S32" s="6" t="str">
        <f t="shared" si="8"/>
        <v/>
      </c>
      <c r="T32" s="11" t="str">
        <f t="shared" ref="T32:T45" si="11">$Q32/($C32+$D32)</f>
        <v>#DIV/0!</v>
      </c>
    </row>
    <row r="33">
      <c r="I33" s="2"/>
      <c r="K33" s="3"/>
      <c r="L33" s="9">
        <f t="shared" si="1"/>
        <v>1</v>
      </c>
      <c r="M33" s="10">
        <f t="shared" si="2"/>
        <v>0</v>
      </c>
      <c r="N33" s="9">
        <f t="shared" si="3"/>
        <v>0</v>
      </c>
      <c r="O33" s="11">
        <f t="shared" si="4"/>
        <v>0</v>
      </c>
      <c r="P33" s="11">
        <f t="shared" si="5"/>
        <v>0</v>
      </c>
      <c r="Q33" s="11" t="str">
        <f t="shared" si="10"/>
        <v>#DIV/0!</v>
      </c>
      <c r="R33" s="11"/>
      <c r="S33" s="6" t="str">
        <f t="shared" si="8"/>
        <v/>
      </c>
      <c r="T33" s="11" t="str">
        <f t="shared" si="11"/>
        <v>#DIV/0!</v>
      </c>
    </row>
    <row r="34">
      <c r="I34" s="2"/>
      <c r="K34" s="3"/>
      <c r="L34" s="9">
        <f t="shared" si="1"/>
        <v>1</v>
      </c>
      <c r="M34" s="10">
        <f t="shared" si="2"/>
        <v>0</v>
      </c>
      <c r="N34" s="9">
        <f t="shared" si="3"/>
        <v>0</v>
      </c>
      <c r="O34" s="11">
        <f t="shared" si="4"/>
        <v>0</v>
      </c>
      <c r="P34" s="11">
        <f t="shared" si="5"/>
        <v>0</v>
      </c>
      <c r="Q34" s="11" t="str">
        <f t="shared" si="10"/>
        <v>#DIV/0!</v>
      </c>
      <c r="R34" s="11"/>
      <c r="S34" s="6" t="str">
        <f t="shared" si="8"/>
        <v/>
      </c>
      <c r="T34" s="11" t="str">
        <f t="shared" si="11"/>
        <v>#DIV/0!</v>
      </c>
    </row>
    <row r="35">
      <c r="I35" s="2"/>
      <c r="K35" s="3"/>
      <c r="L35" s="9">
        <f t="shared" si="1"/>
        <v>1</v>
      </c>
      <c r="M35" s="10">
        <f t="shared" si="2"/>
        <v>0</v>
      </c>
      <c r="N35" s="9">
        <f t="shared" si="3"/>
        <v>0</v>
      </c>
      <c r="O35" s="11">
        <f t="shared" si="4"/>
        <v>0</v>
      </c>
      <c r="P35" s="11">
        <f t="shared" si="5"/>
        <v>0</v>
      </c>
      <c r="Q35" s="11" t="str">
        <f t="shared" si="10"/>
        <v>#DIV/0!</v>
      </c>
      <c r="R35" s="11"/>
      <c r="S35" s="6" t="str">
        <f t="shared" si="8"/>
        <v/>
      </c>
      <c r="T35" s="11" t="str">
        <f t="shared" si="11"/>
        <v>#DIV/0!</v>
      </c>
    </row>
    <row r="36">
      <c r="I36" s="2"/>
      <c r="K36" s="3"/>
      <c r="L36" s="9">
        <f t="shared" si="1"/>
        <v>1</v>
      </c>
      <c r="M36" s="10">
        <f t="shared" si="2"/>
        <v>0</v>
      </c>
      <c r="N36" s="9">
        <f t="shared" si="3"/>
        <v>0</v>
      </c>
      <c r="O36" s="11">
        <f t="shared" si="4"/>
        <v>0</v>
      </c>
      <c r="P36" s="11">
        <f t="shared" si="5"/>
        <v>0</v>
      </c>
      <c r="Q36" s="11" t="str">
        <f t="shared" si="10"/>
        <v>#DIV/0!</v>
      </c>
      <c r="R36" s="11"/>
      <c r="S36" s="6" t="str">
        <f t="shared" si="8"/>
        <v/>
      </c>
      <c r="T36" s="11" t="str">
        <f t="shared" si="11"/>
        <v>#DIV/0!</v>
      </c>
    </row>
    <row r="37">
      <c r="I37" s="2"/>
      <c r="K37" s="3"/>
      <c r="L37" s="9">
        <f t="shared" si="1"/>
        <v>1</v>
      </c>
      <c r="M37" s="10">
        <f t="shared" si="2"/>
        <v>0</v>
      </c>
      <c r="N37" s="9">
        <f t="shared" si="3"/>
        <v>0</v>
      </c>
      <c r="O37" s="11">
        <f t="shared" si="4"/>
        <v>0</v>
      </c>
      <c r="P37" s="11">
        <f t="shared" si="5"/>
        <v>0</v>
      </c>
      <c r="Q37" s="11" t="str">
        <f t="shared" si="10"/>
        <v>#DIV/0!</v>
      </c>
      <c r="R37" s="11"/>
      <c r="S37" s="6" t="str">
        <f t="shared" si="8"/>
        <v/>
      </c>
      <c r="T37" s="11" t="str">
        <f t="shared" si="11"/>
        <v>#DIV/0!</v>
      </c>
    </row>
    <row r="38">
      <c r="I38" s="2"/>
      <c r="K38" s="3"/>
      <c r="L38" s="9">
        <f t="shared" si="1"/>
        <v>1</v>
      </c>
      <c r="M38" s="10">
        <f t="shared" si="2"/>
        <v>0</v>
      </c>
      <c r="N38" s="9">
        <f t="shared" si="3"/>
        <v>0</v>
      </c>
      <c r="O38" s="11">
        <f t="shared" si="4"/>
        <v>0</v>
      </c>
      <c r="P38" s="11">
        <f t="shared" si="5"/>
        <v>0</v>
      </c>
      <c r="Q38" s="11" t="str">
        <f t="shared" si="10"/>
        <v>#DIV/0!</v>
      </c>
      <c r="R38" s="11"/>
      <c r="S38" s="6" t="str">
        <f t="shared" si="8"/>
        <v/>
      </c>
      <c r="T38" s="11" t="str">
        <f t="shared" si="11"/>
        <v>#DIV/0!</v>
      </c>
    </row>
    <row r="39">
      <c r="I39" s="2"/>
      <c r="K39" s="3"/>
      <c r="L39" s="9">
        <f t="shared" si="1"/>
        <v>1</v>
      </c>
      <c r="M39" s="10">
        <f t="shared" si="2"/>
        <v>0</v>
      </c>
      <c r="N39" s="9">
        <f t="shared" si="3"/>
        <v>0</v>
      </c>
      <c r="O39" s="11">
        <f t="shared" si="4"/>
        <v>0</v>
      </c>
      <c r="P39" s="11">
        <f t="shared" si="5"/>
        <v>0</v>
      </c>
      <c r="Q39" s="11" t="str">
        <f t="shared" si="10"/>
        <v>#DIV/0!</v>
      </c>
      <c r="R39" s="11"/>
      <c r="S39" s="6" t="str">
        <f t="shared" si="8"/>
        <v/>
      </c>
      <c r="T39" s="11" t="str">
        <f t="shared" si="11"/>
        <v>#DIV/0!</v>
      </c>
    </row>
    <row r="40">
      <c r="I40" s="2"/>
      <c r="K40" s="3"/>
      <c r="L40" s="9">
        <f t="shared" si="1"/>
        <v>1</v>
      </c>
      <c r="M40" s="10">
        <f t="shared" si="2"/>
        <v>0</v>
      </c>
      <c r="N40" s="9">
        <f t="shared" si="3"/>
        <v>0</v>
      </c>
      <c r="O40" s="11">
        <f t="shared" si="4"/>
        <v>0</v>
      </c>
      <c r="P40" s="11">
        <f t="shared" si="5"/>
        <v>0</v>
      </c>
      <c r="Q40" s="11" t="str">
        <f t="shared" si="10"/>
        <v>#DIV/0!</v>
      </c>
      <c r="R40" s="11"/>
      <c r="S40" s="6" t="str">
        <f t="shared" si="8"/>
        <v/>
      </c>
      <c r="T40" s="11" t="str">
        <f t="shared" si="11"/>
        <v>#DIV/0!</v>
      </c>
    </row>
    <row r="41">
      <c r="I41" s="2"/>
      <c r="K41" s="3"/>
      <c r="L41" s="9">
        <f t="shared" si="1"/>
        <v>1</v>
      </c>
      <c r="M41" s="10">
        <f t="shared" si="2"/>
        <v>0</v>
      </c>
      <c r="N41" s="9">
        <f t="shared" si="3"/>
        <v>0</v>
      </c>
      <c r="O41" s="11">
        <f t="shared" si="4"/>
        <v>0</v>
      </c>
      <c r="P41" s="11">
        <f t="shared" si="5"/>
        <v>0</v>
      </c>
      <c r="Q41" s="11" t="str">
        <f t="shared" si="10"/>
        <v>#DIV/0!</v>
      </c>
      <c r="R41" s="11"/>
      <c r="S41" s="6" t="str">
        <f t="shared" si="8"/>
        <v/>
      </c>
      <c r="T41" s="11" t="str">
        <f t="shared" si="11"/>
        <v>#DIV/0!</v>
      </c>
    </row>
    <row r="42">
      <c r="I42" s="2"/>
      <c r="K42" s="3"/>
      <c r="L42" s="9">
        <f t="shared" si="1"/>
        <v>1</v>
      </c>
      <c r="M42" s="10">
        <f t="shared" si="2"/>
        <v>0</v>
      </c>
      <c r="N42" s="9">
        <f t="shared" si="3"/>
        <v>0</v>
      </c>
      <c r="O42" s="11">
        <f t="shared" si="4"/>
        <v>0</v>
      </c>
      <c r="P42" s="11">
        <f t="shared" si="5"/>
        <v>0</v>
      </c>
      <c r="Q42" s="11" t="str">
        <f t="shared" si="10"/>
        <v>#DIV/0!</v>
      </c>
      <c r="R42" s="11"/>
      <c r="S42" s="6" t="str">
        <f t="shared" si="8"/>
        <v/>
      </c>
      <c r="T42" s="11" t="str">
        <f t="shared" si="11"/>
        <v>#DIV/0!</v>
      </c>
    </row>
    <row r="43">
      <c r="I43" s="2"/>
      <c r="K43" s="3"/>
      <c r="L43" s="9">
        <f t="shared" si="1"/>
        <v>1</v>
      </c>
      <c r="M43" s="10">
        <f t="shared" si="2"/>
        <v>0</v>
      </c>
      <c r="N43" s="9">
        <f t="shared" si="3"/>
        <v>0</v>
      </c>
      <c r="O43" s="11">
        <f t="shared" si="4"/>
        <v>0</v>
      </c>
      <c r="P43" s="11">
        <f t="shared" si="5"/>
        <v>0</v>
      </c>
      <c r="Q43" s="11" t="str">
        <f t="shared" si="10"/>
        <v>#DIV/0!</v>
      </c>
      <c r="R43" s="11"/>
      <c r="S43" s="6" t="str">
        <f t="shared" si="8"/>
        <v/>
      </c>
      <c r="T43" s="11" t="str">
        <f t="shared" si="11"/>
        <v>#DIV/0!</v>
      </c>
    </row>
    <row r="44">
      <c r="I44" s="2"/>
      <c r="K44" s="3"/>
      <c r="L44" s="9">
        <f t="shared" si="1"/>
        <v>1</v>
      </c>
      <c r="M44" s="10">
        <f t="shared" si="2"/>
        <v>0</v>
      </c>
      <c r="N44" s="9">
        <f t="shared" si="3"/>
        <v>0</v>
      </c>
      <c r="O44" s="11">
        <f t="shared" si="4"/>
        <v>0</v>
      </c>
      <c r="P44" s="11">
        <f t="shared" si="5"/>
        <v>0</v>
      </c>
      <c r="Q44" s="11" t="str">
        <f t="shared" si="10"/>
        <v>#DIV/0!</v>
      </c>
      <c r="R44" s="11"/>
      <c r="S44" s="6" t="str">
        <f t="shared" si="8"/>
        <v/>
      </c>
      <c r="T44" s="11" t="str">
        <f t="shared" si="11"/>
        <v>#DIV/0!</v>
      </c>
    </row>
    <row r="45">
      <c r="I45" s="2"/>
      <c r="K45" s="3"/>
      <c r="L45" s="9">
        <f t="shared" si="1"/>
        <v>1</v>
      </c>
      <c r="M45" s="10">
        <f t="shared" si="2"/>
        <v>0</v>
      </c>
      <c r="N45" s="9">
        <f t="shared" si="3"/>
        <v>0</v>
      </c>
      <c r="O45" s="11">
        <f t="shared" si="4"/>
        <v>0</v>
      </c>
      <c r="P45" s="11">
        <f t="shared" si="5"/>
        <v>0</v>
      </c>
      <c r="Q45" s="11" t="str">
        <f t="shared" si="10"/>
        <v>#DIV/0!</v>
      </c>
      <c r="R45" s="11"/>
      <c r="S45" s="6" t="str">
        <f t="shared" si="8"/>
        <v/>
      </c>
      <c r="T45" s="11" t="str">
        <f t="shared" si="11"/>
        <v>#DIV/0!</v>
      </c>
    </row>
    <row r="46">
      <c r="I46" s="2"/>
      <c r="K46" s="3"/>
      <c r="L46" s="9"/>
      <c r="M46" s="10"/>
      <c r="N46" s="9"/>
      <c r="O46" s="11"/>
      <c r="P46" s="11"/>
      <c r="Q46" s="11"/>
      <c r="R46" s="11"/>
      <c r="T46" s="11"/>
    </row>
    <row r="47">
      <c r="I47" s="2"/>
      <c r="K47" s="3"/>
      <c r="L47" s="9"/>
      <c r="M47" s="10"/>
      <c r="N47" s="9"/>
      <c r="O47" s="11"/>
      <c r="P47" s="11"/>
      <c r="Q47" s="11"/>
      <c r="R47" s="11"/>
      <c r="T47" s="11"/>
    </row>
    <row r="48">
      <c r="I48" s="2"/>
      <c r="K48" s="3"/>
      <c r="L48" s="9"/>
      <c r="M48" s="10"/>
      <c r="N48" s="9"/>
      <c r="O48" s="11"/>
      <c r="P48" s="11"/>
      <c r="Q48" s="11"/>
      <c r="R48" s="11"/>
      <c r="T48" s="11"/>
    </row>
    <row r="49">
      <c r="I49" s="2"/>
      <c r="K49" s="3"/>
      <c r="L49" s="9"/>
      <c r="M49" s="10"/>
      <c r="N49" s="9"/>
      <c r="O49" s="11"/>
      <c r="P49" s="11"/>
      <c r="Q49" s="11"/>
      <c r="R49" s="11"/>
      <c r="T49" s="11"/>
    </row>
    <row r="50">
      <c r="I50" s="2"/>
      <c r="K50" s="3"/>
      <c r="L50" s="9"/>
      <c r="M50" s="10"/>
      <c r="N50" s="9"/>
      <c r="O50" s="11"/>
      <c r="P50" s="11"/>
      <c r="Q50" s="11"/>
      <c r="R50" s="11"/>
      <c r="T50" s="11"/>
    </row>
    <row r="51">
      <c r="I51" s="2"/>
      <c r="K51" s="3"/>
      <c r="L51" s="9"/>
      <c r="M51" s="10"/>
      <c r="N51" s="9"/>
      <c r="O51" s="11"/>
      <c r="P51" s="11"/>
      <c r="Q51" s="11"/>
      <c r="R51" s="11"/>
      <c r="T51" s="11"/>
    </row>
    <row r="52">
      <c r="I52" s="2"/>
      <c r="K52" s="3"/>
      <c r="L52" s="9"/>
      <c r="M52" s="10"/>
      <c r="N52" s="9"/>
      <c r="O52" s="11"/>
      <c r="P52" s="11"/>
      <c r="Q52" s="11"/>
      <c r="R52" s="11"/>
      <c r="T52" s="11"/>
    </row>
    <row r="53">
      <c r="I53" s="2"/>
      <c r="K53" s="3"/>
      <c r="L53" s="9"/>
      <c r="M53" s="10"/>
      <c r="N53" s="9"/>
      <c r="O53" s="11"/>
      <c r="P53" s="11"/>
      <c r="Q53" s="11"/>
      <c r="R53" s="11"/>
      <c r="T53" s="11"/>
    </row>
    <row r="54">
      <c r="I54" s="2"/>
      <c r="K54" s="3"/>
      <c r="L54" s="9"/>
      <c r="M54" s="10"/>
      <c r="N54" s="9"/>
      <c r="O54" s="11"/>
      <c r="P54" s="11"/>
      <c r="Q54" s="11"/>
      <c r="R54" s="11"/>
      <c r="T54" s="11"/>
    </row>
    <row r="55">
      <c r="I55" s="2"/>
      <c r="K55" s="3"/>
      <c r="L55" s="9"/>
      <c r="M55" s="10"/>
      <c r="N55" s="9"/>
      <c r="O55" s="11"/>
      <c r="P55" s="11"/>
      <c r="Q55" s="11"/>
      <c r="R55" s="11"/>
      <c r="T55" s="11"/>
    </row>
    <row r="56">
      <c r="I56" s="2"/>
      <c r="K56" s="3"/>
      <c r="L56" s="9"/>
      <c r="M56" s="10"/>
      <c r="N56" s="9"/>
      <c r="O56" s="11"/>
      <c r="P56" s="11"/>
      <c r="Q56" s="11"/>
      <c r="R56" s="11"/>
      <c r="T56" s="11"/>
    </row>
    <row r="57">
      <c r="I57" s="2"/>
      <c r="K57" s="3"/>
      <c r="L57" s="9"/>
      <c r="M57" s="10"/>
      <c r="N57" s="9"/>
      <c r="O57" s="11"/>
      <c r="P57" s="11"/>
      <c r="Q57" s="11"/>
      <c r="R57" s="11"/>
      <c r="T57" s="11"/>
    </row>
    <row r="58">
      <c r="I58" s="2"/>
      <c r="K58" s="3"/>
      <c r="L58" s="9"/>
      <c r="M58" s="10"/>
      <c r="N58" s="9"/>
      <c r="O58" s="11"/>
      <c r="P58" s="11"/>
      <c r="Q58" s="11"/>
      <c r="R58" s="11"/>
      <c r="T58" s="11"/>
    </row>
    <row r="59">
      <c r="I59" s="2"/>
      <c r="K59" s="3"/>
      <c r="L59" s="9"/>
      <c r="M59" s="10"/>
      <c r="N59" s="9"/>
      <c r="O59" s="11"/>
      <c r="P59" s="11"/>
      <c r="Q59" s="11"/>
      <c r="R59" s="11"/>
      <c r="T59" s="11"/>
    </row>
    <row r="60">
      <c r="I60" s="2"/>
      <c r="K60" s="3"/>
      <c r="L60" s="9"/>
      <c r="M60" s="10"/>
      <c r="N60" s="9"/>
      <c r="O60" s="11"/>
      <c r="P60" s="11"/>
      <c r="Q60" s="11"/>
      <c r="R60" s="11"/>
      <c r="T60" s="11"/>
    </row>
    <row r="61">
      <c r="I61" s="2"/>
      <c r="K61" s="3"/>
      <c r="L61" s="9"/>
      <c r="M61" s="10"/>
      <c r="N61" s="9"/>
      <c r="O61" s="11"/>
      <c r="P61" s="11"/>
      <c r="Q61" s="11"/>
      <c r="R61" s="11"/>
      <c r="T61" s="11"/>
    </row>
    <row r="62">
      <c r="I62" s="2"/>
      <c r="K62" s="3"/>
      <c r="L62" s="9"/>
      <c r="M62" s="10"/>
      <c r="N62" s="9"/>
      <c r="O62" s="11"/>
      <c r="P62" s="11"/>
      <c r="Q62" s="11"/>
      <c r="R62" s="11"/>
      <c r="T62" s="11"/>
    </row>
    <row r="63">
      <c r="I63" s="2"/>
      <c r="K63" s="3"/>
      <c r="L63" s="9"/>
      <c r="M63" s="10"/>
      <c r="N63" s="9"/>
      <c r="O63" s="11"/>
      <c r="P63" s="11"/>
      <c r="Q63" s="11"/>
      <c r="R63" s="11"/>
      <c r="T63" s="11"/>
    </row>
    <row r="64">
      <c r="I64" s="2"/>
      <c r="K64" s="3"/>
      <c r="L64" s="9"/>
      <c r="M64" s="10"/>
      <c r="N64" s="9"/>
      <c r="O64" s="11"/>
      <c r="P64" s="11"/>
      <c r="Q64" s="11"/>
      <c r="R64" s="11"/>
      <c r="T64" s="11"/>
    </row>
    <row r="65">
      <c r="I65" s="2"/>
      <c r="K65" s="3"/>
      <c r="L65" s="9"/>
      <c r="M65" s="10"/>
      <c r="N65" s="9"/>
      <c r="O65" s="11"/>
      <c r="P65" s="11"/>
      <c r="Q65" s="11"/>
      <c r="R65" s="11"/>
      <c r="T65" s="11"/>
    </row>
    <row r="66">
      <c r="I66" s="2"/>
      <c r="K66" s="3"/>
      <c r="L66" s="9"/>
      <c r="M66" s="10"/>
      <c r="N66" s="9"/>
      <c r="O66" s="11"/>
      <c r="P66" s="11"/>
      <c r="Q66" s="11"/>
      <c r="R66" s="11"/>
      <c r="T66" s="11"/>
    </row>
    <row r="67">
      <c r="I67" s="2"/>
      <c r="K67" s="3"/>
      <c r="L67" s="9"/>
      <c r="M67" s="10"/>
      <c r="N67" s="9"/>
      <c r="O67" s="11"/>
      <c r="P67" s="11"/>
      <c r="Q67" s="11"/>
      <c r="R67" s="11"/>
      <c r="T67" s="11"/>
    </row>
    <row r="68">
      <c r="I68" s="2"/>
      <c r="K68" s="3"/>
      <c r="L68" s="9"/>
      <c r="M68" s="10"/>
      <c r="N68" s="9"/>
      <c r="O68" s="11"/>
      <c r="P68" s="11"/>
      <c r="Q68" s="11"/>
      <c r="R68" s="11"/>
      <c r="T68" s="11"/>
    </row>
    <row r="69">
      <c r="I69" s="2"/>
      <c r="K69" s="3"/>
      <c r="L69" s="9"/>
      <c r="M69" s="10"/>
      <c r="N69" s="9"/>
      <c r="O69" s="11"/>
      <c r="P69" s="11"/>
      <c r="Q69" s="11"/>
      <c r="R69" s="11"/>
      <c r="T69" s="11"/>
    </row>
    <row r="70">
      <c r="I70" s="2"/>
      <c r="K70" s="3"/>
      <c r="L70" s="9"/>
      <c r="M70" s="10"/>
      <c r="N70" s="9"/>
      <c r="O70" s="11"/>
      <c r="P70" s="11"/>
      <c r="Q70" s="11"/>
      <c r="R70" s="11"/>
      <c r="T70" s="11"/>
    </row>
    <row r="71">
      <c r="I71" s="2"/>
      <c r="K71" s="3"/>
      <c r="L71" s="9"/>
      <c r="M71" s="10"/>
      <c r="N71" s="9"/>
      <c r="O71" s="11"/>
      <c r="P71" s="11"/>
      <c r="Q71" s="11"/>
      <c r="R71" s="11"/>
      <c r="T71" s="11"/>
    </row>
    <row r="72">
      <c r="I72" s="2"/>
      <c r="K72" s="3"/>
      <c r="L72" s="9"/>
      <c r="M72" s="10"/>
      <c r="N72" s="9"/>
      <c r="O72" s="11"/>
      <c r="P72" s="11"/>
      <c r="Q72" s="11"/>
      <c r="R72" s="11"/>
      <c r="T72" s="11"/>
    </row>
    <row r="73">
      <c r="I73" s="2"/>
      <c r="K73" s="3"/>
      <c r="L73" s="9"/>
      <c r="M73" s="10"/>
      <c r="N73" s="9"/>
      <c r="O73" s="11"/>
      <c r="P73" s="11"/>
      <c r="Q73" s="11"/>
      <c r="R73" s="11"/>
      <c r="T73" s="11"/>
    </row>
    <row r="74">
      <c r="I74" s="2"/>
      <c r="K74" s="3"/>
      <c r="L74" s="9"/>
      <c r="M74" s="10"/>
      <c r="N74" s="9"/>
      <c r="O74" s="11"/>
      <c r="P74" s="11"/>
      <c r="Q74" s="11"/>
      <c r="R74" s="11"/>
      <c r="T74" s="11"/>
    </row>
    <row r="75">
      <c r="I75" s="2"/>
      <c r="K75" s="3"/>
      <c r="L75" s="9"/>
      <c r="M75" s="10"/>
      <c r="N75" s="9"/>
      <c r="O75" s="11"/>
      <c r="P75" s="11"/>
      <c r="Q75" s="11"/>
      <c r="R75" s="11"/>
      <c r="T75" s="11"/>
    </row>
    <row r="76">
      <c r="I76" s="2"/>
      <c r="K76" s="3"/>
      <c r="L76" s="4"/>
    </row>
    <row r="77">
      <c r="I77" s="2"/>
      <c r="K77" s="3"/>
      <c r="L77" s="4"/>
    </row>
    <row r="78">
      <c r="I78" s="2"/>
      <c r="K78" s="3"/>
      <c r="L78" s="4"/>
    </row>
    <row r="79">
      <c r="I79" s="2"/>
      <c r="K79" s="3"/>
      <c r="L79" s="4"/>
    </row>
    <row r="80">
      <c r="I80" s="2"/>
      <c r="K80" s="3"/>
      <c r="L80" s="4"/>
    </row>
    <row r="81">
      <c r="I81" s="2"/>
      <c r="K81" s="3"/>
      <c r="L81" s="4"/>
    </row>
    <row r="82">
      <c r="I82" s="2"/>
      <c r="K82" s="3"/>
      <c r="L82" s="4"/>
    </row>
    <row r="83">
      <c r="I83" s="2"/>
      <c r="K83" s="3"/>
      <c r="L83" s="4"/>
    </row>
    <row r="84">
      <c r="I84" s="2"/>
      <c r="K84" s="3"/>
      <c r="L84" s="4"/>
    </row>
    <row r="85">
      <c r="I85" s="2"/>
      <c r="K85" s="3"/>
      <c r="L85" s="4"/>
    </row>
    <row r="86">
      <c r="I86" s="2"/>
      <c r="K86" s="3"/>
      <c r="L86" s="4"/>
    </row>
    <row r="87">
      <c r="I87" s="2"/>
      <c r="K87" s="3"/>
      <c r="L87" s="4"/>
    </row>
    <row r="88">
      <c r="I88" s="2"/>
      <c r="K88" s="3"/>
      <c r="L88" s="4"/>
    </row>
    <row r="89">
      <c r="I89" s="2"/>
      <c r="K89" s="3"/>
      <c r="L89" s="4"/>
    </row>
    <row r="90">
      <c r="I90" s="2"/>
      <c r="K90" s="3"/>
      <c r="L90" s="4"/>
    </row>
    <row r="91">
      <c r="I91" s="2"/>
      <c r="K91" s="3"/>
      <c r="L91" s="4"/>
    </row>
    <row r="92">
      <c r="I92" s="2"/>
      <c r="K92" s="3"/>
      <c r="L92" s="4"/>
    </row>
    <row r="93">
      <c r="I93" s="2"/>
      <c r="K93" s="3"/>
      <c r="L93" s="4"/>
    </row>
    <row r="94">
      <c r="I94" s="2"/>
      <c r="K94" s="3"/>
      <c r="L94" s="4"/>
    </row>
    <row r="95">
      <c r="I95" s="2"/>
      <c r="K95" s="3"/>
      <c r="L95" s="4"/>
    </row>
    <row r="96">
      <c r="I96" s="2"/>
      <c r="K96" s="3"/>
      <c r="L96" s="4"/>
    </row>
    <row r="97">
      <c r="I97" s="2"/>
      <c r="K97" s="3"/>
      <c r="L97" s="4"/>
    </row>
    <row r="98">
      <c r="I98" s="2"/>
      <c r="K98" s="3"/>
      <c r="L98" s="4"/>
    </row>
    <row r="99">
      <c r="I99" s="2"/>
      <c r="K99" s="3"/>
      <c r="L99" s="4"/>
    </row>
    <row r="100">
      <c r="I100" s="2"/>
      <c r="K100" s="3"/>
      <c r="L100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3" width="15.13"/>
  </cols>
  <sheetData>
    <row r="1">
      <c r="A1" s="1" t="s">
        <v>0</v>
      </c>
      <c r="B1" s="2">
        <f>1.3+5.81</f>
        <v>7.11</v>
      </c>
      <c r="K1" s="3"/>
      <c r="L1" s="4"/>
    </row>
    <row r="2">
      <c r="A2" s="1" t="s">
        <v>1</v>
      </c>
      <c r="B2" s="5">
        <v>0.704</v>
      </c>
      <c r="K2" s="3"/>
      <c r="L2" s="4"/>
    </row>
    <row r="3">
      <c r="A3" s="1" t="s">
        <v>2</v>
      </c>
      <c r="B3" s="19">
        <v>0.331</v>
      </c>
      <c r="K3" s="3"/>
      <c r="L3" s="4"/>
    </row>
    <row r="4">
      <c r="A4" s="1" t="s">
        <v>3</v>
      </c>
      <c r="B4" s="1">
        <v>1.0</v>
      </c>
      <c r="K4" s="3"/>
      <c r="L4" s="4"/>
    </row>
    <row r="5">
      <c r="B5" s="2"/>
      <c r="K5" s="3"/>
      <c r="L5" s="4"/>
    </row>
    <row r="6">
      <c r="B6" s="2"/>
      <c r="K6" s="3"/>
      <c r="L6" s="4"/>
    </row>
    <row r="7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V7" s="1" t="s">
        <v>69</v>
      </c>
      <c r="W7" s="1" t="s">
        <v>70</v>
      </c>
    </row>
    <row r="8">
      <c r="B8" s="1" t="s">
        <v>414</v>
      </c>
      <c r="C8" s="1">
        <v>2.0</v>
      </c>
      <c r="D8" s="1">
        <v>60.0</v>
      </c>
      <c r="K8" s="3"/>
      <c r="L8" s="9">
        <f t="shared" ref="L8:M8" si="1">sum(L$35:L$37)</f>
        <v>239310</v>
      </c>
      <c r="M8" s="10">
        <f t="shared" si="1"/>
        <v>79210.617</v>
      </c>
      <c r="N8" s="9">
        <f>if(G8*($B$1+$I8)&lt;(H8+1),H8+1,G8*($I8+$B$1))</f>
        <v>1</v>
      </c>
      <c r="O8" s="10">
        <f>H8*($B$1+$I8)</f>
        <v>0</v>
      </c>
      <c r="P8" s="9">
        <f>if(if(I8*($B$1+$I8)&lt;(J8+1),J8+1,I8*($I8+$B$1))=1,0,if(I8*($B$1+$I8)&lt;(J8+1),J8+1,I8*($I8+$B$1)))</f>
        <v>0</v>
      </c>
      <c r="Q8" s="11">
        <f>J8*($B$1+$I8)</f>
        <v>0</v>
      </c>
      <c r="R8" s="11">
        <f>O8+Q8*M8*L8</f>
        <v>0</v>
      </c>
      <c r="S8" s="11" t="str">
        <f>(if($A8=1,$B$4,1)*((N8*G8+H8*O8)/(G8+H8)+if(I8&gt;0,(P8*I8+J8*Q8)/(I8+J8)*L8*M8,0)))*(if($U8=0,1+$B$3,1))</f>
        <v>#DIV/0!</v>
      </c>
      <c r="T8" s="11" t="str">
        <f>S8/(E8+0.5*(1/(1+$B$5)))</f>
        <v>#DIV/0!</v>
      </c>
      <c r="U8" s="6">
        <f>D8</f>
        <v>60</v>
      </c>
      <c r="V8" s="11">
        <f>$Q8/(($C8+$D8))</f>
        <v>0</v>
      </c>
    </row>
    <row r="9">
      <c r="B9" s="1" t="s">
        <v>395</v>
      </c>
      <c r="C9" s="1">
        <v>0.5</v>
      </c>
      <c r="D9" s="1">
        <v>90.0</v>
      </c>
      <c r="E9" s="1">
        <v>38458.0</v>
      </c>
      <c r="F9" s="1">
        <v>45000.0</v>
      </c>
      <c r="G9" s="1">
        <v>22034.0</v>
      </c>
      <c r="H9" s="1">
        <v>26931.0</v>
      </c>
      <c r="I9" s="19">
        <v>-0.05</v>
      </c>
      <c r="J9" s="1">
        <v>9.0</v>
      </c>
      <c r="K9" s="7">
        <v>1.0</v>
      </c>
      <c r="L9" s="9">
        <f t="shared" ref="L9:L26" si="3">if(E9*($B$3+$I9)&lt;(F9+1),F9+1,E9*($I9+$B$3))</f>
        <v>45001</v>
      </c>
      <c r="M9" s="10">
        <f t="shared" ref="M9:M26" si="4">F9*($B$3+$I9)</f>
        <v>12645</v>
      </c>
      <c r="N9" s="16">
        <v>120806.0</v>
      </c>
      <c r="O9" s="13">
        <v>204363.0</v>
      </c>
      <c r="P9" s="13">
        <v>120806.0</v>
      </c>
      <c r="Q9" s="13">
        <v>204363.0</v>
      </c>
      <c r="R9" s="13">
        <v>2656715.0</v>
      </c>
      <c r="S9" s="5">
        <v>22531.59</v>
      </c>
      <c r="T9" s="13">
        <v>1802527.0</v>
      </c>
      <c r="U9" s="1" t="s">
        <v>72</v>
      </c>
      <c r="V9" s="1">
        <v>73273.0</v>
      </c>
      <c r="W9" s="1">
        <v>1.0</v>
      </c>
    </row>
    <row r="10">
      <c r="B10" s="1" t="s">
        <v>415</v>
      </c>
      <c r="C10" s="1">
        <v>1.0</v>
      </c>
      <c r="D10" s="1">
        <v>30.0</v>
      </c>
      <c r="E10" s="6">
        <f>8410</f>
        <v>8410</v>
      </c>
      <c r="F10" s="6">
        <f>(round(51488/(1.5+3.397),0))</f>
        <v>10514</v>
      </c>
      <c r="G10" s="6">
        <f t="shared" ref="G10:H10" si="2">E10</f>
        <v>8410</v>
      </c>
      <c r="H10" s="6">
        <f t="shared" si="2"/>
        <v>10514</v>
      </c>
      <c r="J10" s="1">
        <v>5.0</v>
      </c>
      <c r="K10" s="7">
        <v>3.0</v>
      </c>
      <c r="L10" s="9">
        <f t="shared" si="3"/>
        <v>10515</v>
      </c>
      <c r="M10" s="10">
        <f t="shared" si="4"/>
        <v>3480.134</v>
      </c>
      <c r="N10" s="16">
        <v>225039.0</v>
      </c>
      <c r="O10" s="13">
        <v>239365.0</v>
      </c>
      <c r="P10" s="13">
        <v>74612.0</v>
      </c>
      <c r="Q10" s="13">
        <v>88939.0</v>
      </c>
      <c r="R10" s="13">
        <v>772999.0</v>
      </c>
      <c r="S10" s="5">
        <v>9674.26</v>
      </c>
      <c r="T10" s="13">
        <v>967426.0</v>
      </c>
      <c r="U10" s="1" t="s">
        <v>73</v>
      </c>
      <c r="V10" s="1">
        <v>39487.0</v>
      </c>
    </row>
    <row r="11">
      <c r="B11" s="1" t="s">
        <v>397</v>
      </c>
      <c r="C11" s="1">
        <v>0.5</v>
      </c>
      <c r="D11" s="6">
        <f>33+6+0.5</f>
        <v>39.5</v>
      </c>
      <c r="E11" s="6">
        <f>9749+10901</f>
        <v>20650</v>
      </c>
      <c r="F11" s="6">
        <f>10000+11395</f>
        <v>21395</v>
      </c>
      <c r="G11" s="6">
        <f>1175+2327</f>
        <v>3502</v>
      </c>
      <c r="H11" s="6">
        <f>1426+2821</f>
        <v>4247</v>
      </c>
      <c r="I11" s="5">
        <v>0.05</v>
      </c>
      <c r="J11" s="1">
        <v>33.0</v>
      </c>
      <c r="K11" s="12">
        <f>1/2.7</f>
        <v>0.3703703704</v>
      </c>
      <c r="L11" s="9">
        <f t="shared" si="3"/>
        <v>21396</v>
      </c>
      <c r="M11" s="10">
        <f t="shared" si="4"/>
        <v>8151.495</v>
      </c>
      <c r="N11" s="16">
        <v>117692.0</v>
      </c>
      <c r="O11" s="13">
        <v>140287.0</v>
      </c>
      <c r="P11" s="13">
        <v>117692.0</v>
      </c>
      <c r="Q11" s="13">
        <v>140287.0</v>
      </c>
      <c r="R11" s="13">
        <v>1262587.0</v>
      </c>
      <c r="S11" s="5">
        <v>11698.12</v>
      </c>
      <c r="T11" s="13">
        <v>935850.0</v>
      </c>
      <c r="U11" s="1" t="s">
        <v>74</v>
      </c>
      <c r="V11" s="1">
        <v>108820.0</v>
      </c>
      <c r="W11" s="1">
        <v>1.0</v>
      </c>
    </row>
    <row r="12">
      <c r="B12" s="1" t="s">
        <v>416</v>
      </c>
      <c r="C12" s="1">
        <v>1.5</v>
      </c>
      <c r="D12" s="1">
        <v>30.0</v>
      </c>
      <c r="E12" s="6">
        <f>227274/(1.5+3.397)</f>
        <v>46410.86379</v>
      </c>
      <c r="F12" s="6">
        <f>239963/(1.5+3.397)</f>
        <v>49002.04207</v>
      </c>
      <c r="G12" s="6">
        <f t="shared" ref="G12:H12" si="5">E12</f>
        <v>46410.86379</v>
      </c>
      <c r="H12" s="6">
        <f t="shared" si="5"/>
        <v>49002.04207</v>
      </c>
      <c r="J12" s="1">
        <v>3.0</v>
      </c>
      <c r="K12" s="12">
        <f>1/3</f>
        <v>0.3333333333</v>
      </c>
      <c r="L12" s="9">
        <f t="shared" si="3"/>
        <v>49003.04207</v>
      </c>
      <c r="M12" s="10">
        <f t="shared" si="4"/>
        <v>16219.67592</v>
      </c>
      <c r="N12" s="16">
        <v>127226.0</v>
      </c>
      <c r="O12" s="13">
        <v>151692.0</v>
      </c>
      <c r="P12" s="13">
        <v>127226.0</v>
      </c>
      <c r="Q12" s="13">
        <v>151692.0</v>
      </c>
      <c r="R12" s="13">
        <v>606767.0</v>
      </c>
      <c r="S12" s="5">
        <v>5621.28</v>
      </c>
      <c r="T12" s="13">
        <v>556563.0</v>
      </c>
      <c r="U12" s="1" t="s">
        <v>75</v>
      </c>
      <c r="V12" s="1">
        <v>70178.0</v>
      </c>
      <c r="W12" s="1">
        <v>1.0</v>
      </c>
    </row>
    <row r="13">
      <c r="B13" s="1" t="s">
        <v>396</v>
      </c>
      <c r="C13" s="1">
        <v>1.0</v>
      </c>
      <c r="D13" s="1">
        <v>30.0</v>
      </c>
      <c r="E13" s="1">
        <v>95473.0</v>
      </c>
      <c r="F13" s="1">
        <v>95473.0</v>
      </c>
      <c r="I13" s="19">
        <v>-0.05</v>
      </c>
      <c r="K13" s="3"/>
      <c r="L13" s="9">
        <f t="shared" si="3"/>
        <v>95474</v>
      </c>
      <c r="M13" s="10">
        <f t="shared" si="4"/>
        <v>26827.913</v>
      </c>
      <c r="N13" s="16">
        <v>201021.0</v>
      </c>
      <c r="O13" s="13">
        <v>340370.0</v>
      </c>
      <c r="P13" s="13">
        <v>0.0</v>
      </c>
      <c r="Q13" s="13">
        <v>0.0</v>
      </c>
      <c r="R13" s="13">
        <v>340370.0</v>
      </c>
      <c r="S13" s="5">
        <v>3841.65</v>
      </c>
      <c r="T13" s="13">
        <v>512220.0</v>
      </c>
      <c r="U13" s="1" t="s">
        <v>76</v>
      </c>
      <c r="V13" s="1">
        <v>12700.0</v>
      </c>
    </row>
    <row r="14">
      <c r="B14" s="1" t="s">
        <v>399</v>
      </c>
      <c r="C14" s="1">
        <v>0.5</v>
      </c>
      <c r="D14" s="1">
        <v>4.0</v>
      </c>
      <c r="E14" s="6">
        <f>11697+15465</f>
        <v>27162</v>
      </c>
      <c r="F14" s="6">
        <f>E14</f>
        <v>27162</v>
      </c>
      <c r="G14" s="1">
        <v>3119.2</v>
      </c>
      <c r="H14" s="1">
        <v>3119.2</v>
      </c>
      <c r="I14" s="2"/>
      <c r="J14" s="1">
        <v>12.0</v>
      </c>
      <c r="K14" s="12">
        <f>1/2</f>
        <v>0.5</v>
      </c>
      <c r="L14" s="9">
        <f t="shared" si="3"/>
        <v>27163</v>
      </c>
      <c r="M14" s="10">
        <f t="shared" si="4"/>
        <v>8990.622</v>
      </c>
      <c r="N14" s="16">
        <v>166438.0</v>
      </c>
      <c r="O14" s="13">
        <v>198390.0</v>
      </c>
      <c r="P14" s="13">
        <v>47552.0</v>
      </c>
      <c r="Q14" s="13">
        <v>56681.0</v>
      </c>
      <c r="R14" s="13">
        <v>538476.0</v>
      </c>
      <c r="S14" s="5">
        <v>4989.1</v>
      </c>
      <c r="T14" s="13">
        <v>498910.0</v>
      </c>
      <c r="U14" s="1" t="s">
        <v>77</v>
      </c>
      <c r="V14" s="1">
        <v>20364.0</v>
      </c>
      <c r="W14" s="1">
        <v>1.0</v>
      </c>
    </row>
    <row r="15">
      <c r="B15" s="1" t="s">
        <v>398</v>
      </c>
      <c r="C15" s="1">
        <v>0.25</v>
      </c>
      <c r="D15" s="1">
        <v>7.5</v>
      </c>
      <c r="E15" s="1">
        <v>11585.0</v>
      </c>
      <c r="F15" s="1">
        <v>14534.0</v>
      </c>
      <c r="G15" s="1">
        <v>3441.0</v>
      </c>
      <c r="H15" s="1">
        <v>6390.0</v>
      </c>
      <c r="I15" s="2"/>
      <c r="J15" s="1">
        <v>4.0</v>
      </c>
      <c r="K15" s="7">
        <v>1.0</v>
      </c>
      <c r="L15" s="9">
        <f t="shared" si="3"/>
        <v>14535</v>
      </c>
      <c r="M15" s="10">
        <f t="shared" si="4"/>
        <v>4810.754</v>
      </c>
      <c r="N15" s="16">
        <v>225039.0</v>
      </c>
      <c r="O15" s="13">
        <v>239365.0</v>
      </c>
      <c r="P15" s="13">
        <v>74612.0</v>
      </c>
      <c r="Q15" s="13">
        <v>88939.0</v>
      </c>
      <c r="R15" s="13">
        <v>328304.0</v>
      </c>
      <c r="S15" s="5">
        <v>4190.34</v>
      </c>
      <c r="T15" s="13">
        <v>419034.0</v>
      </c>
      <c r="U15" s="1" t="s">
        <v>78</v>
      </c>
      <c r="V15" s="1">
        <v>93119.0</v>
      </c>
    </row>
    <row r="16">
      <c r="B16" s="1" t="s">
        <v>402</v>
      </c>
      <c r="C16" s="1">
        <v>0.25</v>
      </c>
      <c r="D16" s="1">
        <v>30.0</v>
      </c>
      <c r="E16" s="1">
        <v>18813.0</v>
      </c>
      <c r="F16" s="1">
        <v>29146.0</v>
      </c>
      <c r="I16" s="2"/>
      <c r="K16" s="3"/>
      <c r="L16" s="9">
        <f t="shared" si="3"/>
        <v>29147</v>
      </c>
      <c r="M16" s="10">
        <f t="shared" si="4"/>
        <v>9647.326</v>
      </c>
      <c r="N16" s="16">
        <v>92444.0</v>
      </c>
      <c r="O16" s="13">
        <v>110226.0</v>
      </c>
      <c r="P16" s="13">
        <v>92444.0</v>
      </c>
      <c r="Q16" s="13">
        <v>110226.0</v>
      </c>
      <c r="R16" s="13">
        <v>661358.0</v>
      </c>
      <c r="S16" s="5">
        <v>6126.92</v>
      </c>
      <c r="T16" s="13">
        <v>408461.0</v>
      </c>
      <c r="U16" s="1" t="s">
        <v>79</v>
      </c>
      <c r="V16" s="1">
        <v>55699.0</v>
      </c>
      <c r="W16" s="1">
        <v>1.0</v>
      </c>
    </row>
    <row r="17">
      <c r="B17" s="1" t="s">
        <v>405</v>
      </c>
      <c r="C17" s="1">
        <v>0.25</v>
      </c>
      <c r="D17" s="1">
        <v>30.0</v>
      </c>
      <c r="E17" s="1">
        <v>14430.0</v>
      </c>
      <c r="F17" s="1">
        <v>25889.0</v>
      </c>
      <c r="I17" s="2"/>
      <c r="K17" s="3"/>
      <c r="L17" s="9">
        <f t="shared" si="3"/>
        <v>25890</v>
      </c>
      <c r="M17" s="10">
        <f t="shared" si="4"/>
        <v>8569.259</v>
      </c>
      <c r="N17" s="16">
        <v>392209.0</v>
      </c>
      <c r="O17" s="13">
        <v>438630.0</v>
      </c>
      <c r="P17" s="13">
        <v>0.0</v>
      </c>
      <c r="Q17" s="13">
        <v>0.0</v>
      </c>
      <c r="R17" s="13">
        <v>438630.0</v>
      </c>
      <c r="S17" s="5">
        <v>5546.49</v>
      </c>
      <c r="T17" s="13">
        <v>393368.0</v>
      </c>
      <c r="U17" s="1" t="s">
        <v>80</v>
      </c>
      <c r="V17" s="1">
        <v>9106.0</v>
      </c>
    </row>
    <row r="18">
      <c r="B18" s="1" t="s">
        <v>406</v>
      </c>
      <c r="C18" s="1">
        <v>1.5</v>
      </c>
      <c r="D18" s="1">
        <v>22.5</v>
      </c>
      <c r="E18" s="1">
        <v>6709.0</v>
      </c>
      <c r="F18" s="1">
        <v>11181.0</v>
      </c>
      <c r="G18" s="6">
        <f t="shared" ref="G18:H18" si="6">E18</f>
        <v>6709</v>
      </c>
      <c r="H18" s="6">
        <f t="shared" si="6"/>
        <v>11181</v>
      </c>
      <c r="I18" s="2"/>
      <c r="J18" s="1">
        <v>6.0</v>
      </c>
      <c r="K18" s="7">
        <v>1.0</v>
      </c>
      <c r="L18" s="9">
        <f t="shared" si="3"/>
        <v>11182</v>
      </c>
      <c r="M18" s="10">
        <f t="shared" si="4"/>
        <v>3700.911</v>
      </c>
      <c r="N18" s="16">
        <v>177921.0</v>
      </c>
      <c r="O18" s="13">
        <v>212134.0</v>
      </c>
      <c r="P18" s="13">
        <v>23719.0</v>
      </c>
      <c r="Q18" s="13">
        <v>28284.0</v>
      </c>
      <c r="R18" s="13">
        <v>443545.0</v>
      </c>
      <c r="S18" s="5">
        <v>5469.14</v>
      </c>
      <c r="T18" s="13">
        <v>364609.0</v>
      </c>
      <c r="U18" s="1" t="s">
        <v>81</v>
      </c>
      <c r="V18" s="1">
        <v>28785.0</v>
      </c>
    </row>
    <row r="19">
      <c r="B19" s="1" t="s">
        <v>404</v>
      </c>
      <c r="C19" s="1">
        <v>1.0</v>
      </c>
      <c r="D19" s="1">
        <v>6.0</v>
      </c>
      <c r="E19" s="6">
        <f>7587+8598</f>
        <v>16185</v>
      </c>
      <c r="F19" s="6">
        <f>9679+11403</f>
        <v>21082</v>
      </c>
      <c r="G19" s="6">
        <f>911+1922</f>
        <v>2833</v>
      </c>
      <c r="H19" s="6">
        <f>2829+1105</f>
        <v>3934</v>
      </c>
      <c r="I19" s="2"/>
      <c r="J19" s="1">
        <v>24.0</v>
      </c>
      <c r="K19" s="12">
        <f>1/4</f>
        <v>0.25</v>
      </c>
      <c r="L19" s="9">
        <f t="shared" si="3"/>
        <v>21083</v>
      </c>
      <c r="M19" s="10">
        <f t="shared" si="4"/>
        <v>6978.142</v>
      </c>
      <c r="N19" s="16">
        <v>184362.0</v>
      </c>
      <c r="O19" s="13">
        <v>286569.0</v>
      </c>
      <c r="P19" s="13">
        <v>0.0</v>
      </c>
      <c r="Q19" s="13">
        <v>0.0</v>
      </c>
      <c r="R19" s="13">
        <v>286569.0</v>
      </c>
      <c r="S19" s="5">
        <v>2465.56</v>
      </c>
      <c r="T19" s="13">
        <v>328742.0</v>
      </c>
      <c r="U19" s="1" t="s">
        <v>82</v>
      </c>
      <c r="V19" s="1">
        <v>39449.0</v>
      </c>
      <c r="W19" s="1">
        <v>1.0</v>
      </c>
    </row>
    <row r="20">
      <c r="B20" s="1" t="s">
        <v>400</v>
      </c>
      <c r="C20" s="1">
        <v>1.0</v>
      </c>
      <c r="D20" s="1">
        <v>1.5</v>
      </c>
      <c r="E20" s="1">
        <v>24590.0</v>
      </c>
      <c r="F20" s="1">
        <v>32824.0</v>
      </c>
      <c r="G20" s="1">
        <v>16770.0</v>
      </c>
      <c r="H20" s="1">
        <v>19515.0</v>
      </c>
      <c r="I20" s="5">
        <v>0.15</v>
      </c>
      <c r="J20" s="1">
        <v>1.0</v>
      </c>
      <c r="K20" s="3"/>
      <c r="L20" s="9">
        <f t="shared" si="3"/>
        <v>32825</v>
      </c>
      <c r="M20" s="10">
        <f t="shared" si="4"/>
        <v>15788.344</v>
      </c>
      <c r="N20" s="16">
        <v>166438.0</v>
      </c>
      <c r="O20" s="13">
        <v>198390.0</v>
      </c>
      <c r="P20" s="13">
        <v>47552.0</v>
      </c>
      <c r="Q20" s="13">
        <v>56681.0</v>
      </c>
      <c r="R20" s="13">
        <v>255071.0</v>
      </c>
      <c r="S20" s="5">
        <v>3145.55</v>
      </c>
      <c r="T20" s="13">
        <v>314555.0</v>
      </c>
      <c r="U20" s="1" t="s">
        <v>83</v>
      </c>
      <c r="V20" s="1">
        <v>89873.0</v>
      </c>
    </row>
    <row r="21">
      <c r="B21" s="1" t="s">
        <v>409</v>
      </c>
      <c r="C21" s="1">
        <v>1.0</v>
      </c>
      <c r="D21" s="1">
        <v>10.0</v>
      </c>
      <c r="E21" s="1">
        <v>9590.0</v>
      </c>
      <c r="F21" s="1">
        <v>25849.0</v>
      </c>
      <c r="I21" s="2"/>
      <c r="K21" s="3"/>
      <c r="L21" s="9">
        <f t="shared" si="3"/>
        <v>25850</v>
      </c>
      <c r="M21" s="10">
        <f t="shared" si="4"/>
        <v>8556.019</v>
      </c>
      <c r="N21" s="16">
        <v>361607.0</v>
      </c>
      <c r="O21" s="13">
        <v>532895.0</v>
      </c>
      <c r="P21" s="13">
        <v>0.0</v>
      </c>
      <c r="Q21" s="13">
        <v>0.0</v>
      </c>
      <c r="R21" s="13">
        <v>532895.0</v>
      </c>
      <c r="S21" s="5">
        <v>6171.19</v>
      </c>
      <c r="T21" s="13">
        <v>308560.0</v>
      </c>
      <c r="U21" s="1" t="s">
        <v>84</v>
      </c>
      <c r="V21" s="1">
        <v>25713.0</v>
      </c>
    </row>
    <row r="22">
      <c r="B22" s="1" t="s">
        <v>408</v>
      </c>
      <c r="C22" s="1">
        <v>1.5</v>
      </c>
      <c r="D22" s="1">
        <v>20.0</v>
      </c>
      <c r="E22" s="1">
        <v>6483.0</v>
      </c>
      <c r="F22" s="1">
        <v>7252.0</v>
      </c>
      <c r="G22" s="1">
        <v>3625.0</v>
      </c>
      <c r="H22" s="1">
        <v>4394.0</v>
      </c>
      <c r="I22" s="2">
        <f>5%+11.25%</f>
        <v>0.1625</v>
      </c>
      <c r="J22" s="1">
        <v>5.0</v>
      </c>
      <c r="K22" s="7">
        <v>1.0</v>
      </c>
      <c r="L22" s="9">
        <f t="shared" si="3"/>
        <v>7253</v>
      </c>
      <c r="M22" s="10">
        <f t="shared" si="4"/>
        <v>3578.862</v>
      </c>
      <c r="N22" s="16">
        <v>270372.0</v>
      </c>
      <c r="O22" s="13">
        <v>306484.0</v>
      </c>
      <c r="P22" s="13">
        <v>0.0</v>
      </c>
      <c r="Q22" s="13">
        <v>0.0</v>
      </c>
      <c r="R22" s="13">
        <v>306484.0</v>
      </c>
      <c r="S22" s="5">
        <v>3854.02</v>
      </c>
      <c r="T22" s="13">
        <v>256935.0</v>
      </c>
      <c r="U22" s="1" t="s">
        <v>85</v>
      </c>
      <c r="V22" s="1">
        <v>16400.0</v>
      </c>
    </row>
    <row r="23">
      <c r="B23" s="1" t="s">
        <v>412</v>
      </c>
      <c r="C23" s="1">
        <v>0.25</v>
      </c>
      <c r="D23" s="1">
        <v>15.0</v>
      </c>
      <c r="E23" s="1">
        <v>6460.0</v>
      </c>
      <c r="F23" s="1">
        <v>9508.0</v>
      </c>
      <c r="I23" s="2"/>
      <c r="K23" s="3"/>
      <c r="L23" s="9">
        <f t="shared" si="3"/>
        <v>9509</v>
      </c>
      <c r="M23" s="10">
        <f t="shared" si="4"/>
        <v>3147.148</v>
      </c>
      <c r="N23" s="16">
        <v>254097.0</v>
      </c>
      <c r="O23" s="13">
        <v>274027.0</v>
      </c>
      <c r="P23" s="13">
        <v>0.0</v>
      </c>
      <c r="Q23" s="13">
        <v>0.0</v>
      </c>
      <c r="R23" s="13">
        <v>274027.0</v>
      </c>
      <c r="S23" s="5">
        <v>3519.67</v>
      </c>
      <c r="T23" s="13">
        <v>234645.0</v>
      </c>
      <c r="U23" s="1" t="s">
        <v>86</v>
      </c>
      <c r="V23" s="1">
        <v>21998.0</v>
      </c>
    </row>
    <row r="24">
      <c r="B24" s="1" t="s">
        <v>407</v>
      </c>
      <c r="C24" s="1">
        <v>1.0</v>
      </c>
      <c r="D24" s="1">
        <v>1.5</v>
      </c>
      <c r="E24" s="1">
        <v>16770.0</v>
      </c>
      <c r="F24" s="1">
        <v>19515.0</v>
      </c>
      <c r="I24" s="5">
        <v>0.15</v>
      </c>
      <c r="K24" s="3"/>
      <c r="L24" s="9">
        <f t="shared" si="3"/>
        <v>19516</v>
      </c>
      <c r="M24" s="10">
        <f t="shared" si="4"/>
        <v>9386.715</v>
      </c>
      <c r="N24" s="16">
        <v>59198.0</v>
      </c>
      <c r="O24" s="13">
        <v>84005.0</v>
      </c>
      <c r="P24" s="13">
        <v>6228.0</v>
      </c>
      <c r="Q24" s="13">
        <v>8845.0</v>
      </c>
      <c r="R24" s="13">
        <v>137074.0</v>
      </c>
      <c r="S24" s="5">
        <v>1601.62</v>
      </c>
      <c r="T24" s="13">
        <v>213549.0</v>
      </c>
      <c r="U24" s="1" t="s">
        <v>87</v>
      </c>
      <c r="V24" s="1">
        <v>10502.0</v>
      </c>
    </row>
    <row r="25">
      <c r="B25" s="1" t="s">
        <v>410</v>
      </c>
      <c r="C25" s="1">
        <v>1.5</v>
      </c>
      <c r="D25" s="1">
        <v>22.5</v>
      </c>
      <c r="E25" s="1">
        <v>13806.0</v>
      </c>
      <c r="F25" s="1">
        <v>16659.0</v>
      </c>
      <c r="I25" s="2"/>
      <c r="K25" s="3"/>
      <c r="L25" s="9">
        <f t="shared" si="3"/>
        <v>16660</v>
      </c>
      <c r="M25" s="10">
        <f t="shared" si="4"/>
        <v>5514.129</v>
      </c>
      <c r="N25" s="16">
        <v>113468.0</v>
      </c>
      <c r="O25" s="13">
        <v>147575.0</v>
      </c>
      <c r="P25" s="13">
        <v>0.0</v>
      </c>
      <c r="Q25" s="13">
        <v>0.0</v>
      </c>
      <c r="R25" s="13">
        <v>147575.0</v>
      </c>
      <c r="S25" s="5">
        <v>1766.9</v>
      </c>
      <c r="T25" s="13">
        <v>176690.0</v>
      </c>
      <c r="U25" s="1" t="s">
        <v>88</v>
      </c>
      <c r="V25" s="1">
        <v>88345.0</v>
      </c>
    </row>
    <row r="26">
      <c r="B26" s="1" t="s">
        <v>413</v>
      </c>
      <c r="C26" s="1">
        <v>1.5</v>
      </c>
      <c r="D26" s="1">
        <v>4.5</v>
      </c>
      <c r="E26" s="1">
        <v>8142.0</v>
      </c>
      <c r="F26" s="1">
        <v>9868.0</v>
      </c>
      <c r="I26" s="5">
        <v>0.05</v>
      </c>
      <c r="K26" s="3"/>
      <c r="L26" s="9">
        <f t="shared" si="3"/>
        <v>9869</v>
      </c>
      <c r="M26" s="10">
        <f t="shared" si="4"/>
        <v>3759.708</v>
      </c>
      <c r="N26" s="16">
        <v>33858.0</v>
      </c>
      <c r="O26" s="13">
        <v>44893.0</v>
      </c>
      <c r="P26" s="13">
        <v>33858.0</v>
      </c>
      <c r="Q26" s="13">
        <v>44893.0</v>
      </c>
      <c r="R26" s="13">
        <v>224463.0</v>
      </c>
      <c r="S26" s="5">
        <v>2007.41</v>
      </c>
      <c r="T26" s="13">
        <v>160593.0</v>
      </c>
      <c r="U26" s="1" t="s">
        <v>89</v>
      </c>
      <c r="V26" s="1">
        <v>12745.0</v>
      </c>
      <c r="W26" s="1">
        <v>1.0</v>
      </c>
    </row>
    <row r="27">
      <c r="I27" s="2"/>
      <c r="K27" s="3"/>
      <c r="L27" s="73"/>
      <c r="M27" s="73"/>
      <c r="N27" s="74">
        <v>41146.0</v>
      </c>
      <c r="O27" s="74">
        <v>48149.0</v>
      </c>
      <c r="P27" s="74">
        <v>21849.0</v>
      </c>
      <c r="Q27" s="16">
        <v>26051.0</v>
      </c>
      <c r="R27" s="13">
        <v>178404.0</v>
      </c>
      <c r="S27" s="5">
        <v>2204.05</v>
      </c>
      <c r="T27" s="13">
        <v>146937.0</v>
      </c>
      <c r="U27" s="1" t="s">
        <v>90</v>
      </c>
      <c r="V27" s="1">
        <v>16954.0</v>
      </c>
    </row>
    <row r="28">
      <c r="K28" s="3"/>
      <c r="L28" s="9"/>
      <c r="M28" s="10"/>
      <c r="N28" s="16">
        <v>63535.0</v>
      </c>
      <c r="O28" s="13">
        <v>98758.0</v>
      </c>
      <c r="P28" s="13">
        <v>0.0</v>
      </c>
      <c r="Q28" s="13">
        <v>0.0</v>
      </c>
      <c r="R28" s="1">
        <v>98758.0</v>
      </c>
      <c r="S28" s="5">
        <v>849.69</v>
      </c>
      <c r="T28" s="13">
        <v>113292.0</v>
      </c>
      <c r="U28" s="1" t="s">
        <v>91</v>
      </c>
      <c r="V28" s="1">
        <v>5572.0</v>
      </c>
      <c r="W28" s="1">
        <v>1.0</v>
      </c>
    </row>
    <row r="29">
      <c r="K29" s="3"/>
      <c r="L29" s="9"/>
      <c r="M29" s="10"/>
      <c r="N29" s="16">
        <v>105655.0</v>
      </c>
      <c r="O29" s="13">
        <v>125975.0</v>
      </c>
      <c r="P29" s="13">
        <v>0.0</v>
      </c>
      <c r="Q29" s="13">
        <v>0.0</v>
      </c>
      <c r="R29" s="1">
        <v>125975.0</v>
      </c>
      <c r="S29" s="1">
        <v>155336.0</v>
      </c>
      <c r="T29" s="13">
        <v>103557.0</v>
      </c>
      <c r="U29" s="1" t="s">
        <v>92</v>
      </c>
      <c r="V29" s="1">
        <v>6610.0</v>
      </c>
    </row>
    <row r="30">
      <c r="K30" s="3"/>
      <c r="L30" s="9"/>
      <c r="M30" s="10"/>
      <c r="N30" s="16">
        <v>36218.0</v>
      </c>
      <c r="O30" s="13">
        <v>56304.0</v>
      </c>
      <c r="P30" s="13">
        <v>0.0</v>
      </c>
      <c r="Q30" s="13">
        <v>0.0</v>
      </c>
      <c r="R30" s="1">
        <v>56304.0</v>
      </c>
      <c r="S30" s="1">
        <v>48441.0</v>
      </c>
      <c r="T30" s="1">
        <v>64589.0</v>
      </c>
      <c r="U30" s="1" t="s">
        <v>93</v>
      </c>
      <c r="V30" s="1">
        <v>11398.0</v>
      </c>
      <c r="W30" s="1">
        <v>1.0</v>
      </c>
    </row>
    <row r="31">
      <c r="K31" s="3"/>
      <c r="L31" s="9"/>
      <c r="M31" s="10"/>
      <c r="N31" s="16">
        <v>33545.0</v>
      </c>
      <c r="O31" s="13">
        <v>43648.0</v>
      </c>
      <c r="P31" s="13">
        <v>0.0</v>
      </c>
      <c r="Q31" s="13">
        <v>0.0</v>
      </c>
      <c r="R31" s="1">
        <v>43648.0</v>
      </c>
      <c r="S31" s="1">
        <v>52252.0</v>
      </c>
      <c r="T31" s="1">
        <v>41802.0</v>
      </c>
      <c r="U31" s="1" t="s">
        <v>94</v>
      </c>
      <c r="V31" s="1">
        <v>2247.0</v>
      </c>
    </row>
    <row r="32">
      <c r="K32" s="3"/>
      <c r="L32" s="9"/>
      <c r="M32" s="10"/>
      <c r="N32" s="9"/>
      <c r="O32" s="11"/>
      <c r="P32" s="11"/>
      <c r="Q32" s="11"/>
      <c r="S32" s="50"/>
    </row>
    <row r="33">
      <c r="K33" s="3"/>
      <c r="L33" s="9"/>
      <c r="M33" s="10"/>
      <c r="N33" s="9"/>
      <c r="O33" s="11"/>
      <c r="P33" s="11"/>
      <c r="Q33" s="11"/>
      <c r="S33" s="50"/>
    </row>
    <row r="34">
      <c r="K34" s="3"/>
      <c r="L34" s="9"/>
      <c r="M34" s="10"/>
      <c r="N34" s="9"/>
      <c r="O34" s="11"/>
      <c r="P34" s="11"/>
      <c r="Q34" s="11"/>
      <c r="S34" s="50"/>
    </row>
    <row r="35">
      <c r="B35" s="1" t="s">
        <v>533</v>
      </c>
      <c r="E35" s="1">
        <v>93802.0</v>
      </c>
      <c r="F35" s="1">
        <v>93802.0</v>
      </c>
      <c r="G35" s="1">
        <v>43378.0</v>
      </c>
      <c r="H35" s="1">
        <v>50781.0</v>
      </c>
      <c r="J35" s="1">
        <v>3.0</v>
      </c>
      <c r="K35" s="7">
        <v>1.0</v>
      </c>
      <c r="L35" s="9">
        <f t="shared" ref="L35:L37" si="7">if(E35*($B$3+$I35)&lt;(F35+1),F35+1,E35*($I35+$B$3))</f>
        <v>93803</v>
      </c>
      <c r="M35" s="10">
        <f t="shared" ref="M35:M37" si="8">F35*($B$3+$I35)</f>
        <v>31048.462</v>
      </c>
      <c r="N35" s="9">
        <f t="shared" ref="N35:N37" si="9">if(G35*($B$3+$I35)&lt;(H35+1),H35+1,G35*($I35+$B$3))</f>
        <v>50782</v>
      </c>
      <c r="O35" s="11">
        <f t="shared" ref="O35:O37" si="10">H35*($B$3+$I35)</f>
        <v>16808.511</v>
      </c>
      <c r="P35" s="11">
        <f t="shared" ref="P35:P37" si="11">M35+O35*K35*J35*1.33907830648183</f>
        <v>98572.19933</v>
      </c>
      <c r="Q35" s="11">
        <f t="shared" ref="Q35:Q37" si="12">(L35*E35+F35*M35)/(E35+F35)+if(G35&gt;0,(N35*G35+H35*O35)/(G35+H35)*J35*K35,0)</f>
        <v>159804.8852</v>
      </c>
      <c r="S35" s="50"/>
    </row>
    <row r="36">
      <c r="B36" s="1" t="s">
        <v>534</v>
      </c>
      <c r="E36" s="1">
        <v>34199.0</v>
      </c>
      <c r="F36" s="1">
        <v>41724.0</v>
      </c>
      <c r="G36" s="1">
        <v>34199.0</v>
      </c>
      <c r="H36" s="1">
        <v>41724.0</v>
      </c>
      <c r="J36" s="1">
        <v>5.0</v>
      </c>
      <c r="K36" s="7">
        <v>2.5</v>
      </c>
      <c r="L36" s="9">
        <f t="shared" si="7"/>
        <v>41725</v>
      </c>
      <c r="M36" s="10">
        <f t="shared" si="8"/>
        <v>13810.644</v>
      </c>
      <c r="N36" s="9">
        <f t="shared" si="9"/>
        <v>41725</v>
      </c>
      <c r="O36" s="11">
        <f t="shared" si="10"/>
        <v>13810.644</v>
      </c>
      <c r="P36" s="11">
        <f t="shared" si="11"/>
        <v>244979.8162</v>
      </c>
      <c r="Q36" s="11">
        <f t="shared" si="12"/>
        <v>356190.4285</v>
      </c>
    </row>
    <row r="37">
      <c r="B37" s="1" t="s">
        <v>535</v>
      </c>
      <c r="E37" s="1">
        <v>103781.0</v>
      </c>
      <c r="F37" s="1">
        <v>103781.0</v>
      </c>
      <c r="G37" s="1">
        <v>0.0</v>
      </c>
      <c r="H37" s="1">
        <v>0.0</v>
      </c>
      <c r="K37" s="3"/>
      <c r="L37" s="9">
        <f t="shared" si="7"/>
        <v>103782</v>
      </c>
      <c r="M37" s="10">
        <f t="shared" si="8"/>
        <v>34351.511</v>
      </c>
      <c r="N37" s="9">
        <f t="shared" si="9"/>
        <v>1</v>
      </c>
      <c r="O37" s="11">
        <f t="shared" si="10"/>
        <v>0</v>
      </c>
      <c r="P37" s="11">
        <f t="shared" si="11"/>
        <v>34351.511</v>
      </c>
      <c r="Q37" s="11">
        <f t="shared" si="12"/>
        <v>69066.7555</v>
      </c>
    </row>
    <row r="38">
      <c r="K38" s="3"/>
      <c r="L38" s="4"/>
    </row>
    <row r="39">
      <c r="E39" s="1">
        <v>459348.0</v>
      </c>
      <c r="F39" s="1">
        <v>459348.0</v>
      </c>
      <c r="G39" s="1">
        <v>212422.0</v>
      </c>
      <c r="H39" s="1">
        <v>248674.0</v>
      </c>
      <c r="K39" s="3"/>
      <c r="L39" s="75">
        <f t="shared" ref="L39:Q39" si="13">sum(L35:L37)</f>
        <v>239310</v>
      </c>
      <c r="M39" s="75">
        <f t="shared" si="13"/>
        <v>79210.617</v>
      </c>
      <c r="N39" s="75">
        <f t="shared" si="13"/>
        <v>92508</v>
      </c>
      <c r="O39" s="75">
        <f t="shared" si="13"/>
        <v>30619.155</v>
      </c>
      <c r="P39" s="75">
        <f t="shared" si="13"/>
        <v>377903.5266</v>
      </c>
      <c r="Q39" s="76">
        <f t="shared" si="13"/>
        <v>585062.0692</v>
      </c>
    </row>
    <row r="40">
      <c r="E40" s="1">
        <v>167472.0</v>
      </c>
      <c r="F40" s="1">
        <v>204321.0</v>
      </c>
      <c r="G40" s="1">
        <v>167472.0</v>
      </c>
      <c r="H40" s="1">
        <v>204321.0</v>
      </c>
      <c r="K40" s="3"/>
      <c r="L40" s="4"/>
    </row>
    <row r="41">
      <c r="E41" s="1">
        <v>508215.0</v>
      </c>
      <c r="F41" s="1">
        <v>508215.0</v>
      </c>
      <c r="K41" s="3"/>
      <c r="L41" s="4"/>
      <c r="Q41" s="2"/>
    </row>
    <row r="42">
      <c r="K42" s="3"/>
      <c r="L42" s="4"/>
      <c r="Q42" s="2"/>
    </row>
    <row r="43">
      <c r="K43" s="3"/>
      <c r="L43" s="4"/>
      <c r="Q43" s="2"/>
    </row>
    <row r="44">
      <c r="K44" s="3"/>
      <c r="L44" s="4"/>
      <c r="Q44" s="2"/>
    </row>
    <row r="45">
      <c r="K45" s="3"/>
      <c r="L45" s="4"/>
      <c r="Q45" s="2"/>
    </row>
    <row r="46">
      <c r="K46" s="3"/>
      <c r="L46" s="4"/>
      <c r="Q46" s="2"/>
    </row>
    <row r="47">
      <c r="K47" s="3"/>
      <c r="L47" s="4"/>
      <c r="Q47" s="2"/>
    </row>
    <row r="48">
      <c r="K48" s="3"/>
      <c r="L48" s="4"/>
      <c r="Q48" s="2"/>
    </row>
    <row r="49">
      <c r="K49" s="3"/>
      <c r="L49" s="4"/>
      <c r="Q49" s="2"/>
    </row>
    <row r="50">
      <c r="K50" s="3"/>
      <c r="L50" s="4"/>
      <c r="Q50" s="2"/>
    </row>
    <row r="51">
      <c r="K51" s="3"/>
      <c r="L51" s="4"/>
      <c r="Q51" s="2"/>
    </row>
    <row r="52">
      <c r="K52" s="3"/>
      <c r="L52" s="4"/>
      <c r="Q52" s="2"/>
    </row>
    <row r="53">
      <c r="K53" s="3"/>
      <c r="L53" s="4"/>
      <c r="Q53" s="2"/>
    </row>
    <row r="54">
      <c r="K54" s="3"/>
      <c r="L54" s="4"/>
    </row>
    <row r="55">
      <c r="K55" s="3"/>
      <c r="L55" s="4"/>
    </row>
    <row r="56">
      <c r="K56" s="3"/>
      <c r="L56" s="4"/>
    </row>
    <row r="57">
      <c r="K57" s="3"/>
      <c r="L57" s="4"/>
    </row>
    <row r="58">
      <c r="K58" s="3"/>
      <c r="L58" s="4"/>
    </row>
    <row r="59">
      <c r="K59" s="3"/>
      <c r="L59" s="4"/>
    </row>
    <row r="60">
      <c r="K60" s="3"/>
      <c r="L60" s="4"/>
    </row>
    <row r="61">
      <c r="K61" s="3"/>
      <c r="L61" s="4"/>
    </row>
    <row r="62">
      <c r="K62" s="3"/>
      <c r="L62" s="4"/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B71" s="1" t="s">
        <v>536</v>
      </c>
      <c r="C71" s="1" t="s">
        <v>537</v>
      </c>
      <c r="D71" s="1" t="s">
        <v>538</v>
      </c>
      <c r="K71" s="3"/>
      <c r="L71" s="4"/>
    </row>
    <row r="72">
      <c r="B72" s="1">
        <v>0.0</v>
      </c>
      <c r="C72" s="6">
        <f t="shared" ref="C72:D72" si="14">(1.5+3.39)*(11697+15465)</f>
        <v>132822.18</v>
      </c>
      <c r="D72" s="6">
        <f t="shared" si="14"/>
        <v>132822.18</v>
      </c>
      <c r="K72" s="3"/>
      <c r="L72" s="4"/>
    </row>
    <row r="73">
      <c r="B73" s="6">
        <f t="shared" ref="B73:B78" si="16">B72+2</f>
        <v>2</v>
      </c>
      <c r="C73" s="6">
        <f t="shared" ref="C73:D73" si="15">C72+(1.5+3.39)*(689+1539)*1.2^(($B73-2)/2)</f>
        <v>143717.1</v>
      </c>
      <c r="D73" s="6">
        <f t="shared" si="15"/>
        <v>143717.1</v>
      </c>
      <c r="K73" s="3"/>
      <c r="L73" s="4"/>
    </row>
    <row r="74">
      <c r="B74" s="6">
        <f t="shared" si="16"/>
        <v>4</v>
      </c>
      <c r="C74" s="6">
        <f t="shared" ref="C74:C78" si="17">C73+(1.5+3.39)*(689+1539)*1.2^(($B74-2)/2)</f>
        <v>156791.004</v>
      </c>
      <c r="D74" s="6">
        <f t="shared" ref="D74:D78" si="18">D73+(1.5+3.39)*(689+1539)*1.2^($B74/2)</f>
        <v>159405.7848</v>
      </c>
      <c r="K74" s="3"/>
      <c r="L74" s="4"/>
    </row>
    <row r="75">
      <c r="B75" s="6">
        <f t="shared" si="16"/>
        <v>6</v>
      </c>
      <c r="C75" s="6">
        <f t="shared" si="17"/>
        <v>172479.6888</v>
      </c>
      <c r="D75" s="6">
        <f t="shared" si="18"/>
        <v>178232.2066</v>
      </c>
      <c r="K75" s="3"/>
      <c r="L75" s="4"/>
    </row>
    <row r="76">
      <c r="B76" s="6">
        <f t="shared" si="16"/>
        <v>8</v>
      </c>
      <c r="C76" s="6">
        <f t="shared" si="17"/>
        <v>191306.1106</v>
      </c>
      <c r="D76" s="6">
        <f t="shared" si="18"/>
        <v>200823.9127</v>
      </c>
      <c r="K76" s="3"/>
      <c r="L76" s="4"/>
    </row>
    <row r="77">
      <c r="B77" s="6">
        <f t="shared" si="16"/>
        <v>10</v>
      </c>
      <c r="C77" s="6">
        <f t="shared" si="17"/>
        <v>213897.8167</v>
      </c>
      <c r="D77" s="6">
        <f t="shared" si="18"/>
        <v>227933.96</v>
      </c>
      <c r="K77" s="3"/>
      <c r="L77" s="4"/>
    </row>
    <row r="78">
      <c r="B78" s="6">
        <f t="shared" si="16"/>
        <v>12</v>
      </c>
      <c r="C78" s="6">
        <f t="shared" si="17"/>
        <v>241007.864</v>
      </c>
      <c r="D78" s="6">
        <f t="shared" si="18"/>
        <v>260466.0168</v>
      </c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1" width="15.13"/>
  </cols>
  <sheetData>
    <row r="1">
      <c r="A1" s="1" t="s">
        <v>539</v>
      </c>
      <c r="B1" s="1">
        <v>4509.0</v>
      </c>
      <c r="K1" s="3"/>
      <c r="L1" s="4"/>
    </row>
    <row r="2">
      <c r="A2" s="1" t="s">
        <v>540</v>
      </c>
      <c r="B2" s="5">
        <v>2.733</v>
      </c>
      <c r="K2" s="3"/>
      <c r="L2" s="4"/>
    </row>
    <row r="3">
      <c r="A3" s="1" t="s">
        <v>541</v>
      </c>
      <c r="B3" s="2">
        <f>326.8%+1.5</f>
        <v>4.768</v>
      </c>
      <c r="C3" s="49">
        <f>B3-396.7%</f>
        <v>0.801</v>
      </c>
      <c r="K3" s="3"/>
      <c r="L3" s="4"/>
    </row>
    <row r="4">
      <c r="A4" s="1" t="s">
        <v>542</v>
      </c>
      <c r="B4" s="13">
        <v>3502.0</v>
      </c>
      <c r="K4" s="3"/>
      <c r="L4" s="4"/>
    </row>
    <row r="5">
      <c r="A5" s="1" t="s">
        <v>1</v>
      </c>
      <c r="B5" s="5">
        <v>0.32</v>
      </c>
      <c r="K5" s="3"/>
      <c r="L5" s="4"/>
    </row>
    <row r="6">
      <c r="A6" s="1" t="s">
        <v>2</v>
      </c>
      <c r="B6" s="5">
        <v>0.0</v>
      </c>
      <c r="K6" s="3"/>
      <c r="L6" s="4"/>
    </row>
    <row r="7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543</v>
      </c>
      <c r="U7" s="1" t="s">
        <v>24</v>
      </c>
    </row>
    <row r="8">
      <c r="B8" s="1" t="s">
        <v>26</v>
      </c>
      <c r="C8" s="1">
        <v>0.27</v>
      </c>
      <c r="D8" s="1">
        <v>8.1</v>
      </c>
      <c r="E8" s="6">
        <f>5627+63755</f>
        <v>69382</v>
      </c>
      <c r="F8" s="6">
        <f>7172+110116</f>
        <v>117288</v>
      </c>
      <c r="I8" s="2"/>
      <c r="K8" s="3"/>
      <c r="L8" s="9">
        <f t="shared" ref="L8:L36" si="1">if(E8*($B$3+$I8)&lt;(F8+1),F8+1,E8*($I8+$B$3))</f>
        <v>330813.376</v>
      </c>
      <c r="M8" s="11">
        <f t="shared" ref="M8:M36" si="2">F8*($B$3+$I8)</f>
        <v>559229.184</v>
      </c>
      <c r="N8" s="11"/>
      <c r="O8" s="11"/>
      <c r="P8" s="11">
        <f t="shared" ref="P8:P36" si="3">M8+O8*K8*J8</f>
        <v>559229.184</v>
      </c>
      <c r="Q8" s="11">
        <f t="shared" ref="Q8:Q36" si="4">(L8*E8+F8*M8)/(E8+F8)+if(G8&gt;0,(N8*G8+H8*O8)/(G8+H8)*J8*K8,0)</f>
        <v>474330.9915</v>
      </c>
      <c r="R8" s="11">
        <f t="shared" ref="R8:R36" si="5">Q8/(C8+0.5*(1/(1+$B$5)))</f>
        <v>731103.3498</v>
      </c>
      <c r="S8" s="2">
        <f t="shared" ref="S8:S36" si="6">R8/(MAX(R$8:R$27))</f>
        <v>1</v>
      </c>
      <c r="T8" s="1" t="s">
        <v>26</v>
      </c>
      <c r="U8" s="11">
        <f t="shared" ref="U8:U36" si="7">$Q8/($C8+$D8)</f>
        <v>56670.36936</v>
      </c>
    </row>
    <row r="9">
      <c r="B9" s="1" t="s">
        <v>37</v>
      </c>
      <c r="C9" s="1">
        <v>0.27</v>
      </c>
      <c r="D9" s="1">
        <v>6.7</v>
      </c>
      <c r="E9" s="6">
        <f>12362+8860</f>
        <v>21222</v>
      </c>
      <c r="F9" s="6">
        <f>17452+13950</f>
        <v>31402</v>
      </c>
      <c r="I9" s="5">
        <v>0.125</v>
      </c>
      <c r="K9" s="3"/>
      <c r="L9" s="9">
        <f t="shared" si="1"/>
        <v>103839.246</v>
      </c>
      <c r="M9" s="10">
        <f t="shared" si="2"/>
        <v>153649.986</v>
      </c>
      <c r="N9" s="9"/>
      <c r="O9" s="11"/>
      <c r="P9" s="11">
        <f t="shared" si="3"/>
        <v>153649.986</v>
      </c>
      <c r="Q9" s="11">
        <f t="shared" si="4"/>
        <v>133562.5064</v>
      </c>
      <c r="R9" s="11">
        <f t="shared" si="5"/>
        <v>205864.676</v>
      </c>
      <c r="S9" s="2">
        <f t="shared" si="6"/>
        <v>0.2815808135</v>
      </c>
      <c r="T9" s="1" t="s">
        <v>37</v>
      </c>
      <c r="U9" s="11">
        <f t="shared" si="7"/>
        <v>19162.48299</v>
      </c>
    </row>
    <row r="10">
      <c r="B10" s="1" t="s">
        <v>30</v>
      </c>
      <c r="C10" s="1">
        <v>0.55</v>
      </c>
      <c r="D10" s="1">
        <v>13.5</v>
      </c>
      <c r="E10" s="6">
        <f>23148+3465*4</f>
        <v>37008</v>
      </c>
      <c r="F10" s="6">
        <f>39131+6435*4</f>
        <v>64871</v>
      </c>
      <c r="K10" s="3"/>
      <c r="L10" s="9">
        <f t="shared" si="1"/>
        <v>176454.144</v>
      </c>
      <c r="M10" s="10">
        <f t="shared" si="2"/>
        <v>309304.928</v>
      </c>
      <c r="N10" s="9"/>
      <c r="O10" s="11"/>
      <c r="P10" s="11">
        <f t="shared" si="3"/>
        <v>309304.928</v>
      </c>
      <c r="Q10" s="11">
        <f t="shared" si="4"/>
        <v>261046.2897</v>
      </c>
      <c r="R10" s="11">
        <f t="shared" si="5"/>
        <v>281061.258</v>
      </c>
      <c r="S10" s="2">
        <f t="shared" si="6"/>
        <v>0.3844343732</v>
      </c>
      <c r="T10" s="1" t="s">
        <v>30</v>
      </c>
      <c r="U10" s="11">
        <f t="shared" si="7"/>
        <v>18579.80709</v>
      </c>
    </row>
    <row r="11">
      <c r="B11" s="1" t="s">
        <v>42</v>
      </c>
      <c r="C11" s="1">
        <v>0.27</v>
      </c>
      <c r="D11" s="1">
        <v>6.7</v>
      </c>
      <c r="E11" s="6">
        <f>9940+6438</f>
        <v>16378</v>
      </c>
      <c r="F11" s="6">
        <f>13639+10137</f>
        <v>23776</v>
      </c>
      <c r="I11" s="5">
        <v>0.1</v>
      </c>
      <c r="K11" s="3"/>
      <c r="L11" s="9">
        <f t="shared" si="1"/>
        <v>79728.104</v>
      </c>
      <c r="M11" s="10">
        <f t="shared" si="2"/>
        <v>115741.568</v>
      </c>
      <c r="N11" s="9"/>
      <c r="O11" s="11"/>
      <c r="P11" s="11">
        <f t="shared" si="3"/>
        <v>115741.568</v>
      </c>
      <c r="Q11" s="11">
        <f t="shared" si="4"/>
        <v>101052.4084</v>
      </c>
      <c r="R11" s="11">
        <f t="shared" si="5"/>
        <v>155755.6973</v>
      </c>
      <c r="S11" s="2">
        <f t="shared" si="6"/>
        <v>0.2130419691</v>
      </c>
      <c r="T11" s="1" t="s">
        <v>42</v>
      </c>
      <c r="U11" s="11">
        <f t="shared" si="7"/>
        <v>14498.19346</v>
      </c>
    </row>
    <row r="12">
      <c r="B12" s="1" t="s">
        <v>65</v>
      </c>
      <c r="C12" s="1">
        <v>0.5</v>
      </c>
      <c r="D12" s="1">
        <v>30.0</v>
      </c>
      <c r="E12" s="6">
        <f>33106+22024</f>
        <v>55130</v>
      </c>
      <c r="F12" s="6">
        <f>39689+26171</f>
        <v>65860</v>
      </c>
      <c r="I12" s="19">
        <v>0.2</v>
      </c>
      <c r="K12" s="3"/>
      <c r="L12" s="9">
        <f t="shared" si="1"/>
        <v>273885.84</v>
      </c>
      <c r="M12" s="10">
        <f t="shared" si="2"/>
        <v>327192.48</v>
      </c>
      <c r="N12" s="9"/>
      <c r="O12" s="11"/>
      <c r="P12" s="11">
        <f t="shared" si="3"/>
        <v>327192.48</v>
      </c>
      <c r="Q12" s="11">
        <f t="shared" si="4"/>
        <v>302902.9101</v>
      </c>
      <c r="R12" s="11">
        <f t="shared" si="5"/>
        <v>344682.6218</v>
      </c>
      <c r="S12" s="2">
        <f t="shared" si="6"/>
        <v>0.4714553994</v>
      </c>
      <c r="T12" s="1" t="s">
        <v>65</v>
      </c>
      <c r="U12" s="11">
        <f t="shared" si="7"/>
        <v>9931.242954</v>
      </c>
    </row>
    <row r="13">
      <c r="B13" s="1" t="s">
        <v>52</v>
      </c>
      <c r="C13" s="1">
        <v>0.27</v>
      </c>
      <c r="D13" s="1">
        <v>5.0</v>
      </c>
      <c r="E13" s="1">
        <v>6288.0</v>
      </c>
      <c r="F13" s="1">
        <v>9901.0</v>
      </c>
      <c r="I13" s="5">
        <v>0.075</v>
      </c>
      <c r="K13" s="3"/>
      <c r="L13" s="9">
        <f t="shared" si="1"/>
        <v>30452.784</v>
      </c>
      <c r="M13" s="10">
        <f t="shared" si="2"/>
        <v>47950.543</v>
      </c>
      <c r="N13" s="9"/>
      <c r="O13" s="11"/>
      <c r="P13" s="11">
        <f t="shared" si="3"/>
        <v>47950.543</v>
      </c>
      <c r="Q13" s="11">
        <f t="shared" si="4"/>
        <v>41154.20545</v>
      </c>
      <c r="R13" s="11">
        <f t="shared" si="5"/>
        <v>63432.45118</v>
      </c>
      <c r="S13" s="2">
        <f t="shared" si="6"/>
        <v>0.08676263239</v>
      </c>
      <c r="T13" s="1" t="s">
        <v>52</v>
      </c>
      <c r="U13" s="11">
        <f t="shared" si="7"/>
        <v>7809.147144</v>
      </c>
    </row>
    <row r="14">
      <c r="B14" s="1" t="s">
        <v>50</v>
      </c>
      <c r="C14" s="1">
        <v>0.27</v>
      </c>
      <c r="D14" s="1">
        <v>6.7</v>
      </c>
      <c r="E14" s="1">
        <v>7049.0</v>
      </c>
      <c r="F14" s="1">
        <v>10920.0</v>
      </c>
      <c r="I14" s="5">
        <v>0.075</v>
      </c>
      <c r="K14" s="3"/>
      <c r="L14" s="9">
        <f t="shared" si="1"/>
        <v>34138.307</v>
      </c>
      <c r="M14" s="10">
        <f t="shared" si="2"/>
        <v>52885.56</v>
      </c>
      <c r="N14" s="9"/>
      <c r="O14" s="11"/>
      <c r="P14" s="11">
        <f t="shared" si="3"/>
        <v>52885.56</v>
      </c>
      <c r="Q14" s="11">
        <f t="shared" si="4"/>
        <v>45531.26169</v>
      </c>
      <c r="R14" s="11">
        <f t="shared" si="5"/>
        <v>70178.96477</v>
      </c>
      <c r="S14" s="2">
        <f t="shared" si="6"/>
        <v>0.09599048449</v>
      </c>
      <c r="T14" s="1" t="s">
        <v>50</v>
      </c>
      <c r="U14" s="11">
        <f t="shared" si="7"/>
        <v>6532.462222</v>
      </c>
    </row>
    <row r="15">
      <c r="B15" s="1" t="s">
        <v>39</v>
      </c>
      <c r="C15" s="1">
        <v>0.27</v>
      </c>
      <c r="D15" s="1">
        <v>20.2</v>
      </c>
      <c r="E15" s="1">
        <v>4510.0</v>
      </c>
      <c r="F15" s="1">
        <v>5089.0</v>
      </c>
      <c r="G15" s="1">
        <v>2474.0</v>
      </c>
      <c r="H15" s="1">
        <v>2474.0</v>
      </c>
      <c r="J15" s="1">
        <v>24.0</v>
      </c>
      <c r="K15" s="12">
        <f>1/2.6</f>
        <v>0.3846153846</v>
      </c>
      <c r="L15" s="9">
        <f t="shared" si="1"/>
        <v>21503.68</v>
      </c>
      <c r="M15" s="10">
        <f t="shared" si="2"/>
        <v>24264.352</v>
      </c>
      <c r="N15" s="9">
        <f>if(G15*($B$3+$I15)&lt;(H15+1),H15+1,G15*($I15+$B$3))</f>
        <v>11796.032</v>
      </c>
      <c r="O15" s="11">
        <f>H15*($B$3+$I15)</f>
        <v>11796.032</v>
      </c>
      <c r="P15" s="11">
        <f t="shared" si="3"/>
        <v>133150.8012</v>
      </c>
      <c r="Q15" s="11">
        <f t="shared" si="4"/>
        <v>131853.7254</v>
      </c>
      <c r="R15" s="11">
        <f t="shared" si="5"/>
        <v>203230.8706</v>
      </c>
      <c r="S15" s="2">
        <f t="shared" si="6"/>
        <v>0.2779783058</v>
      </c>
      <c r="T15" s="1" t="s">
        <v>39</v>
      </c>
      <c r="U15" s="11">
        <f t="shared" si="7"/>
        <v>6441.31536</v>
      </c>
    </row>
    <row r="16">
      <c r="B16" s="1" t="s">
        <v>32</v>
      </c>
      <c r="C16" s="1">
        <v>0.27</v>
      </c>
      <c r="D16" s="1">
        <v>40.4</v>
      </c>
      <c r="E16" s="6">
        <f>20554+17052</f>
        <v>37606</v>
      </c>
      <c r="F16" s="6">
        <f>30351+26849</f>
        <v>57200</v>
      </c>
      <c r="I16" s="2"/>
      <c r="K16" s="3"/>
      <c r="L16" s="9">
        <f t="shared" si="1"/>
        <v>179305.408</v>
      </c>
      <c r="M16" s="10">
        <f t="shared" si="2"/>
        <v>272729.6</v>
      </c>
      <c r="N16" s="9"/>
      <c r="O16" s="11"/>
      <c r="P16" s="11">
        <f t="shared" si="3"/>
        <v>272729.6</v>
      </c>
      <c r="Q16" s="11">
        <f t="shared" si="4"/>
        <v>235671.7116</v>
      </c>
      <c r="R16" s="11">
        <f t="shared" si="5"/>
        <v>363249.2519</v>
      </c>
      <c r="S16" s="2">
        <f t="shared" si="6"/>
        <v>0.4968507558</v>
      </c>
      <c r="T16" s="1" t="s">
        <v>32</v>
      </c>
      <c r="U16" s="11">
        <f t="shared" si="7"/>
        <v>5794.731046</v>
      </c>
    </row>
    <row r="17">
      <c r="B17" s="1" t="s">
        <v>28</v>
      </c>
      <c r="C17" s="1">
        <v>0.82</v>
      </c>
      <c r="D17" s="1">
        <v>61.0</v>
      </c>
      <c r="E17" s="6">
        <f>18947+28225</f>
        <v>47172</v>
      </c>
      <c r="F17" s="6">
        <f>29161+44440</f>
        <v>73601</v>
      </c>
      <c r="K17" s="3"/>
      <c r="L17" s="9">
        <f t="shared" si="1"/>
        <v>224916.096</v>
      </c>
      <c r="M17" s="10">
        <f t="shared" si="2"/>
        <v>350929.568</v>
      </c>
      <c r="N17" s="9"/>
      <c r="O17" s="11"/>
      <c r="P17" s="11">
        <f t="shared" si="3"/>
        <v>350929.568</v>
      </c>
      <c r="Q17" s="11">
        <f t="shared" si="4"/>
        <v>301710.7235</v>
      </c>
      <c r="R17" s="11">
        <f t="shared" si="5"/>
        <v>251679.825</v>
      </c>
      <c r="S17" s="2">
        <f t="shared" si="6"/>
        <v>0.3442465762</v>
      </c>
      <c r="T17" s="1" t="s">
        <v>28</v>
      </c>
      <c r="U17" s="11">
        <f t="shared" si="7"/>
        <v>4880.471102</v>
      </c>
    </row>
    <row r="18">
      <c r="B18" s="1" t="s">
        <v>47</v>
      </c>
      <c r="C18" s="1">
        <v>0.27</v>
      </c>
      <c r="D18" s="1">
        <v>13.5</v>
      </c>
      <c r="E18" s="6">
        <f>7380+3878</f>
        <v>11258</v>
      </c>
      <c r="F18" s="6">
        <f>9608+6106</f>
        <v>15714</v>
      </c>
      <c r="I18" s="2"/>
      <c r="K18" s="3"/>
      <c r="L18" s="9">
        <f t="shared" si="1"/>
        <v>53678.144</v>
      </c>
      <c r="M18" s="10">
        <f t="shared" si="2"/>
        <v>74924.352</v>
      </c>
      <c r="N18" s="9"/>
      <c r="O18" s="11"/>
      <c r="P18" s="11">
        <f t="shared" si="3"/>
        <v>74924.352</v>
      </c>
      <c r="Q18" s="11">
        <f t="shared" si="4"/>
        <v>66056.27363</v>
      </c>
      <c r="R18" s="11">
        <f t="shared" si="5"/>
        <v>101814.901</v>
      </c>
      <c r="S18" s="2">
        <f t="shared" si="6"/>
        <v>0.1392619812</v>
      </c>
      <c r="T18" s="1" t="s">
        <v>47</v>
      </c>
      <c r="U18" s="11">
        <f t="shared" si="7"/>
        <v>4797.115006</v>
      </c>
    </row>
    <row r="19">
      <c r="B19" s="1" t="s">
        <v>64</v>
      </c>
      <c r="C19" s="1">
        <v>0.5</v>
      </c>
      <c r="D19" s="1">
        <v>61.0</v>
      </c>
      <c r="E19" s="6">
        <f>18265+27140</f>
        <v>45405</v>
      </c>
      <c r="F19" s="6">
        <f>28088+42732</f>
        <v>70820</v>
      </c>
      <c r="I19" s="2"/>
      <c r="K19" s="3"/>
      <c r="L19" s="9">
        <f t="shared" si="1"/>
        <v>216491.04</v>
      </c>
      <c r="M19" s="10">
        <f t="shared" si="2"/>
        <v>337669.76</v>
      </c>
      <c r="N19" s="9"/>
      <c r="O19" s="11"/>
      <c r="P19" s="11">
        <f t="shared" si="3"/>
        <v>337669.76</v>
      </c>
      <c r="Q19" s="11">
        <f t="shared" si="4"/>
        <v>290329.5167</v>
      </c>
      <c r="R19" s="11">
        <f t="shared" si="5"/>
        <v>330374.9672</v>
      </c>
      <c r="S19" s="2">
        <f t="shared" si="6"/>
        <v>0.4518854514</v>
      </c>
      <c r="T19" s="1" t="s">
        <v>64</v>
      </c>
      <c r="U19" s="11">
        <f t="shared" si="7"/>
        <v>4720.805149</v>
      </c>
    </row>
    <row r="20">
      <c r="B20" s="1" t="s">
        <v>33</v>
      </c>
      <c r="C20" s="1">
        <v>0.82</v>
      </c>
      <c r="D20" s="1">
        <v>40.2</v>
      </c>
      <c r="E20" s="6">
        <f>16914+13410</f>
        <v>30324</v>
      </c>
      <c r="F20" s="6">
        <f>24616+21114</f>
        <v>45730</v>
      </c>
      <c r="K20" s="3"/>
      <c r="L20" s="9">
        <f t="shared" si="1"/>
        <v>144584.832</v>
      </c>
      <c r="M20" s="10">
        <f t="shared" si="2"/>
        <v>218040.64</v>
      </c>
      <c r="N20" s="9"/>
      <c r="O20" s="11"/>
      <c r="P20" s="11">
        <f t="shared" si="3"/>
        <v>218040.64</v>
      </c>
      <c r="Q20" s="11">
        <f t="shared" si="4"/>
        <v>188752.5825</v>
      </c>
      <c r="R20" s="11">
        <f t="shared" si="5"/>
        <v>157452.8621</v>
      </c>
      <c r="S20" s="2">
        <f t="shared" si="6"/>
        <v>0.2153633438</v>
      </c>
      <c r="T20" s="1" t="s">
        <v>33</v>
      </c>
      <c r="U20" s="11">
        <f t="shared" si="7"/>
        <v>4601.476903</v>
      </c>
    </row>
    <row r="21">
      <c r="B21" s="1" t="s">
        <v>49</v>
      </c>
      <c r="C21" s="1">
        <v>0.27</v>
      </c>
      <c r="D21" s="1">
        <v>10.5</v>
      </c>
      <c r="E21" s="1">
        <v>7865.0</v>
      </c>
      <c r="F21" s="1">
        <v>11818.0</v>
      </c>
      <c r="I21" s="2"/>
      <c r="K21" s="3"/>
      <c r="L21" s="9">
        <f t="shared" si="1"/>
        <v>37500.32</v>
      </c>
      <c r="M21" s="10">
        <f t="shared" si="2"/>
        <v>56348.224</v>
      </c>
      <c r="N21" s="9"/>
      <c r="O21" s="11"/>
      <c r="P21" s="11">
        <f t="shared" si="3"/>
        <v>56348.224</v>
      </c>
      <c r="Q21" s="11">
        <f t="shared" si="4"/>
        <v>48816.9145</v>
      </c>
      <c r="R21" s="11">
        <f t="shared" si="5"/>
        <v>75243.25915</v>
      </c>
      <c r="S21" s="2">
        <f t="shared" si="6"/>
        <v>0.1029174044</v>
      </c>
      <c r="T21" s="1" t="s">
        <v>49</v>
      </c>
      <c r="U21" s="11">
        <f t="shared" si="7"/>
        <v>4532.675441</v>
      </c>
    </row>
    <row r="22">
      <c r="B22" s="1" t="s">
        <v>38</v>
      </c>
      <c r="C22" s="1">
        <v>0.55</v>
      </c>
      <c r="D22" s="1">
        <v>30.3</v>
      </c>
      <c r="E22" s="6">
        <f>19451+4355</f>
        <v>23806</v>
      </c>
      <c r="F22" s="6">
        <f>22623+6257</f>
        <v>28880</v>
      </c>
      <c r="I22" s="2"/>
      <c r="K22" s="3"/>
      <c r="L22" s="9">
        <f t="shared" si="1"/>
        <v>113507.008</v>
      </c>
      <c r="M22" s="10">
        <f t="shared" si="2"/>
        <v>137699.84</v>
      </c>
      <c r="N22" s="9"/>
      <c r="O22" s="11"/>
      <c r="P22" s="11">
        <f t="shared" si="3"/>
        <v>137699.84</v>
      </c>
      <c r="Q22" s="11">
        <f t="shared" si="4"/>
        <v>126768.3865</v>
      </c>
      <c r="R22" s="11">
        <f t="shared" si="5"/>
        <v>136487.9855</v>
      </c>
      <c r="S22" s="2">
        <f t="shared" si="6"/>
        <v>0.1866876762</v>
      </c>
      <c r="T22" s="1" t="s">
        <v>38</v>
      </c>
      <c r="U22" s="11">
        <f t="shared" si="7"/>
        <v>4109.185948</v>
      </c>
    </row>
    <row r="23">
      <c r="B23" s="1" t="s">
        <v>48</v>
      </c>
      <c r="C23" s="1">
        <v>0.27</v>
      </c>
      <c r="D23" s="1">
        <v>13.5</v>
      </c>
      <c r="E23" s="1">
        <v>9701.0</v>
      </c>
      <c r="F23" s="1">
        <v>13262.0</v>
      </c>
      <c r="I23" s="2"/>
      <c r="K23" s="3"/>
      <c r="L23" s="9">
        <f t="shared" si="1"/>
        <v>46254.368</v>
      </c>
      <c r="M23" s="10">
        <f t="shared" si="2"/>
        <v>63233.216</v>
      </c>
      <c r="N23" s="9"/>
      <c r="O23" s="11"/>
      <c r="P23" s="11">
        <f t="shared" si="3"/>
        <v>63233.216</v>
      </c>
      <c r="Q23" s="11">
        <f t="shared" si="4"/>
        <v>56060.29415</v>
      </c>
      <c r="R23" s="11">
        <f t="shared" si="5"/>
        <v>86407.7397</v>
      </c>
      <c r="S23" s="2">
        <f t="shared" si="6"/>
        <v>0.1181881327</v>
      </c>
      <c r="T23" s="1" t="s">
        <v>48</v>
      </c>
      <c r="U23" s="11">
        <f t="shared" si="7"/>
        <v>4071.19057</v>
      </c>
    </row>
    <row r="24">
      <c r="B24" s="1" t="s">
        <v>35</v>
      </c>
      <c r="C24" s="1">
        <v>1.5</v>
      </c>
      <c r="D24" s="1">
        <v>40.4</v>
      </c>
      <c r="E24" s="6">
        <f>9293+12899</f>
        <v>22192</v>
      </c>
      <c r="F24" s="6">
        <f>20309+13962</f>
        <v>34271</v>
      </c>
      <c r="K24" s="3"/>
      <c r="L24" s="9">
        <f t="shared" si="1"/>
        <v>105811.456</v>
      </c>
      <c r="M24" s="10">
        <f t="shared" si="2"/>
        <v>163404.128</v>
      </c>
      <c r="N24" s="9"/>
      <c r="O24" s="11"/>
      <c r="P24" s="11">
        <f t="shared" si="3"/>
        <v>163404.128</v>
      </c>
      <c r="Q24" s="11">
        <f t="shared" si="4"/>
        <v>140768.1261</v>
      </c>
      <c r="R24" s="11">
        <f t="shared" si="5"/>
        <v>74924.97033</v>
      </c>
      <c r="S24" s="2">
        <f t="shared" si="6"/>
        <v>0.1024820504</v>
      </c>
      <c r="T24" s="1" t="s">
        <v>35</v>
      </c>
      <c r="U24" s="11">
        <f t="shared" si="7"/>
        <v>3359.621147</v>
      </c>
    </row>
    <row r="25">
      <c r="B25" s="1" t="s">
        <v>46</v>
      </c>
      <c r="C25" s="1">
        <v>0.27</v>
      </c>
      <c r="D25" s="1">
        <v>20.2</v>
      </c>
      <c r="E25" s="1">
        <v>11364.0</v>
      </c>
      <c r="F25" s="1">
        <v>15881.0</v>
      </c>
      <c r="I25" s="2"/>
      <c r="K25" s="3"/>
      <c r="L25" s="9">
        <f t="shared" si="1"/>
        <v>54183.552</v>
      </c>
      <c r="M25" s="10">
        <f t="shared" si="2"/>
        <v>75720.608</v>
      </c>
      <c r="N25" s="9"/>
      <c r="O25" s="11"/>
      <c r="P25" s="11">
        <f t="shared" si="3"/>
        <v>75720.608</v>
      </c>
      <c r="Q25" s="11">
        <f t="shared" si="4"/>
        <v>66737.41459</v>
      </c>
      <c r="R25" s="11">
        <f t="shared" si="5"/>
        <v>102864.7679</v>
      </c>
      <c r="S25" s="2">
        <f t="shared" si="6"/>
        <v>0.1406979847</v>
      </c>
      <c r="T25" s="1" t="s">
        <v>46</v>
      </c>
      <c r="U25" s="11">
        <f t="shared" si="7"/>
        <v>3260.254743</v>
      </c>
    </row>
    <row r="26">
      <c r="B26" s="1" t="s">
        <v>41</v>
      </c>
      <c r="C26" s="1">
        <v>0.75</v>
      </c>
      <c r="D26" s="1">
        <v>40.4</v>
      </c>
      <c r="E26" s="6">
        <f>5874+4744+7116</f>
        <v>17734</v>
      </c>
      <c r="F26" s="6">
        <f>7236+7469+11204</f>
        <v>25909</v>
      </c>
      <c r="I26" s="2"/>
      <c r="K26" s="3"/>
      <c r="L26" s="9">
        <f t="shared" si="1"/>
        <v>84555.712</v>
      </c>
      <c r="M26" s="10">
        <f t="shared" si="2"/>
        <v>123534.112</v>
      </c>
      <c r="N26" s="9"/>
      <c r="O26" s="11"/>
      <c r="P26" s="11">
        <f t="shared" si="3"/>
        <v>123534.112</v>
      </c>
      <c r="Q26" s="11">
        <f t="shared" si="4"/>
        <v>107695.5366</v>
      </c>
      <c r="R26" s="11">
        <f t="shared" si="5"/>
        <v>95408.1264</v>
      </c>
      <c r="S26" s="2">
        <f t="shared" si="6"/>
        <v>0.1304988227</v>
      </c>
      <c r="T26" s="1" t="s">
        <v>41</v>
      </c>
      <c r="U26" s="11">
        <f t="shared" si="7"/>
        <v>2617.145483</v>
      </c>
    </row>
    <row r="27">
      <c r="B27" s="1" t="s">
        <v>36</v>
      </c>
      <c r="C27" s="6">
        <f>C26</f>
        <v>0.75</v>
      </c>
      <c r="D27" s="1">
        <v>61.0</v>
      </c>
      <c r="E27" s="1">
        <v>25578.0</v>
      </c>
      <c r="F27" s="1">
        <v>38260.0</v>
      </c>
      <c r="K27" s="3"/>
      <c r="L27" s="9">
        <f t="shared" si="1"/>
        <v>121955.904</v>
      </c>
      <c r="M27" s="10">
        <f t="shared" si="2"/>
        <v>182423.68</v>
      </c>
      <c r="N27" s="9"/>
      <c r="O27" s="11"/>
      <c r="P27" s="11">
        <f t="shared" si="3"/>
        <v>182423.68</v>
      </c>
      <c r="Q27" s="11">
        <f t="shared" si="4"/>
        <v>158196.0292</v>
      </c>
      <c r="R27" s="11">
        <f t="shared" si="5"/>
        <v>140146.8178</v>
      </c>
      <c r="S27" s="2">
        <f t="shared" si="6"/>
        <v>0.1916922112</v>
      </c>
      <c r="T27" s="1" t="s">
        <v>36</v>
      </c>
      <c r="U27" s="11">
        <f t="shared" si="7"/>
        <v>2561.879015</v>
      </c>
    </row>
    <row r="28">
      <c r="B28" s="1" t="s">
        <v>51</v>
      </c>
      <c r="C28" s="1">
        <v>0.27</v>
      </c>
      <c r="D28" s="1">
        <v>20.2</v>
      </c>
      <c r="E28" s="1">
        <v>8216.0</v>
      </c>
      <c r="F28" s="1">
        <v>10278.0</v>
      </c>
      <c r="I28" s="2"/>
      <c r="K28" s="3"/>
      <c r="L28" s="9">
        <f t="shared" si="1"/>
        <v>39173.888</v>
      </c>
      <c r="M28" s="10">
        <f t="shared" si="2"/>
        <v>49005.504</v>
      </c>
      <c r="N28" s="9"/>
      <c r="O28" s="11"/>
      <c r="P28" s="11">
        <f t="shared" si="3"/>
        <v>49005.504</v>
      </c>
      <c r="Q28" s="11">
        <f t="shared" si="4"/>
        <v>44637.78706</v>
      </c>
      <c r="R28" s="11">
        <f t="shared" si="5"/>
        <v>68801.82032</v>
      </c>
      <c r="S28" s="2">
        <f t="shared" si="6"/>
        <v>0.09410683228</v>
      </c>
      <c r="T28" s="1" t="s">
        <v>51</v>
      </c>
      <c r="U28" s="11">
        <f t="shared" si="7"/>
        <v>2180.644214</v>
      </c>
    </row>
    <row r="29">
      <c r="B29" s="1" t="s">
        <v>44</v>
      </c>
      <c r="C29" s="1">
        <v>0.82</v>
      </c>
      <c r="D29" s="1">
        <v>40.4</v>
      </c>
      <c r="E29" s="1">
        <v>14139.0</v>
      </c>
      <c r="F29" s="1">
        <v>20251.0</v>
      </c>
      <c r="I29" s="2"/>
      <c r="K29" s="3"/>
      <c r="L29" s="9">
        <f t="shared" si="1"/>
        <v>67414.752</v>
      </c>
      <c r="M29" s="10">
        <f t="shared" si="2"/>
        <v>96556.768</v>
      </c>
      <c r="N29" s="9"/>
      <c r="O29" s="11"/>
      <c r="P29" s="11">
        <f t="shared" si="3"/>
        <v>96556.768</v>
      </c>
      <c r="Q29" s="11">
        <f t="shared" si="4"/>
        <v>84575.40818</v>
      </c>
      <c r="R29" s="11">
        <f t="shared" si="5"/>
        <v>70550.77022</v>
      </c>
      <c r="S29" s="2">
        <f t="shared" si="6"/>
        <v>0.09649903839</v>
      </c>
      <c r="T29" s="1" t="s">
        <v>44</v>
      </c>
      <c r="U29" s="11">
        <f t="shared" si="7"/>
        <v>2051.805147</v>
      </c>
    </row>
    <row r="30">
      <c r="B30" s="1" t="s">
        <v>43</v>
      </c>
      <c r="C30" s="1">
        <v>0.82</v>
      </c>
      <c r="D30" s="1">
        <v>40.4</v>
      </c>
      <c r="E30" s="1">
        <v>12728.0</v>
      </c>
      <c r="F30" s="1">
        <v>18029.0</v>
      </c>
      <c r="I30" s="5">
        <v>0.125</v>
      </c>
      <c r="K30" s="3"/>
      <c r="L30" s="9">
        <f t="shared" si="1"/>
        <v>62278.104</v>
      </c>
      <c r="M30" s="10">
        <f t="shared" si="2"/>
        <v>88215.897</v>
      </c>
      <c r="N30" s="9"/>
      <c r="O30" s="11"/>
      <c r="P30" s="11">
        <f t="shared" si="3"/>
        <v>88215.897</v>
      </c>
      <c r="Q30" s="11">
        <f t="shared" si="4"/>
        <v>77482.2029</v>
      </c>
      <c r="R30" s="11">
        <f t="shared" si="5"/>
        <v>64633.78908</v>
      </c>
      <c r="S30" s="2">
        <f t="shared" si="6"/>
        <v>0.08840581717</v>
      </c>
      <c r="T30" s="1" t="s">
        <v>43</v>
      </c>
      <c r="U30" s="11">
        <f t="shared" si="7"/>
        <v>1879.723506</v>
      </c>
    </row>
    <row r="31">
      <c r="B31" s="1" t="s">
        <v>55</v>
      </c>
      <c r="C31" s="1">
        <v>0.27</v>
      </c>
      <c r="D31" s="1">
        <v>13.5</v>
      </c>
      <c r="E31" s="1">
        <v>4663.0</v>
      </c>
      <c r="F31" s="1">
        <v>5590.0</v>
      </c>
      <c r="I31" s="2"/>
      <c r="K31" s="3"/>
      <c r="L31" s="9">
        <f t="shared" si="1"/>
        <v>22233.184</v>
      </c>
      <c r="M31" s="10">
        <f t="shared" si="2"/>
        <v>26653.12</v>
      </c>
      <c r="N31" s="9"/>
      <c r="O31" s="11"/>
      <c r="P31" s="11">
        <f t="shared" si="3"/>
        <v>26653.12</v>
      </c>
      <c r="Q31" s="11">
        <f t="shared" si="4"/>
        <v>24642.96087</v>
      </c>
      <c r="R31" s="11">
        <f t="shared" si="5"/>
        <v>37983.07841</v>
      </c>
      <c r="S31" s="2">
        <f t="shared" si="6"/>
        <v>0.05195309037</v>
      </c>
      <c r="T31" s="1" t="s">
        <v>55</v>
      </c>
      <c r="U31" s="11">
        <f t="shared" si="7"/>
        <v>1789.612264</v>
      </c>
    </row>
    <row r="32">
      <c r="B32" s="1" t="s">
        <v>45</v>
      </c>
      <c r="C32" s="1">
        <v>0.27</v>
      </c>
      <c r="D32" s="1">
        <v>40.4</v>
      </c>
      <c r="E32" s="1">
        <v>12462.0</v>
      </c>
      <c r="F32" s="1">
        <v>16377.0</v>
      </c>
      <c r="I32" s="2"/>
      <c r="K32" s="3"/>
      <c r="L32" s="9">
        <f t="shared" si="1"/>
        <v>59418.816</v>
      </c>
      <c r="M32" s="10">
        <f t="shared" si="2"/>
        <v>78085.536</v>
      </c>
      <c r="N32" s="9"/>
      <c r="O32" s="11"/>
      <c r="P32" s="11">
        <f t="shared" si="3"/>
        <v>78085.536</v>
      </c>
      <c r="Q32" s="11">
        <f t="shared" si="4"/>
        <v>70019.21384</v>
      </c>
      <c r="R32" s="11">
        <f t="shared" si="5"/>
        <v>107923.1227</v>
      </c>
      <c r="S32" s="2">
        <f t="shared" si="6"/>
        <v>0.1476167805</v>
      </c>
      <c r="T32" s="1" t="s">
        <v>45</v>
      </c>
      <c r="U32" s="11">
        <f t="shared" si="7"/>
        <v>1721.642829</v>
      </c>
    </row>
    <row r="33">
      <c r="B33" s="1" t="s">
        <v>25</v>
      </c>
      <c r="C33" s="1">
        <v>1.64</v>
      </c>
      <c r="D33" s="1">
        <v>607.0</v>
      </c>
      <c r="E33" s="6">
        <f>74732+71230</f>
        <v>145962</v>
      </c>
      <c r="F33" s="6">
        <f>115655+112153</f>
        <v>227808</v>
      </c>
      <c r="I33" s="2"/>
      <c r="K33" s="3"/>
      <c r="L33" s="9">
        <f t="shared" si="1"/>
        <v>695946.816</v>
      </c>
      <c r="M33" s="10">
        <f t="shared" si="2"/>
        <v>1086188.544</v>
      </c>
      <c r="N33" s="9"/>
      <c r="O33" s="11"/>
      <c r="P33" s="11">
        <f t="shared" si="3"/>
        <v>1086188.544</v>
      </c>
      <c r="Q33" s="11">
        <f t="shared" si="4"/>
        <v>933794.122</v>
      </c>
      <c r="R33" s="11">
        <f t="shared" si="5"/>
        <v>462551.8767</v>
      </c>
      <c r="S33" s="2">
        <f t="shared" si="6"/>
        <v>0.6326764565</v>
      </c>
      <c r="T33" s="1" t="s">
        <v>25</v>
      </c>
      <c r="U33" s="11">
        <f t="shared" si="7"/>
        <v>1534.230616</v>
      </c>
    </row>
    <row r="34">
      <c r="B34" s="1" t="s">
        <v>53</v>
      </c>
      <c r="C34" s="1">
        <v>0.27</v>
      </c>
      <c r="D34" s="1">
        <v>20.2</v>
      </c>
      <c r="E34" s="1">
        <v>4068.0</v>
      </c>
      <c r="F34" s="1">
        <v>6405.0</v>
      </c>
      <c r="I34" s="2"/>
      <c r="K34" s="3"/>
      <c r="L34" s="9">
        <f t="shared" si="1"/>
        <v>19396.224</v>
      </c>
      <c r="M34" s="10">
        <f t="shared" si="2"/>
        <v>30539.04</v>
      </c>
      <c r="N34" s="9"/>
      <c r="O34" s="11"/>
      <c r="P34" s="11">
        <f t="shared" si="3"/>
        <v>30539.04</v>
      </c>
      <c r="Q34" s="11">
        <f t="shared" si="4"/>
        <v>26210.86512</v>
      </c>
      <c r="R34" s="11">
        <f t="shared" si="5"/>
        <v>40399.7454</v>
      </c>
      <c r="S34" s="2">
        <f t="shared" si="6"/>
        <v>0.05525859704</v>
      </c>
      <c r="T34" s="1" t="s">
        <v>53</v>
      </c>
      <c r="U34" s="11">
        <f t="shared" si="7"/>
        <v>1280.45262</v>
      </c>
    </row>
    <row r="35">
      <c r="B35" s="1" t="s">
        <v>27</v>
      </c>
      <c r="C35" s="1">
        <v>1.09</v>
      </c>
      <c r="D35" s="1">
        <v>122.0</v>
      </c>
      <c r="E35" s="6">
        <f>11485+8481</f>
        <v>19966</v>
      </c>
      <c r="F35" s="6">
        <f>15993+12722</f>
        <v>28715</v>
      </c>
      <c r="G35" s="1">
        <v>8481.0</v>
      </c>
      <c r="H35" s="1">
        <v>12722.0</v>
      </c>
      <c r="I35" s="2"/>
      <c r="J35" s="1">
        <v>12.0</v>
      </c>
      <c r="K35" s="12">
        <f>1/3</f>
        <v>0.3333333333</v>
      </c>
      <c r="L35" s="9">
        <f t="shared" si="1"/>
        <v>95197.888</v>
      </c>
      <c r="M35" s="10">
        <f t="shared" si="2"/>
        <v>136913.12</v>
      </c>
      <c r="N35" s="9"/>
      <c r="O35" s="11"/>
      <c r="P35" s="11">
        <f t="shared" si="3"/>
        <v>136913.12</v>
      </c>
      <c r="Q35" s="11">
        <f t="shared" si="4"/>
        <v>119804.0565</v>
      </c>
      <c r="R35" s="11">
        <f t="shared" si="5"/>
        <v>81566.61571</v>
      </c>
      <c r="S35" s="2">
        <f t="shared" si="6"/>
        <v>0.1115664642</v>
      </c>
      <c r="T35" s="1" t="s">
        <v>27</v>
      </c>
      <c r="U35" s="11">
        <f t="shared" si="7"/>
        <v>973.3045451</v>
      </c>
    </row>
    <row r="36">
      <c r="B36" s="1" t="s">
        <v>54</v>
      </c>
      <c r="C36" s="1">
        <v>0.55</v>
      </c>
      <c r="D36" s="1">
        <v>30.3</v>
      </c>
      <c r="E36" s="1">
        <v>4554.0</v>
      </c>
      <c r="F36" s="1">
        <v>7170.0</v>
      </c>
      <c r="I36" s="2"/>
      <c r="K36" s="3"/>
      <c r="L36" s="9">
        <f t="shared" si="1"/>
        <v>21713.472</v>
      </c>
      <c r="M36" s="10">
        <f t="shared" si="2"/>
        <v>34186.56</v>
      </c>
      <c r="N36" s="9"/>
      <c r="O36" s="11"/>
      <c r="P36" s="11">
        <f t="shared" si="3"/>
        <v>34186.56</v>
      </c>
      <c r="Q36" s="11">
        <f t="shared" si="4"/>
        <v>29341.58877</v>
      </c>
      <c r="R36" s="11">
        <f t="shared" si="5"/>
        <v>31591.27012</v>
      </c>
      <c r="S36" s="2">
        <f t="shared" si="6"/>
        <v>0.04321040265</v>
      </c>
      <c r="T36" s="1" t="s">
        <v>54</v>
      </c>
      <c r="U36" s="11">
        <f t="shared" si="7"/>
        <v>951.1049843</v>
      </c>
    </row>
    <row r="37">
      <c r="K37" s="3"/>
      <c r="L37" s="4"/>
    </row>
    <row r="38">
      <c r="K38" s="3"/>
      <c r="L38" s="4"/>
    </row>
    <row r="39">
      <c r="K39" s="3"/>
      <c r="L39" s="4"/>
    </row>
    <row r="40">
      <c r="K40" s="3"/>
      <c r="L40" s="4"/>
    </row>
    <row r="41">
      <c r="K41" s="3"/>
      <c r="L41" s="4"/>
      <c r="P41" s="50"/>
      <c r="S41" s="50"/>
    </row>
    <row r="42">
      <c r="K42" s="3"/>
      <c r="L42" s="4"/>
      <c r="P42" s="50"/>
      <c r="S42" s="50"/>
    </row>
    <row r="43">
      <c r="K43" s="3"/>
      <c r="L43" s="4"/>
      <c r="P43" s="50"/>
      <c r="S43" s="50"/>
    </row>
    <row r="44">
      <c r="K44" s="3"/>
      <c r="L44" s="4"/>
      <c r="P44" s="50"/>
      <c r="S44" s="50"/>
    </row>
    <row r="45">
      <c r="K45" s="3"/>
      <c r="L45" s="4"/>
    </row>
    <row r="46">
      <c r="K46" s="3"/>
      <c r="L46" s="4"/>
    </row>
    <row r="47">
      <c r="K47" s="3"/>
      <c r="L47" s="4"/>
    </row>
    <row r="48">
      <c r="K48" s="3"/>
      <c r="L48" s="4"/>
    </row>
    <row r="49">
      <c r="K49" s="3"/>
      <c r="L49" s="4"/>
    </row>
    <row r="50">
      <c r="K50" s="3"/>
      <c r="L50" s="4"/>
      <c r="Q50" s="2"/>
    </row>
    <row r="51">
      <c r="K51" s="3"/>
      <c r="L51" s="4"/>
      <c r="Q51" s="2"/>
    </row>
    <row r="52">
      <c r="K52" s="3"/>
      <c r="L52" s="4"/>
      <c r="Q52" s="2"/>
    </row>
    <row r="53">
      <c r="K53" s="3"/>
      <c r="L53" s="4"/>
      <c r="Q53" s="2"/>
    </row>
    <row r="54">
      <c r="K54" s="3"/>
      <c r="L54" s="4"/>
      <c r="Q54" s="2"/>
    </row>
    <row r="55">
      <c r="K55" s="3"/>
      <c r="L55" s="4"/>
      <c r="Q55" s="2"/>
    </row>
    <row r="56">
      <c r="K56" s="3"/>
      <c r="L56" s="4"/>
      <c r="Q56" s="2"/>
    </row>
    <row r="57">
      <c r="K57" s="3"/>
      <c r="L57" s="4"/>
      <c r="Q57" s="2"/>
    </row>
    <row r="58">
      <c r="K58" s="3"/>
      <c r="L58" s="4"/>
      <c r="Q58" s="2"/>
    </row>
    <row r="59">
      <c r="K59" s="3"/>
      <c r="L59" s="4"/>
      <c r="Q59" s="2"/>
    </row>
    <row r="60">
      <c r="K60" s="3"/>
      <c r="L60" s="4"/>
      <c r="Q60" s="2"/>
    </row>
    <row r="61">
      <c r="K61" s="3"/>
      <c r="L61" s="4"/>
      <c r="Q61" s="2"/>
    </row>
    <row r="62">
      <c r="K62" s="3"/>
      <c r="L62" s="4"/>
      <c r="Q62" s="2"/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1" width="15.13"/>
  </cols>
  <sheetData>
    <row r="1">
      <c r="A1" s="1" t="s">
        <v>544</v>
      </c>
      <c r="B1" s="1">
        <v>3354.0</v>
      </c>
      <c r="K1" s="3"/>
      <c r="L1" s="4"/>
    </row>
    <row r="2">
      <c r="A2" s="1" t="s">
        <v>540</v>
      </c>
      <c r="B2" s="5">
        <v>1.75</v>
      </c>
      <c r="K2" s="3"/>
      <c r="L2" s="4"/>
    </row>
    <row r="3">
      <c r="A3" s="1" t="s">
        <v>545</v>
      </c>
      <c r="B3" s="2">
        <f>150%+205.4%</f>
        <v>3.554</v>
      </c>
      <c r="C3" s="49">
        <f>B3-396.7%</f>
        <v>-0.413</v>
      </c>
      <c r="K3" s="3"/>
      <c r="L3" s="4"/>
    </row>
    <row r="4">
      <c r="A4" s="1" t="s">
        <v>546</v>
      </c>
      <c r="B4" s="13">
        <v>4862.8</v>
      </c>
      <c r="K4" s="3"/>
      <c r="L4" s="4"/>
    </row>
    <row r="5">
      <c r="A5" s="1" t="s">
        <v>1</v>
      </c>
      <c r="B5" s="5">
        <v>0.624</v>
      </c>
      <c r="K5" s="3"/>
      <c r="L5" s="4"/>
    </row>
    <row r="6">
      <c r="A6" s="1" t="s">
        <v>2</v>
      </c>
      <c r="B6" s="5">
        <v>0.12</v>
      </c>
      <c r="K6" s="3"/>
      <c r="L6" s="4"/>
    </row>
    <row r="7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  <c r="L7" s="8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547</v>
      </c>
      <c r="T7" s="1" t="s">
        <v>69</v>
      </c>
      <c r="U7" s="1" t="s">
        <v>547</v>
      </c>
    </row>
    <row r="8">
      <c r="A8" s="11">
        <f t="shared" ref="A8:A22" si="1">T8</f>
        <v>29073.85837</v>
      </c>
      <c r="B8" s="1" t="s">
        <v>548</v>
      </c>
      <c r="C8" s="1">
        <v>0.25</v>
      </c>
      <c r="D8" s="1">
        <v>7.5</v>
      </c>
      <c r="E8" s="1">
        <v>12810.0</v>
      </c>
      <c r="F8" s="1">
        <v>16538.0</v>
      </c>
      <c r="G8" s="1">
        <v>7947.0</v>
      </c>
      <c r="H8" s="1">
        <v>11675.0</v>
      </c>
      <c r="I8" s="2"/>
      <c r="J8" s="1">
        <v>1.0</v>
      </c>
      <c r="K8" s="7">
        <v>2.0</v>
      </c>
      <c r="L8" s="9">
        <f t="shared" ref="L8:L22" si="2">if(E8*($B$3+$I8)&lt;(F8+1),F8+1,E8*($I8+$B$3))</f>
        <v>45526.74</v>
      </c>
      <c r="M8" s="11">
        <f t="shared" ref="M8:M22" si="3">F8*($B$3+$I8)</f>
        <v>58776.052</v>
      </c>
      <c r="N8" s="11">
        <f t="shared" ref="N8:N9" si="4">if(G8*($B$3+$I8)&lt;(H8+1),H8+1,G8*($I8+$B$3))</f>
        <v>28243.638</v>
      </c>
      <c r="O8" s="11">
        <f t="shared" ref="O8:O9" si="5">H8*($B$3+$I8)</f>
        <v>41492.95</v>
      </c>
      <c r="P8" s="11">
        <f t="shared" ref="P8:P22" si="6">M8+O8*K8*J8</f>
        <v>141761.952</v>
      </c>
      <c r="Q8" s="11">
        <f t="shared" ref="Q8:Q22" si="7">(L8*E8+F8*M8)/(E8+F8)+if(G8&gt;0,(N8*G8+H8*O8)/(G8+H8)*J8*K8,0)</f>
        <v>125246.7445</v>
      </c>
      <c r="R8" s="11">
        <f t="shared" ref="R8:R22" si="8">Q8/(C8+0.5*(1/(1+$B$5)))</f>
        <v>224504.0984</v>
      </c>
      <c r="S8" s="2">
        <f t="shared" ref="S8:S22" si="9">R8/(MAX(R$8:R$22))</f>
        <v>1</v>
      </c>
      <c r="T8" s="11">
        <f>Q8/(C8+0.5*(1/(1+$B$5)+if($J8&gt;1,if($D8&lt;$J8,$J8,$D8),$D8)))</f>
        <v>29073.85837</v>
      </c>
      <c r="U8" s="2">
        <f t="shared" ref="U8:U22" si="10">T8/(MAX(T$8:T$22))</f>
        <v>1</v>
      </c>
    </row>
    <row r="9">
      <c r="A9" s="11">
        <f t="shared" si="1"/>
        <v>22340.89734</v>
      </c>
      <c r="B9" s="1" t="s">
        <v>549</v>
      </c>
      <c r="C9" s="1">
        <v>1.0</v>
      </c>
      <c r="D9" s="1">
        <v>15.0</v>
      </c>
      <c r="E9" s="1">
        <v>19649.0</v>
      </c>
      <c r="F9" s="1">
        <v>31364.0</v>
      </c>
      <c r="G9" s="1">
        <v>3780.0</v>
      </c>
      <c r="H9" s="1">
        <v>6776.0</v>
      </c>
      <c r="I9" s="2"/>
      <c r="J9" s="1">
        <v>7.5</v>
      </c>
      <c r="K9" s="12">
        <f>1/1.5</f>
        <v>0.6666666667</v>
      </c>
      <c r="L9" s="9">
        <f t="shared" si="2"/>
        <v>69832.546</v>
      </c>
      <c r="M9" s="10">
        <f t="shared" si="3"/>
        <v>111467.656</v>
      </c>
      <c r="N9" s="9">
        <f t="shared" si="4"/>
        <v>13434.12</v>
      </c>
      <c r="O9" s="11">
        <f t="shared" si="5"/>
        <v>24081.904</v>
      </c>
      <c r="P9" s="11">
        <f t="shared" si="6"/>
        <v>231877.176</v>
      </c>
      <c r="Q9" s="11">
        <f t="shared" si="7"/>
        <v>196775.9825</v>
      </c>
      <c r="R9" s="11">
        <f t="shared" si="8"/>
        <v>150453.9527</v>
      </c>
      <c r="S9" s="2">
        <f t="shared" si="9"/>
        <v>0.6701612746</v>
      </c>
      <c r="T9" s="11">
        <f t="shared" ref="T9:T22" si="11">Q9/(C9+0.5*(1/(1+$B$5)+if($D9&lt;$J9,$J9,$D9)))</f>
        <v>22340.89734</v>
      </c>
      <c r="U9" s="2">
        <f t="shared" si="10"/>
        <v>0.7684187306</v>
      </c>
    </row>
    <row r="10">
      <c r="A10" s="11">
        <f t="shared" si="1"/>
        <v>17812.46117</v>
      </c>
      <c r="B10" s="1" t="s">
        <v>550</v>
      </c>
      <c r="C10" s="1">
        <v>2.0</v>
      </c>
      <c r="D10" s="1">
        <v>22.5</v>
      </c>
      <c r="E10" s="1">
        <v>42168.0</v>
      </c>
      <c r="F10" s="1">
        <v>74294.0</v>
      </c>
      <c r="I10" s="5">
        <v>0.3</v>
      </c>
      <c r="K10" s="3"/>
      <c r="L10" s="9">
        <f t="shared" si="2"/>
        <v>162515.472</v>
      </c>
      <c r="M10" s="10">
        <f t="shared" si="3"/>
        <v>286329.076</v>
      </c>
      <c r="N10" s="9"/>
      <c r="O10" s="11"/>
      <c r="P10" s="11">
        <f t="shared" si="6"/>
        <v>286329.076</v>
      </c>
      <c r="Q10" s="11">
        <f t="shared" si="7"/>
        <v>241499.2426</v>
      </c>
      <c r="R10" s="11">
        <f t="shared" si="8"/>
        <v>104641.0806</v>
      </c>
      <c r="S10" s="2">
        <f t="shared" si="9"/>
        <v>0.4660987543</v>
      </c>
      <c r="T10" s="11">
        <f t="shared" si="11"/>
        <v>17812.46117</v>
      </c>
      <c r="U10" s="2">
        <f t="shared" si="10"/>
        <v>0.6126624456</v>
      </c>
    </row>
    <row r="11">
      <c r="A11" s="11">
        <f t="shared" si="1"/>
        <v>3310.606633</v>
      </c>
      <c r="B11" s="1" t="s">
        <v>405</v>
      </c>
      <c r="C11" s="1">
        <v>0.25</v>
      </c>
      <c r="D11" s="1">
        <v>30.0</v>
      </c>
      <c r="E11" s="1">
        <v>9916.0</v>
      </c>
      <c r="F11" s="1">
        <v>17140.0</v>
      </c>
      <c r="K11" s="3"/>
      <c r="L11" s="9">
        <f t="shared" si="2"/>
        <v>35241.464</v>
      </c>
      <c r="M11" s="10">
        <f t="shared" si="3"/>
        <v>60915.56</v>
      </c>
      <c r="N11" s="9"/>
      <c r="O11" s="11"/>
      <c r="P11" s="11">
        <f t="shared" si="6"/>
        <v>60915.56</v>
      </c>
      <c r="Q11" s="11">
        <f t="shared" si="7"/>
        <v>51506.02659</v>
      </c>
      <c r="R11" s="11">
        <f t="shared" si="8"/>
        <v>92324.26841</v>
      </c>
      <c r="S11" s="2">
        <f t="shared" si="9"/>
        <v>0.4112364499</v>
      </c>
      <c r="T11" s="11">
        <f t="shared" si="11"/>
        <v>3310.606633</v>
      </c>
      <c r="U11" s="2">
        <f t="shared" si="10"/>
        <v>0.1138688437</v>
      </c>
    </row>
    <row r="12">
      <c r="A12" s="11">
        <f t="shared" si="1"/>
        <v>5407.869327</v>
      </c>
      <c r="B12" s="1" t="s">
        <v>551</v>
      </c>
      <c r="C12" s="1">
        <v>2.5</v>
      </c>
      <c r="D12" s="1">
        <v>90.0</v>
      </c>
      <c r="E12" s="1">
        <v>48980.0</v>
      </c>
      <c r="F12" s="1">
        <v>78394.0</v>
      </c>
      <c r="I12" s="5">
        <v>0.3</v>
      </c>
      <c r="K12" s="3"/>
      <c r="L12" s="9">
        <f t="shared" si="2"/>
        <v>188768.92</v>
      </c>
      <c r="M12" s="10">
        <f t="shared" si="3"/>
        <v>302130.476</v>
      </c>
      <c r="N12" s="9"/>
      <c r="O12" s="11"/>
      <c r="P12" s="11">
        <f t="shared" si="6"/>
        <v>302130.476</v>
      </c>
      <c r="Q12" s="11">
        <f t="shared" si="7"/>
        <v>258538.7774</v>
      </c>
      <c r="R12" s="11">
        <f t="shared" si="8"/>
        <v>92076.09091</v>
      </c>
      <c r="S12" s="2">
        <f t="shared" si="9"/>
        <v>0.4101310024</v>
      </c>
      <c r="T12" s="11">
        <f t="shared" si="11"/>
        <v>5407.869327</v>
      </c>
      <c r="U12" s="2">
        <f t="shared" si="10"/>
        <v>0.1860045288</v>
      </c>
    </row>
    <row r="13">
      <c r="A13" s="11">
        <f t="shared" si="1"/>
        <v>4939.691083</v>
      </c>
      <c r="B13" s="1" t="s">
        <v>552</v>
      </c>
      <c r="C13" s="1">
        <v>1.5</v>
      </c>
      <c r="D13" s="1">
        <v>60.0</v>
      </c>
      <c r="E13" s="1">
        <v>35747.0</v>
      </c>
      <c r="F13" s="1">
        <v>50232.0</v>
      </c>
      <c r="I13" s="2"/>
      <c r="K13" s="3"/>
      <c r="L13" s="9">
        <f t="shared" si="2"/>
        <v>127044.838</v>
      </c>
      <c r="M13" s="10">
        <f t="shared" si="3"/>
        <v>178524.528</v>
      </c>
      <c r="N13" s="9"/>
      <c r="O13" s="11"/>
      <c r="P13" s="11">
        <f t="shared" si="6"/>
        <v>178524.528</v>
      </c>
      <c r="Q13" s="11">
        <f t="shared" si="7"/>
        <v>157121.11</v>
      </c>
      <c r="R13" s="11">
        <f t="shared" si="8"/>
        <v>86908.95184</v>
      </c>
      <c r="S13" s="2">
        <f t="shared" si="9"/>
        <v>0.3871152129</v>
      </c>
      <c r="T13" s="11">
        <f t="shared" si="11"/>
        <v>4939.691083</v>
      </c>
      <c r="U13" s="2">
        <f t="shared" si="10"/>
        <v>0.1699014634</v>
      </c>
    </row>
    <row r="14">
      <c r="A14" s="11">
        <f t="shared" si="1"/>
        <v>8329.802544</v>
      </c>
      <c r="B14" s="1" t="s">
        <v>553</v>
      </c>
      <c r="C14" s="1">
        <v>1.0</v>
      </c>
      <c r="D14" s="1">
        <v>15.0</v>
      </c>
      <c r="E14" s="1">
        <v>12638.0</v>
      </c>
      <c r="F14" s="1">
        <v>12638.0</v>
      </c>
      <c r="G14" s="1">
        <v>7776.0</v>
      </c>
      <c r="H14" s="1">
        <v>7776.0</v>
      </c>
      <c r="I14" s="5">
        <v>0.04</v>
      </c>
      <c r="J14" s="1">
        <v>1.0</v>
      </c>
      <c r="K14" s="7">
        <v>1.0</v>
      </c>
      <c r="L14" s="9">
        <f t="shared" si="2"/>
        <v>45420.972</v>
      </c>
      <c r="M14" s="10">
        <f t="shared" si="3"/>
        <v>45420.972</v>
      </c>
      <c r="N14" s="9">
        <f>if(G14*($B$3+$I14)&lt;(H14+1),H14+1,G14*($I14+$B$3))</f>
        <v>27946.944</v>
      </c>
      <c r="O14" s="11">
        <f>H14*($B$3+$I14)</f>
        <v>27946.944</v>
      </c>
      <c r="P14" s="11">
        <f t="shared" si="6"/>
        <v>73367.916</v>
      </c>
      <c r="Q14" s="11">
        <f t="shared" si="7"/>
        <v>73367.916</v>
      </c>
      <c r="R14" s="11">
        <f t="shared" si="8"/>
        <v>56096.74933</v>
      </c>
      <c r="S14" s="2">
        <f t="shared" si="9"/>
        <v>0.2498696003</v>
      </c>
      <c r="T14" s="11">
        <f t="shared" si="11"/>
        <v>8329.802544</v>
      </c>
      <c r="U14" s="2">
        <f t="shared" si="10"/>
        <v>0.2865048883</v>
      </c>
    </row>
    <row r="15">
      <c r="A15" s="11">
        <f t="shared" si="1"/>
        <v>23030.59564</v>
      </c>
      <c r="B15" s="1" t="s">
        <v>554</v>
      </c>
      <c r="C15" s="1">
        <v>1.5</v>
      </c>
      <c r="D15" s="1">
        <v>4.5</v>
      </c>
      <c r="E15" s="1">
        <v>19279.0</v>
      </c>
      <c r="F15" s="1">
        <v>30702.0</v>
      </c>
      <c r="I15" s="2"/>
      <c r="K15" s="3"/>
      <c r="L15" s="9">
        <f t="shared" si="2"/>
        <v>68517.566</v>
      </c>
      <c r="M15" s="10">
        <f t="shared" si="3"/>
        <v>109114.908</v>
      </c>
      <c r="N15" s="9"/>
      <c r="O15" s="11"/>
      <c r="P15" s="11">
        <f t="shared" si="6"/>
        <v>109114.908</v>
      </c>
      <c r="Q15" s="11">
        <f t="shared" si="7"/>
        <v>93455.43427</v>
      </c>
      <c r="R15" s="11">
        <f t="shared" si="8"/>
        <v>51693.33285</v>
      </c>
      <c r="S15" s="2">
        <f t="shared" si="9"/>
        <v>0.2302556311</v>
      </c>
      <c r="T15" s="11">
        <f t="shared" si="11"/>
        <v>23030.59564</v>
      </c>
      <c r="U15" s="2">
        <f t="shared" si="10"/>
        <v>0.7921410137</v>
      </c>
    </row>
    <row r="16">
      <c r="A16" s="11">
        <f t="shared" si="1"/>
        <v>11736.24294</v>
      </c>
      <c r="B16" s="1" t="s">
        <v>555</v>
      </c>
      <c r="C16" s="1">
        <v>1.0</v>
      </c>
      <c r="D16" s="1">
        <v>3.0</v>
      </c>
      <c r="E16" s="1">
        <v>7549.0</v>
      </c>
      <c r="F16" s="1">
        <v>10970.0</v>
      </c>
      <c r="G16" s="1">
        <v>1277.0</v>
      </c>
      <c r="H16" s="1">
        <v>2290.0</v>
      </c>
      <c r="I16" s="5">
        <v>0.05</v>
      </c>
      <c r="J16" s="1">
        <v>8.0</v>
      </c>
      <c r="K16" s="7">
        <v>0.5</v>
      </c>
      <c r="L16" s="9">
        <f t="shared" si="2"/>
        <v>27206.596</v>
      </c>
      <c r="M16" s="10">
        <f t="shared" si="3"/>
        <v>39535.88</v>
      </c>
      <c r="N16" s="9">
        <f>if(G16*($B$3+$I16)&lt;(H16+1),H16+1,G16*($I16+$B$3))</f>
        <v>4602.308</v>
      </c>
      <c r="O16" s="11">
        <f>H16*($B$3+$I16)</f>
        <v>8253.16</v>
      </c>
      <c r="P16" s="11">
        <f t="shared" si="6"/>
        <v>72548.52</v>
      </c>
      <c r="Q16" s="11">
        <f t="shared" si="7"/>
        <v>62294.58999</v>
      </c>
      <c r="R16" s="11">
        <f t="shared" si="8"/>
        <v>47630.13848</v>
      </c>
      <c r="S16" s="2">
        <f t="shared" si="9"/>
        <v>0.2121571002</v>
      </c>
      <c r="T16" s="11">
        <f t="shared" si="11"/>
        <v>11736.24294</v>
      </c>
      <c r="U16" s="2">
        <f t="shared" si="10"/>
        <v>0.4036699495</v>
      </c>
    </row>
    <row r="17">
      <c r="A17" s="11">
        <f t="shared" si="1"/>
        <v>15269.12602</v>
      </c>
      <c r="B17" s="1" t="s">
        <v>556</v>
      </c>
      <c r="C17" s="1">
        <v>1.0</v>
      </c>
      <c r="D17" s="1">
        <v>5.0</v>
      </c>
      <c r="E17" s="1">
        <v>11468.0</v>
      </c>
      <c r="F17" s="1">
        <v>19271.0</v>
      </c>
      <c r="I17" s="2"/>
      <c r="K17" s="3"/>
      <c r="L17" s="9">
        <f t="shared" si="2"/>
        <v>40757.272</v>
      </c>
      <c r="M17" s="10">
        <f t="shared" si="3"/>
        <v>68489.134</v>
      </c>
      <c r="N17" s="9"/>
      <c r="O17" s="11"/>
      <c r="P17" s="11">
        <f t="shared" si="6"/>
        <v>68489.134</v>
      </c>
      <c r="Q17" s="11">
        <f t="shared" si="7"/>
        <v>58143.02666</v>
      </c>
      <c r="R17" s="11">
        <f t="shared" si="8"/>
        <v>44455.87349</v>
      </c>
      <c r="S17" s="2">
        <f t="shared" si="9"/>
        <v>0.1980180933</v>
      </c>
      <c r="T17" s="11">
        <f t="shared" si="11"/>
        <v>15269.12602</v>
      </c>
      <c r="U17" s="2">
        <f t="shared" si="10"/>
        <v>0.5251840271</v>
      </c>
    </row>
    <row r="18">
      <c r="A18" s="11">
        <f t="shared" si="1"/>
        <v>14064.32274</v>
      </c>
      <c r="B18" s="1" t="s">
        <v>557</v>
      </c>
      <c r="C18" s="1">
        <v>2.0</v>
      </c>
      <c r="D18" s="1">
        <v>8.0</v>
      </c>
      <c r="E18" s="1">
        <v>5834.0</v>
      </c>
      <c r="F18" s="1">
        <v>9172.0</v>
      </c>
      <c r="G18" s="1">
        <v>4213.0</v>
      </c>
      <c r="H18" s="1">
        <v>7551.0</v>
      </c>
      <c r="J18" s="1">
        <v>9.0</v>
      </c>
      <c r="K18" s="12">
        <f>1/3</f>
        <v>0.3333333333</v>
      </c>
      <c r="L18" s="9">
        <f t="shared" si="2"/>
        <v>20734.036</v>
      </c>
      <c r="M18" s="10">
        <f t="shared" si="3"/>
        <v>32597.288</v>
      </c>
      <c r="N18" s="9">
        <f t="shared" ref="N18:N19" si="12">if(G18*($B$3+$I18)&lt;(H18+1),H18+1,G18*($I18+$B$3))</f>
        <v>14973.002</v>
      </c>
      <c r="O18" s="11">
        <f t="shared" ref="O18:O19" si="13">H18*($B$3+$I18)</f>
        <v>26836.254</v>
      </c>
      <c r="P18" s="11">
        <f t="shared" si="6"/>
        <v>113106.05</v>
      </c>
      <c r="Q18" s="11">
        <f t="shared" si="7"/>
        <v>95748.24641</v>
      </c>
      <c r="R18" s="11">
        <f t="shared" si="8"/>
        <v>41487.50058</v>
      </c>
      <c r="S18" s="2">
        <f t="shared" si="9"/>
        <v>0.1847961836</v>
      </c>
      <c r="T18" s="11">
        <f t="shared" si="11"/>
        <v>14064.32274</v>
      </c>
      <c r="U18" s="2">
        <f t="shared" si="10"/>
        <v>0.4837446258</v>
      </c>
    </row>
    <row r="19">
      <c r="A19" s="11">
        <f t="shared" si="1"/>
        <v>10535.68856</v>
      </c>
      <c r="B19" s="1" t="s">
        <v>558</v>
      </c>
      <c r="C19" s="1">
        <v>1.5</v>
      </c>
      <c r="D19" s="1">
        <v>4.5</v>
      </c>
      <c r="E19" s="1">
        <v>3728.0</v>
      </c>
      <c r="F19" s="1">
        <v>5398.0</v>
      </c>
      <c r="G19" s="1">
        <v>2107.0</v>
      </c>
      <c r="H19" s="1">
        <v>3777.0</v>
      </c>
      <c r="I19" s="2"/>
      <c r="J19" s="1">
        <v>6.0</v>
      </c>
      <c r="K19" s="12">
        <f>1/2</f>
        <v>0.5</v>
      </c>
      <c r="L19" s="9">
        <f t="shared" si="2"/>
        <v>13249.312</v>
      </c>
      <c r="M19" s="10">
        <f t="shared" si="3"/>
        <v>19184.492</v>
      </c>
      <c r="N19" s="9">
        <f t="shared" si="12"/>
        <v>7488.278</v>
      </c>
      <c r="O19" s="11">
        <f t="shared" si="13"/>
        <v>13423.458</v>
      </c>
      <c r="P19" s="11">
        <f t="shared" si="6"/>
        <v>59454.866</v>
      </c>
      <c r="Q19" s="11">
        <f t="shared" si="7"/>
        <v>50654.34501</v>
      </c>
      <c r="R19" s="11">
        <f t="shared" si="8"/>
        <v>28018.61591</v>
      </c>
      <c r="S19" s="2">
        <f t="shared" si="9"/>
        <v>0.1248022469</v>
      </c>
      <c r="T19" s="11">
        <f t="shared" si="11"/>
        <v>10535.68856</v>
      </c>
      <c r="U19" s="2">
        <f t="shared" si="10"/>
        <v>0.3623766901</v>
      </c>
    </row>
    <row r="20">
      <c r="A20" s="11">
        <f t="shared" si="1"/>
        <v>2076.535552</v>
      </c>
      <c r="B20" s="1" t="s">
        <v>559</v>
      </c>
      <c r="C20" s="1">
        <v>1.5</v>
      </c>
      <c r="D20" s="1">
        <v>38.4</v>
      </c>
      <c r="E20" s="1">
        <v>11530.0</v>
      </c>
      <c r="F20" s="1">
        <v>12938.0</v>
      </c>
      <c r="G20" s="1">
        <v>6668.0</v>
      </c>
      <c r="H20" s="1">
        <v>8075.0</v>
      </c>
      <c r="I20" s="2"/>
      <c r="J20" s="1">
        <v>23.4</v>
      </c>
      <c r="K20" s="12">
        <f>1/3.8</f>
        <v>0.2631578947</v>
      </c>
      <c r="L20" s="9">
        <f t="shared" si="2"/>
        <v>40977.62</v>
      </c>
      <c r="M20" s="10">
        <f t="shared" si="3"/>
        <v>45981.652</v>
      </c>
      <c r="N20" s="9"/>
      <c r="O20" s="11"/>
      <c r="P20" s="11">
        <f t="shared" si="6"/>
        <v>45981.652</v>
      </c>
      <c r="Q20" s="11">
        <f t="shared" si="7"/>
        <v>43623.61338</v>
      </c>
      <c r="R20" s="11">
        <f t="shared" si="8"/>
        <v>24129.68261</v>
      </c>
      <c r="S20" s="2">
        <f t="shared" si="9"/>
        <v>0.1074799203</v>
      </c>
      <c r="T20" s="11">
        <f t="shared" si="11"/>
        <v>2076.535552</v>
      </c>
      <c r="U20" s="2">
        <f t="shared" si="10"/>
        <v>0.07142277183</v>
      </c>
    </row>
    <row r="21">
      <c r="A21" s="11">
        <f t="shared" si="1"/>
        <v>1401.139696</v>
      </c>
      <c r="B21" s="1" t="s">
        <v>560</v>
      </c>
      <c r="C21" s="1">
        <v>0.5</v>
      </c>
      <c r="D21" s="1">
        <v>5.0</v>
      </c>
      <c r="E21" s="1">
        <v>3389.0</v>
      </c>
      <c r="F21" s="1">
        <v>5989.0</v>
      </c>
      <c r="G21" s="1">
        <v>627.0</v>
      </c>
      <c r="H21" s="1">
        <v>1126.0</v>
      </c>
      <c r="I21" s="2"/>
      <c r="J21" s="1">
        <v>24.0</v>
      </c>
      <c r="K21" s="7">
        <v>0.25</v>
      </c>
      <c r="L21" s="9">
        <f t="shared" si="2"/>
        <v>12044.506</v>
      </c>
      <c r="M21" s="10">
        <f t="shared" si="3"/>
        <v>21284.906</v>
      </c>
      <c r="N21" s="9"/>
      <c r="O21" s="11"/>
      <c r="P21" s="11">
        <f t="shared" si="6"/>
        <v>21284.906</v>
      </c>
      <c r="Q21" s="11">
        <f t="shared" si="7"/>
        <v>17945.63157</v>
      </c>
      <c r="R21" s="11">
        <f t="shared" si="8"/>
        <v>22213.1903</v>
      </c>
      <c r="S21" s="2">
        <f t="shared" si="9"/>
        <v>0.0989433621</v>
      </c>
      <c r="T21" s="11">
        <f t="shared" si="11"/>
        <v>1401.139696</v>
      </c>
      <c r="U21" s="2">
        <f t="shared" si="10"/>
        <v>0.04819242352</v>
      </c>
    </row>
    <row r="22">
      <c r="A22" s="11">
        <f t="shared" si="1"/>
        <v>1842.330535</v>
      </c>
      <c r="B22" s="1" t="s">
        <v>561</v>
      </c>
      <c r="C22" s="1">
        <v>0.75</v>
      </c>
      <c r="D22" s="1">
        <v>22.5</v>
      </c>
      <c r="E22" s="1">
        <v>4504.0</v>
      </c>
      <c r="F22" s="1">
        <v>7506.0</v>
      </c>
      <c r="I22" s="2"/>
      <c r="K22" s="3"/>
      <c r="L22" s="9">
        <f t="shared" si="2"/>
        <v>16007.216</v>
      </c>
      <c r="M22" s="10">
        <f t="shared" si="3"/>
        <v>26676.324</v>
      </c>
      <c r="N22" s="9"/>
      <c r="O22" s="11"/>
      <c r="P22" s="11">
        <f t="shared" si="6"/>
        <v>26676.324</v>
      </c>
      <c r="Q22" s="11">
        <f t="shared" si="7"/>
        <v>22675.18641</v>
      </c>
      <c r="R22" s="11">
        <f t="shared" si="8"/>
        <v>21434.51847</v>
      </c>
      <c r="S22" s="2">
        <f t="shared" si="9"/>
        <v>0.09547495403</v>
      </c>
      <c r="T22" s="11">
        <f t="shared" si="11"/>
        <v>1842.330535</v>
      </c>
      <c r="U22" s="2">
        <f t="shared" si="10"/>
        <v>0.06336725287</v>
      </c>
    </row>
    <row r="23">
      <c r="I23" s="2"/>
      <c r="K23" s="3"/>
      <c r="L23" s="9"/>
      <c r="M23" s="10"/>
      <c r="N23" s="9"/>
      <c r="O23" s="11"/>
      <c r="P23" s="11"/>
      <c r="Q23" s="11"/>
      <c r="R23" s="11"/>
      <c r="S23" s="2"/>
    </row>
    <row r="24">
      <c r="I24" s="2"/>
      <c r="K24" s="3"/>
      <c r="L24" s="9"/>
      <c r="M24" s="10"/>
      <c r="N24" s="9"/>
      <c r="O24" s="11"/>
      <c r="P24" s="11"/>
      <c r="Q24" s="11"/>
      <c r="R24" s="11"/>
      <c r="S24" s="2"/>
    </row>
    <row r="25">
      <c r="I25" s="2"/>
      <c r="K25" s="3"/>
      <c r="L25" s="9"/>
      <c r="M25" s="10"/>
      <c r="N25" s="9"/>
      <c r="O25" s="11"/>
      <c r="P25" s="11"/>
      <c r="Q25" s="11"/>
      <c r="R25" s="11"/>
      <c r="S25" s="2"/>
    </row>
    <row r="26">
      <c r="I26" s="2"/>
      <c r="K26" s="3"/>
      <c r="L26" s="9"/>
      <c r="M26" s="10"/>
      <c r="N26" s="9"/>
      <c r="O26" s="11"/>
      <c r="P26" s="11"/>
      <c r="Q26" s="11"/>
      <c r="R26" s="11"/>
      <c r="S26" s="2"/>
    </row>
    <row r="27">
      <c r="A27" s="1">
        <v>2.0</v>
      </c>
      <c r="B27" s="1" t="s">
        <v>551</v>
      </c>
      <c r="C27" s="1">
        <v>2.5</v>
      </c>
      <c r="D27" s="1">
        <v>90.0</v>
      </c>
      <c r="E27" s="1">
        <v>48980.0</v>
      </c>
      <c r="F27" s="1">
        <v>78394.0</v>
      </c>
      <c r="I27" s="5">
        <v>0.15</v>
      </c>
      <c r="K27" s="3"/>
      <c r="L27" s="9">
        <f t="shared" ref="L27:L32" si="14">if(E27*($B$3+$I27)&lt;(F27+1),F27+1,E27*($I27+$B$3))</f>
        <v>181421.92</v>
      </c>
      <c r="M27" s="10">
        <f t="shared" ref="M27:M32" si="15">F27*($B$3+$I27)</f>
        <v>290371.376</v>
      </c>
      <c r="N27" s="9"/>
      <c r="O27" s="11"/>
      <c r="P27" s="11">
        <f t="shared" ref="P27:P32" si="16">M27+O27*K27*J27</f>
        <v>290371.376</v>
      </c>
      <c r="Q27" s="11">
        <f t="shared" ref="Q27:Q32" si="17">(L27*E27+F27*M27)/(E27+F27)+if(G27&gt;0,(N27*G27+H27*O27)/(G27+H27)*J27*K27,0)</f>
        <v>248476.2926</v>
      </c>
      <c r="R27" s="11">
        <f t="shared" ref="R27:R32" si="18">Q27/(C27+0.5*(1/(1+$B$5)))</f>
        <v>88492.43403</v>
      </c>
      <c r="S27" s="2">
        <f t="shared" ref="S27:S32" si="19">R27/(MAX(R$27:R$32))</f>
        <v>0.8456758429</v>
      </c>
      <c r="T27" s="1">
        <v>2.0</v>
      </c>
    </row>
    <row r="28">
      <c r="A28" s="1">
        <v>1.0</v>
      </c>
      <c r="B28" s="1" t="s">
        <v>550</v>
      </c>
      <c r="C28" s="1">
        <v>2.0</v>
      </c>
      <c r="D28" s="1">
        <v>22.5</v>
      </c>
      <c r="E28" s="1">
        <v>42168.0</v>
      </c>
      <c r="F28" s="1">
        <v>74294.0</v>
      </c>
      <c r="I28" s="5">
        <v>0.3</v>
      </c>
      <c r="K28" s="3"/>
      <c r="L28" s="9">
        <f t="shared" si="14"/>
        <v>162515.472</v>
      </c>
      <c r="M28" s="10">
        <f t="shared" si="15"/>
        <v>286329.076</v>
      </c>
      <c r="N28" s="9"/>
      <c r="O28" s="11"/>
      <c r="P28" s="11">
        <f t="shared" si="16"/>
        <v>286329.076</v>
      </c>
      <c r="Q28" s="11">
        <f t="shared" si="17"/>
        <v>241499.2426</v>
      </c>
      <c r="R28" s="11">
        <f t="shared" si="18"/>
        <v>104641.0806</v>
      </c>
      <c r="S28" s="2">
        <f t="shared" si="19"/>
        <v>1</v>
      </c>
      <c r="T28" s="1">
        <v>1.0</v>
      </c>
    </row>
    <row r="29">
      <c r="A29" s="1">
        <v>4.0</v>
      </c>
      <c r="B29" s="1" t="s">
        <v>557</v>
      </c>
      <c r="C29" s="1">
        <v>2.0</v>
      </c>
      <c r="D29" s="1">
        <v>8.0</v>
      </c>
      <c r="E29" s="1">
        <v>5834.0</v>
      </c>
      <c r="F29" s="1">
        <v>9172.0</v>
      </c>
      <c r="G29" s="1">
        <v>4213.0</v>
      </c>
      <c r="H29" s="1">
        <v>7551.0</v>
      </c>
      <c r="J29" s="1">
        <v>9.0</v>
      </c>
      <c r="K29" s="12">
        <f>1/3</f>
        <v>0.3333333333</v>
      </c>
      <c r="L29" s="9">
        <f t="shared" si="14"/>
        <v>20734.036</v>
      </c>
      <c r="M29" s="10">
        <f t="shared" si="15"/>
        <v>32597.288</v>
      </c>
      <c r="N29" s="9">
        <f t="shared" ref="N29:N30" si="20">if(G29*($B$3+$I29)&lt;(H29+1),H29+1,G29*($I29+$B$3))</f>
        <v>14973.002</v>
      </c>
      <c r="O29" s="11">
        <f t="shared" ref="O29:O30" si="21">H29*($B$3+$I29)</f>
        <v>26836.254</v>
      </c>
      <c r="P29" s="11">
        <f t="shared" si="16"/>
        <v>113106.05</v>
      </c>
      <c r="Q29" s="11">
        <f t="shared" si="17"/>
        <v>95748.24641</v>
      </c>
      <c r="R29" s="11">
        <f t="shared" si="18"/>
        <v>41487.50058</v>
      </c>
      <c r="S29" s="2">
        <f t="shared" si="19"/>
        <v>0.3964743134</v>
      </c>
      <c r="T29" s="1">
        <v>4.0</v>
      </c>
    </row>
    <row r="30">
      <c r="A30" s="1">
        <v>5.0</v>
      </c>
      <c r="B30" s="1" t="s">
        <v>558</v>
      </c>
      <c r="C30" s="1">
        <v>1.5</v>
      </c>
      <c r="D30" s="1">
        <v>4.5</v>
      </c>
      <c r="E30" s="1">
        <v>3728.0</v>
      </c>
      <c r="F30" s="1">
        <v>5398.0</v>
      </c>
      <c r="G30" s="1">
        <v>2107.0</v>
      </c>
      <c r="H30" s="1">
        <v>3777.0</v>
      </c>
      <c r="I30" s="2"/>
      <c r="J30" s="1">
        <v>6.0</v>
      </c>
      <c r="K30" s="12">
        <f>1/2</f>
        <v>0.5</v>
      </c>
      <c r="L30" s="9">
        <f t="shared" si="14"/>
        <v>13249.312</v>
      </c>
      <c r="M30" s="10">
        <f t="shared" si="15"/>
        <v>19184.492</v>
      </c>
      <c r="N30" s="9">
        <f t="shared" si="20"/>
        <v>7488.278</v>
      </c>
      <c r="O30" s="11">
        <f t="shared" si="21"/>
        <v>13423.458</v>
      </c>
      <c r="P30" s="11">
        <f t="shared" si="16"/>
        <v>59454.866</v>
      </c>
      <c r="Q30" s="11">
        <f t="shared" si="17"/>
        <v>50654.34501</v>
      </c>
      <c r="R30" s="11">
        <f t="shared" si="18"/>
        <v>28018.61591</v>
      </c>
      <c r="S30" s="2">
        <f t="shared" si="19"/>
        <v>0.2677592371</v>
      </c>
      <c r="T30" s="1">
        <v>5.0</v>
      </c>
    </row>
    <row r="31">
      <c r="A31" s="1">
        <v>3.0</v>
      </c>
      <c r="B31" s="1" t="s">
        <v>556</v>
      </c>
      <c r="C31" s="1">
        <v>1.0</v>
      </c>
      <c r="D31" s="1">
        <v>5.0</v>
      </c>
      <c r="E31" s="1">
        <v>11468.0</v>
      </c>
      <c r="F31" s="1">
        <v>19271.0</v>
      </c>
      <c r="I31" s="2"/>
      <c r="K31" s="3"/>
      <c r="L31" s="9">
        <f t="shared" si="14"/>
        <v>40757.272</v>
      </c>
      <c r="M31" s="10">
        <f t="shared" si="15"/>
        <v>68489.134</v>
      </c>
      <c r="N31" s="9"/>
      <c r="O31" s="11"/>
      <c r="P31" s="11">
        <f t="shared" si="16"/>
        <v>68489.134</v>
      </c>
      <c r="Q31" s="11">
        <f t="shared" si="17"/>
        <v>58143.02666</v>
      </c>
      <c r="R31" s="11">
        <f t="shared" si="18"/>
        <v>44455.87349</v>
      </c>
      <c r="S31" s="2">
        <f t="shared" si="19"/>
        <v>0.4248414986</v>
      </c>
      <c r="T31" s="1">
        <v>3.0</v>
      </c>
    </row>
    <row r="32">
      <c r="A32" s="1">
        <v>6.0</v>
      </c>
      <c r="B32" s="1" t="s">
        <v>561</v>
      </c>
      <c r="C32" s="1">
        <v>0.75</v>
      </c>
      <c r="D32" s="1">
        <v>22.5</v>
      </c>
      <c r="E32" s="1">
        <v>4504.0</v>
      </c>
      <c r="F32" s="1">
        <v>7506.0</v>
      </c>
      <c r="I32" s="2"/>
      <c r="K32" s="3"/>
      <c r="L32" s="9">
        <f t="shared" si="14"/>
        <v>16007.216</v>
      </c>
      <c r="M32" s="10">
        <f t="shared" si="15"/>
        <v>26676.324</v>
      </c>
      <c r="N32" s="9"/>
      <c r="O32" s="11"/>
      <c r="P32" s="11">
        <f t="shared" si="16"/>
        <v>26676.324</v>
      </c>
      <c r="Q32" s="11">
        <f t="shared" si="17"/>
        <v>22675.18641</v>
      </c>
      <c r="R32" s="11">
        <f t="shared" si="18"/>
        <v>21434.51847</v>
      </c>
      <c r="S32" s="2">
        <f t="shared" si="19"/>
        <v>0.2048384664</v>
      </c>
      <c r="T32" s="1">
        <v>6.0</v>
      </c>
    </row>
    <row r="33">
      <c r="K33" s="3"/>
      <c r="L33" s="4"/>
      <c r="O33" s="11"/>
      <c r="P33" s="11"/>
      <c r="Q33" s="11"/>
      <c r="R33" s="11"/>
      <c r="S33" s="2"/>
    </row>
    <row r="34">
      <c r="K34" s="3"/>
      <c r="L34" s="4"/>
      <c r="O34" s="11"/>
      <c r="P34" s="11"/>
      <c r="Q34" s="11"/>
      <c r="R34" s="11"/>
      <c r="S34" s="2"/>
    </row>
    <row r="35">
      <c r="K35" s="3"/>
      <c r="L35" s="4"/>
    </row>
    <row r="36">
      <c r="K36" s="3"/>
      <c r="L36" s="4"/>
    </row>
    <row r="37">
      <c r="K37" s="3"/>
      <c r="L37" s="4"/>
    </row>
    <row r="38">
      <c r="K38" s="3"/>
      <c r="L38" s="4"/>
      <c r="O38" s="1">
        <v>1.07474709629075</v>
      </c>
    </row>
    <row r="39">
      <c r="K39" s="3"/>
      <c r="L39" s="4"/>
      <c r="P39" s="1">
        <v>1.33907830648183</v>
      </c>
    </row>
    <row r="40">
      <c r="K40" s="3"/>
      <c r="L40" s="4"/>
      <c r="O40" s="6">
        <f>Q40+Q41</f>
        <v>11474</v>
      </c>
      <c r="Q40" s="1">
        <v>5338.0</v>
      </c>
      <c r="R40" s="1">
        <v>2392.0</v>
      </c>
    </row>
    <row r="41">
      <c r="K41" s="3"/>
      <c r="L41" s="4"/>
      <c r="O41" s="6">
        <f>O40/Q40</f>
        <v>2.149494193</v>
      </c>
      <c r="P41" s="50">
        <f t="shared" ref="P41:P44" si="22">Q41/Q40</f>
        <v>1.149494193</v>
      </c>
      <c r="Q41" s="1">
        <v>6136.0</v>
      </c>
      <c r="R41" s="1">
        <v>2748.0</v>
      </c>
      <c r="S41" s="50">
        <f t="shared" ref="S41:S44" si="23">R41/R40</f>
        <v>1.148829431</v>
      </c>
    </row>
    <row r="42">
      <c r="K42" s="3"/>
      <c r="L42" s="4"/>
      <c r="O42" s="6">
        <f>O41/2</f>
        <v>1.074747096</v>
      </c>
      <c r="P42" s="50">
        <f t="shared" si="22"/>
        <v>1.150749674</v>
      </c>
      <c r="Q42" s="1">
        <v>7061.0</v>
      </c>
      <c r="R42" s="1">
        <v>3161.0</v>
      </c>
      <c r="S42" s="50">
        <f t="shared" si="23"/>
        <v>1.150291121</v>
      </c>
    </row>
    <row r="43">
      <c r="K43" s="3"/>
      <c r="L43" s="4"/>
      <c r="P43" s="50">
        <f t="shared" si="22"/>
        <v>1.15012038</v>
      </c>
      <c r="Q43" s="1">
        <v>8121.0</v>
      </c>
      <c r="R43" s="1">
        <v>3636.0</v>
      </c>
      <c r="S43" s="50">
        <f t="shared" si="23"/>
        <v>1.150268902</v>
      </c>
    </row>
    <row r="44">
      <c r="K44" s="3"/>
      <c r="L44" s="4"/>
      <c r="P44" s="50">
        <f t="shared" si="22"/>
        <v>1.118581455</v>
      </c>
      <c r="Q44" s="1">
        <v>9084.0</v>
      </c>
      <c r="R44" s="1">
        <v>4067.0</v>
      </c>
      <c r="S44" s="50">
        <f t="shared" si="23"/>
        <v>1.118536854</v>
      </c>
    </row>
    <row r="45">
      <c r="K45" s="3"/>
      <c r="L45" s="4"/>
      <c r="P45" s="6">
        <f>Q45/Q40/5</f>
        <v>1.339078306</v>
      </c>
      <c r="Q45" s="6">
        <f>sum(Q40:Q44)</f>
        <v>35740</v>
      </c>
    </row>
    <row r="46">
      <c r="K46" s="3"/>
      <c r="L46" s="4"/>
    </row>
    <row r="47">
      <c r="K47" s="3"/>
      <c r="L47" s="4"/>
    </row>
    <row r="48">
      <c r="K48" s="3"/>
      <c r="L48" s="4"/>
    </row>
    <row r="49">
      <c r="K49" s="3"/>
      <c r="L49" s="4"/>
    </row>
    <row r="50">
      <c r="K50" s="3"/>
      <c r="L50" s="4"/>
      <c r="P50" s="1" t="s">
        <v>397</v>
      </c>
      <c r="Q50" s="5">
        <v>1.0</v>
      </c>
    </row>
    <row r="51">
      <c r="K51" s="3"/>
      <c r="L51" s="4"/>
      <c r="P51" s="1" t="s">
        <v>399</v>
      </c>
      <c r="Q51" s="5">
        <v>0.712210796692134</v>
      </c>
    </row>
    <row r="52">
      <c r="K52" s="3"/>
      <c r="L52" s="4"/>
      <c r="P52" s="1" t="s">
        <v>402</v>
      </c>
      <c r="Q52" s="5">
        <v>0.543852121040031</v>
      </c>
    </row>
    <row r="53">
      <c r="K53" s="3"/>
      <c r="L53" s="4"/>
      <c r="P53" s="1" t="s">
        <v>405</v>
      </c>
      <c r="Q53" s="5">
        <v>0.468931393687585</v>
      </c>
    </row>
    <row r="54">
      <c r="K54" s="3"/>
      <c r="L54" s="4"/>
      <c r="P54" s="1" t="s">
        <v>406</v>
      </c>
      <c r="Q54" s="5">
        <v>0.466922106643955</v>
      </c>
    </row>
    <row r="55">
      <c r="K55" s="3"/>
      <c r="L55" s="4"/>
      <c r="P55" s="1" t="s">
        <v>404</v>
      </c>
      <c r="Q55" s="5">
        <v>0.36240502993777</v>
      </c>
    </row>
    <row r="56">
      <c r="K56" s="3"/>
      <c r="L56" s="4"/>
      <c r="P56" s="1" t="s">
        <v>409</v>
      </c>
      <c r="Q56" s="5">
        <v>0.209797228589037</v>
      </c>
    </row>
    <row r="57">
      <c r="K57" s="3"/>
      <c r="L57" s="4"/>
      <c r="P57" s="1" t="s">
        <v>408</v>
      </c>
      <c r="Q57" s="5">
        <v>0.200705711546809</v>
      </c>
    </row>
    <row r="58">
      <c r="K58" s="3"/>
      <c r="L58" s="4"/>
      <c r="P58" s="1" t="s">
        <v>407</v>
      </c>
      <c r="Q58" s="5">
        <v>0.18952922571863</v>
      </c>
    </row>
    <row r="59">
      <c r="K59" s="3"/>
      <c r="L59" s="4"/>
      <c r="P59" s="1" t="s">
        <v>400</v>
      </c>
      <c r="Q59" s="5">
        <v>0.18952922571863</v>
      </c>
    </row>
    <row r="60">
      <c r="K60" s="3"/>
      <c r="L60" s="4"/>
      <c r="P60" s="1" t="s">
        <v>412</v>
      </c>
      <c r="Q60" s="5">
        <v>0.176779274849336</v>
      </c>
    </row>
    <row r="61">
      <c r="K61" s="3"/>
      <c r="L61" s="4"/>
      <c r="P61" s="1" t="s">
        <v>410</v>
      </c>
      <c r="Q61" s="5">
        <v>0.118043243904751</v>
      </c>
    </row>
    <row r="62">
      <c r="K62" s="3"/>
      <c r="L62" s="4"/>
      <c r="P62" s="1" t="s">
        <v>413</v>
      </c>
      <c r="Q62" s="5">
        <v>0.0649938218485672</v>
      </c>
    </row>
    <row r="63">
      <c r="K63" s="3"/>
      <c r="L63" s="4"/>
    </row>
    <row r="64">
      <c r="K64" s="3"/>
      <c r="L64" s="4"/>
    </row>
    <row r="65">
      <c r="K65" s="3"/>
      <c r="L65" s="4"/>
    </row>
    <row r="66">
      <c r="K66" s="3"/>
      <c r="L66" s="4"/>
    </row>
    <row r="67">
      <c r="K67" s="3"/>
      <c r="L67" s="4"/>
    </row>
    <row r="68">
      <c r="K68" s="3"/>
      <c r="L68" s="4"/>
    </row>
    <row r="69">
      <c r="K69" s="3"/>
      <c r="L69" s="4"/>
    </row>
    <row r="70">
      <c r="K70" s="3"/>
      <c r="L70" s="4"/>
    </row>
    <row r="71">
      <c r="K71" s="3"/>
      <c r="L71" s="4"/>
    </row>
    <row r="72">
      <c r="K72" s="3"/>
      <c r="L72" s="4"/>
    </row>
    <row r="73">
      <c r="K73" s="3"/>
      <c r="L73" s="4"/>
    </row>
    <row r="74">
      <c r="K74" s="3"/>
      <c r="L74" s="4"/>
    </row>
    <row r="75">
      <c r="K75" s="3"/>
      <c r="L75" s="4"/>
    </row>
    <row r="76">
      <c r="K76" s="3"/>
      <c r="L76" s="4"/>
    </row>
    <row r="77">
      <c r="K77" s="3"/>
      <c r="L77" s="4"/>
    </row>
    <row r="78">
      <c r="K78" s="3"/>
      <c r="L78" s="4"/>
    </row>
    <row r="79">
      <c r="K79" s="3"/>
      <c r="L79" s="4"/>
    </row>
    <row r="80">
      <c r="K80" s="3"/>
      <c r="L80" s="4"/>
    </row>
    <row r="81">
      <c r="K81" s="3"/>
      <c r="L81" s="4"/>
    </row>
    <row r="82">
      <c r="K82" s="3"/>
      <c r="L82" s="4"/>
    </row>
    <row r="83">
      <c r="K83" s="3"/>
      <c r="L83" s="4"/>
    </row>
    <row r="84">
      <c r="K84" s="3"/>
      <c r="L84" s="4"/>
    </row>
    <row r="85">
      <c r="K85" s="3"/>
      <c r="L85" s="4"/>
    </row>
    <row r="86">
      <c r="K86" s="3"/>
      <c r="L86" s="4"/>
    </row>
    <row r="87">
      <c r="K87" s="3"/>
      <c r="L87" s="4"/>
    </row>
    <row r="88">
      <c r="K88" s="3"/>
      <c r="L88" s="4"/>
    </row>
    <row r="89">
      <c r="K89" s="3"/>
      <c r="L89" s="4"/>
    </row>
    <row r="90">
      <c r="K90" s="3"/>
      <c r="L90" s="4"/>
    </row>
    <row r="91">
      <c r="K91" s="3"/>
      <c r="L91" s="4"/>
    </row>
    <row r="92">
      <c r="K92" s="3"/>
      <c r="L92" s="4"/>
    </row>
    <row r="93">
      <c r="K93" s="3"/>
      <c r="L93" s="4"/>
    </row>
    <row r="94">
      <c r="K94" s="3"/>
      <c r="L94" s="4"/>
    </row>
    <row r="95">
      <c r="K95" s="3"/>
      <c r="L95" s="4"/>
    </row>
    <row r="96">
      <c r="K96" s="3"/>
      <c r="L96" s="4"/>
    </row>
    <row r="97">
      <c r="K97" s="3"/>
      <c r="L97" s="4"/>
    </row>
    <row r="98">
      <c r="K98" s="3"/>
      <c r="L98" s="4"/>
    </row>
    <row r="99">
      <c r="K99" s="3"/>
      <c r="L99" s="4"/>
    </row>
    <row r="100">
      <c r="K100" s="3"/>
      <c r="L100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2">
      <c r="B2" s="1" t="s">
        <v>562</v>
      </c>
      <c r="C2" s="1" t="s">
        <v>563</v>
      </c>
      <c r="D2" s="1" t="s">
        <v>564</v>
      </c>
      <c r="E2" s="1" t="s">
        <v>565</v>
      </c>
      <c r="F2" s="1" t="s">
        <v>566</v>
      </c>
      <c r="G2" s="1" t="s">
        <v>567</v>
      </c>
    </row>
    <row r="3">
      <c r="B3" s="1" t="s">
        <v>568</v>
      </c>
      <c r="C3" s="1" t="s">
        <v>569</v>
      </c>
      <c r="D3" s="1" t="s">
        <v>568</v>
      </c>
      <c r="E3" s="1" t="s">
        <v>569</v>
      </c>
      <c r="F3" s="1" t="s">
        <v>570</v>
      </c>
      <c r="G3" s="1" t="s">
        <v>569</v>
      </c>
    </row>
    <row r="5">
      <c r="B5" s="1" t="s">
        <v>571</v>
      </c>
      <c r="C5" s="1" t="s">
        <v>572</v>
      </c>
      <c r="D5" s="1" t="s">
        <v>573</v>
      </c>
      <c r="E5" s="1" t="s">
        <v>574</v>
      </c>
      <c r="F5" s="1" t="s">
        <v>575</v>
      </c>
      <c r="G5" s="1" t="s">
        <v>576</v>
      </c>
    </row>
    <row r="6">
      <c r="B6" s="1" t="s">
        <v>577</v>
      </c>
      <c r="C6" s="1" t="s">
        <v>578</v>
      </c>
    </row>
    <row r="7">
      <c r="B7" s="1" t="s">
        <v>579</v>
      </c>
      <c r="C7" s="1" t="s">
        <v>580</v>
      </c>
    </row>
    <row r="8">
      <c r="B8" s="1" t="s">
        <v>581</v>
      </c>
    </row>
    <row r="9">
      <c r="B9" s="1" t="s">
        <v>582</v>
      </c>
    </row>
    <row r="10">
      <c r="C10" s="1" t="s">
        <v>583</v>
      </c>
      <c r="D10" s="1" t="s">
        <v>584</v>
      </c>
      <c r="E10" s="1" t="s">
        <v>585</v>
      </c>
      <c r="F10" s="1" t="s">
        <v>586</v>
      </c>
      <c r="G10" s="1" t="s">
        <v>587</v>
      </c>
    </row>
    <row r="11">
      <c r="D11" s="1" t="s">
        <v>588</v>
      </c>
      <c r="E11" s="1" t="s">
        <v>589</v>
      </c>
      <c r="F11" s="1" t="s">
        <v>590</v>
      </c>
      <c r="G11" s="1" t="s">
        <v>591</v>
      </c>
    </row>
    <row r="12">
      <c r="E12" s="1" t="s">
        <v>588</v>
      </c>
    </row>
    <row r="16">
      <c r="B16" s="1" t="s">
        <v>592</v>
      </c>
      <c r="C16" s="1" t="s">
        <v>593</v>
      </c>
      <c r="D16" s="1" t="s">
        <v>594</v>
      </c>
      <c r="E16" s="1" t="s">
        <v>595</v>
      </c>
      <c r="F16" s="1" t="s">
        <v>596</v>
      </c>
      <c r="G16" s="1" t="s">
        <v>597</v>
      </c>
    </row>
    <row r="17">
      <c r="B17" s="1" t="s">
        <v>598</v>
      </c>
      <c r="E17" s="1" t="s">
        <v>599</v>
      </c>
    </row>
    <row r="21">
      <c r="B21" s="1" t="s">
        <v>600</v>
      </c>
      <c r="C21" s="1" t="s">
        <v>600</v>
      </c>
      <c r="D21" s="1" t="s">
        <v>600</v>
      </c>
      <c r="E21" s="1" t="s">
        <v>600</v>
      </c>
    </row>
    <row r="26">
      <c r="C26" s="1" t="s">
        <v>601</v>
      </c>
      <c r="D26" s="1">
        <v>595.0</v>
      </c>
      <c r="E26" s="1">
        <v>479.5</v>
      </c>
    </row>
    <row r="27">
      <c r="C27" s="1" t="s">
        <v>602</v>
      </c>
      <c r="D27" s="1">
        <v>260.3</v>
      </c>
      <c r="E27" s="1">
        <v>271.7</v>
      </c>
    </row>
    <row r="28">
      <c r="C28" s="1" t="s">
        <v>603</v>
      </c>
      <c r="D28" s="1">
        <v>821.0</v>
      </c>
      <c r="E28" s="1">
        <v>821.0</v>
      </c>
    </row>
    <row r="29">
      <c r="C29" s="1" t="s">
        <v>604</v>
      </c>
      <c r="D29" s="19">
        <v>0.6</v>
      </c>
      <c r="E29" s="19">
        <v>1.003</v>
      </c>
    </row>
    <row r="30">
      <c r="C30" s="1" t="s">
        <v>605</v>
      </c>
      <c r="D30" s="19">
        <v>0.172</v>
      </c>
      <c r="E30" s="19">
        <v>0.03</v>
      </c>
    </row>
    <row r="31">
      <c r="C31" s="1" t="s">
        <v>606</v>
      </c>
      <c r="D31" s="19">
        <v>0.149</v>
      </c>
      <c r="E31" s="19">
        <v>0.116</v>
      </c>
    </row>
    <row r="32">
      <c r="C32" s="1" t="s">
        <v>607</v>
      </c>
      <c r="D32" s="19">
        <v>0.499</v>
      </c>
      <c r="E32" s="1">
        <v>50.6</v>
      </c>
    </row>
    <row r="33">
      <c r="C33" s="1" t="s">
        <v>608</v>
      </c>
      <c r="D33" s="1">
        <v>3932.0</v>
      </c>
      <c r="E33" s="1">
        <v>3932.0</v>
      </c>
    </row>
    <row r="34">
      <c r="C34" s="1" t="s">
        <v>609</v>
      </c>
      <c r="D34" s="19">
        <v>0.137</v>
      </c>
      <c r="E34" s="19">
        <v>0.077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9">
      <c r="C19" s="1">
        <v>300.0</v>
      </c>
    </row>
    <row r="20">
      <c r="A20" s="1" t="s">
        <v>610</v>
      </c>
      <c r="C20" s="1" t="s">
        <v>611</v>
      </c>
    </row>
    <row r="21">
      <c r="A21" s="1">
        <v>21.0</v>
      </c>
      <c r="B21" s="1">
        <v>9500.0</v>
      </c>
      <c r="C21" s="6">
        <f t="shared" ref="C21:C96" si="1">roundup(B21/$C$19,0)</f>
        <v>32</v>
      </c>
      <c r="D21" s="6">
        <f t="shared" ref="D21:D94" si="2">(C21+C22)</f>
        <v>66</v>
      </c>
      <c r="E21" s="6">
        <f>sum(B21:B88)</f>
        <v>5757500</v>
      </c>
    </row>
    <row r="22">
      <c r="A22" s="1">
        <v>22.0</v>
      </c>
      <c r="B22" s="1">
        <v>10000.0</v>
      </c>
      <c r="C22" s="6">
        <f t="shared" si="1"/>
        <v>34</v>
      </c>
      <c r="D22" s="6">
        <f t="shared" si="2"/>
        <v>69</v>
      </c>
      <c r="E22" s="6">
        <f>sum(B89:B94)</f>
        <v>5232809</v>
      </c>
    </row>
    <row r="23">
      <c r="A23" s="1">
        <v>23.0</v>
      </c>
      <c r="B23" s="1">
        <v>10500.0</v>
      </c>
      <c r="C23" s="6">
        <f t="shared" si="1"/>
        <v>35</v>
      </c>
      <c r="D23" s="6">
        <f t="shared" si="2"/>
        <v>72</v>
      </c>
    </row>
    <row r="24">
      <c r="A24" s="1">
        <v>24.0</v>
      </c>
      <c r="B24" s="1">
        <v>11000.0</v>
      </c>
      <c r="C24" s="6">
        <f t="shared" si="1"/>
        <v>37</v>
      </c>
      <c r="D24" s="6">
        <f t="shared" si="2"/>
        <v>77</v>
      </c>
    </row>
    <row r="25">
      <c r="A25" s="1">
        <v>25.0</v>
      </c>
      <c r="B25" s="1">
        <v>11750.0</v>
      </c>
      <c r="C25" s="6">
        <f t="shared" si="1"/>
        <v>40</v>
      </c>
      <c r="D25" s="6">
        <f t="shared" si="2"/>
        <v>82</v>
      </c>
    </row>
    <row r="26">
      <c r="A26" s="1">
        <v>26.0</v>
      </c>
      <c r="B26" s="1">
        <v>12500.0</v>
      </c>
      <c r="C26" s="6">
        <f t="shared" si="1"/>
        <v>42</v>
      </c>
      <c r="D26" s="6">
        <f t="shared" si="2"/>
        <v>87</v>
      </c>
    </row>
    <row r="27">
      <c r="A27" s="1">
        <v>27.0</v>
      </c>
      <c r="B27" s="1">
        <v>13250.0</v>
      </c>
      <c r="C27" s="6">
        <f t="shared" si="1"/>
        <v>45</v>
      </c>
      <c r="D27" s="6">
        <f t="shared" si="2"/>
        <v>92</v>
      </c>
    </row>
    <row r="28">
      <c r="A28" s="1">
        <v>28.0</v>
      </c>
      <c r="B28" s="1">
        <v>14000.0</v>
      </c>
      <c r="C28" s="6">
        <f t="shared" si="1"/>
        <v>47</v>
      </c>
      <c r="D28" s="6">
        <f t="shared" si="2"/>
        <v>97</v>
      </c>
    </row>
    <row r="29">
      <c r="A29" s="1">
        <v>29.0</v>
      </c>
      <c r="B29" s="1">
        <v>14750.0</v>
      </c>
      <c r="C29" s="6">
        <f t="shared" si="1"/>
        <v>50</v>
      </c>
      <c r="D29" s="6">
        <f t="shared" si="2"/>
        <v>102</v>
      </c>
    </row>
    <row r="30">
      <c r="A30" s="1">
        <v>30.0</v>
      </c>
      <c r="B30" s="1">
        <v>15500.0</v>
      </c>
      <c r="C30" s="6">
        <f t="shared" si="1"/>
        <v>52</v>
      </c>
      <c r="D30" s="6">
        <f t="shared" si="2"/>
        <v>107</v>
      </c>
    </row>
    <row r="31">
      <c r="A31" s="1">
        <v>31.0</v>
      </c>
      <c r="B31" s="1">
        <v>16250.0</v>
      </c>
      <c r="C31" s="6">
        <f t="shared" si="1"/>
        <v>55</v>
      </c>
      <c r="D31" s="6">
        <f t="shared" si="2"/>
        <v>112</v>
      </c>
    </row>
    <row r="32">
      <c r="A32" s="1">
        <v>32.0</v>
      </c>
      <c r="B32" s="1">
        <v>17000.0</v>
      </c>
      <c r="C32" s="6">
        <f t="shared" si="1"/>
        <v>57</v>
      </c>
      <c r="D32" s="6">
        <f t="shared" si="2"/>
        <v>117</v>
      </c>
    </row>
    <row r="33">
      <c r="A33" s="1">
        <v>33.0</v>
      </c>
      <c r="B33" s="1">
        <v>17750.0</v>
      </c>
      <c r="C33" s="6">
        <f t="shared" si="1"/>
        <v>60</v>
      </c>
      <c r="D33" s="6">
        <f t="shared" si="2"/>
        <v>122</v>
      </c>
    </row>
    <row r="34">
      <c r="A34" s="1">
        <v>34.0</v>
      </c>
      <c r="B34" s="1">
        <v>18500.0</v>
      </c>
      <c r="C34" s="6">
        <f t="shared" si="1"/>
        <v>62</v>
      </c>
      <c r="D34" s="6">
        <f t="shared" si="2"/>
        <v>127</v>
      </c>
    </row>
    <row r="35">
      <c r="A35" s="1">
        <v>35.0</v>
      </c>
      <c r="B35" s="1">
        <v>19250.0</v>
      </c>
      <c r="C35" s="6">
        <f t="shared" si="1"/>
        <v>65</v>
      </c>
      <c r="D35" s="6">
        <f t="shared" si="2"/>
        <v>132</v>
      </c>
    </row>
    <row r="36">
      <c r="A36" s="1">
        <v>36.0</v>
      </c>
      <c r="B36" s="1">
        <v>20000.0</v>
      </c>
      <c r="C36" s="6">
        <f t="shared" si="1"/>
        <v>67</v>
      </c>
      <c r="D36" s="6">
        <f t="shared" si="2"/>
        <v>137</v>
      </c>
    </row>
    <row r="37">
      <c r="A37" s="1">
        <v>37.0</v>
      </c>
      <c r="B37" s="1">
        <v>20750.0</v>
      </c>
      <c r="C37" s="6">
        <f t="shared" si="1"/>
        <v>70</v>
      </c>
      <c r="D37" s="6">
        <f t="shared" si="2"/>
        <v>142</v>
      </c>
    </row>
    <row r="38">
      <c r="A38" s="1">
        <v>38.0</v>
      </c>
      <c r="B38" s="1">
        <v>21500.0</v>
      </c>
      <c r="C38" s="6">
        <f t="shared" si="1"/>
        <v>72</v>
      </c>
      <c r="D38" s="6">
        <f t="shared" si="2"/>
        <v>147</v>
      </c>
    </row>
    <row r="39">
      <c r="A39" s="1">
        <v>39.0</v>
      </c>
      <c r="B39" s="1">
        <v>22250.0</v>
      </c>
      <c r="C39" s="6">
        <f t="shared" si="1"/>
        <v>75</v>
      </c>
      <c r="D39" s="6">
        <f t="shared" si="2"/>
        <v>152</v>
      </c>
    </row>
    <row r="40">
      <c r="A40" s="1">
        <v>40.0</v>
      </c>
      <c r="B40" s="1">
        <v>23000.0</v>
      </c>
      <c r="C40" s="6">
        <f t="shared" si="1"/>
        <v>77</v>
      </c>
      <c r="D40" s="6">
        <f t="shared" si="2"/>
        <v>157</v>
      </c>
    </row>
    <row r="41">
      <c r="A41" s="1">
        <v>41.0</v>
      </c>
      <c r="B41" s="1">
        <v>24000.0</v>
      </c>
      <c r="C41" s="6">
        <f t="shared" si="1"/>
        <v>80</v>
      </c>
      <c r="D41" s="6">
        <f t="shared" si="2"/>
        <v>164</v>
      </c>
    </row>
    <row r="42">
      <c r="A42" s="1">
        <v>42.0</v>
      </c>
      <c r="B42" s="1">
        <v>25000.0</v>
      </c>
      <c r="C42" s="6">
        <f t="shared" si="1"/>
        <v>84</v>
      </c>
      <c r="D42" s="6">
        <f t="shared" si="2"/>
        <v>171</v>
      </c>
    </row>
    <row r="43">
      <c r="A43" s="1">
        <v>43.0</v>
      </c>
      <c r="B43" s="1">
        <v>26000.0</v>
      </c>
      <c r="C43" s="6">
        <f t="shared" si="1"/>
        <v>87</v>
      </c>
      <c r="D43" s="6">
        <f t="shared" si="2"/>
        <v>177</v>
      </c>
    </row>
    <row r="44">
      <c r="A44" s="1">
        <v>44.0</v>
      </c>
      <c r="B44" s="1">
        <v>27000.0</v>
      </c>
      <c r="C44" s="6">
        <f t="shared" si="1"/>
        <v>90</v>
      </c>
      <c r="D44" s="6">
        <f t="shared" si="2"/>
        <v>184</v>
      </c>
      <c r="G44" s="1">
        <v>65.0</v>
      </c>
      <c r="H44" s="1">
        <v>12.5</v>
      </c>
    </row>
    <row r="45">
      <c r="A45" s="1">
        <v>45.0</v>
      </c>
      <c r="B45" s="1">
        <v>28000.0</v>
      </c>
      <c r="C45" s="6">
        <f t="shared" si="1"/>
        <v>94</v>
      </c>
      <c r="D45" s="6">
        <f t="shared" si="2"/>
        <v>192</v>
      </c>
      <c r="G45" s="1">
        <v>66.0</v>
      </c>
      <c r="H45" s="1">
        <v>13.1</v>
      </c>
    </row>
    <row r="46">
      <c r="A46" s="1">
        <v>46.0</v>
      </c>
      <c r="B46" s="1">
        <v>29250.0</v>
      </c>
      <c r="C46" s="6">
        <f t="shared" si="1"/>
        <v>98</v>
      </c>
      <c r="D46" s="6">
        <f t="shared" si="2"/>
        <v>200</v>
      </c>
      <c r="G46" s="1">
        <v>67.0</v>
      </c>
      <c r="H46" s="1">
        <v>13.6</v>
      </c>
    </row>
    <row r="47">
      <c r="A47" s="1">
        <v>47.0</v>
      </c>
      <c r="B47" s="1">
        <v>30500.0</v>
      </c>
      <c r="C47" s="6">
        <f t="shared" si="1"/>
        <v>102</v>
      </c>
      <c r="D47" s="6">
        <f t="shared" si="2"/>
        <v>209</v>
      </c>
      <c r="G47" s="1">
        <v>68.0</v>
      </c>
      <c r="H47" s="1">
        <v>14.2</v>
      </c>
    </row>
    <row r="48">
      <c r="A48" s="1">
        <v>48.0</v>
      </c>
      <c r="B48" s="1">
        <v>32000.0</v>
      </c>
      <c r="C48" s="6">
        <f t="shared" si="1"/>
        <v>107</v>
      </c>
      <c r="D48" s="6">
        <f t="shared" si="2"/>
        <v>220</v>
      </c>
      <c r="G48" s="1">
        <v>69.0</v>
      </c>
      <c r="H48" s="1">
        <v>14.7</v>
      </c>
    </row>
    <row r="49">
      <c r="A49" s="1">
        <v>49.0</v>
      </c>
      <c r="B49" s="1">
        <v>33750.0</v>
      </c>
      <c r="C49" s="6">
        <f t="shared" si="1"/>
        <v>113</v>
      </c>
      <c r="D49" s="6">
        <f t="shared" si="2"/>
        <v>233</v>
      </c>
      <c r="G49" s="1">
        <v>70.0</v>
      </c>
      <c r="H49" s="1">
        <v>15.3</v>
      </c>
    </row>
    <row r="50">
      <c r="A50" s="1">
        <v>50.0</v>
      </c>
      <c r="B50" s="1">
        <v>35750.0</v>
      </c>
      <c r="C50" s="6">
        <f t="shared" si="1"/>
        <v>120</v>
      </c>
      <c r="D50" s="6">
        <f t="shared" si="2"/>
        <v>247</v>
      </c>
      <c r="G50" s="1">
        <v>71.0</v>
      </c>
      <c r="H50" s="1">
        <v>15.9</v>
      </c>
    </row>
    <row r="51">
      <c r="A51" s="1">
        <v>51.0</v>
      </c>
      <c r="B51" s="1">
        <v>38000.0</v>
      </c>
      <c r="C51" s="6">
        <f t="shared" si="1"/>
        <v>127</v>
      </c>
      <c r="D51" s="6">
        <f t="shared" si="2"/>
        <v>262</v>
      </c>
      <c r="G51" s="1">
        <v>72.0</v>
      </c>
      <c r="H51" s="1">
        <v>16.4</v>
      </c>
    </row>
    <row r="52">
      <c r="A52" s="1">
        <v>52.0</v>
      </c>
      <c r="B52" s="1">
        <v>40250.0</v>
      </c>
      <c r="C52" s="6">
        <f t="shared" si="1"/>
        <v>135</v>
      </c>
      <c r="D52" s="6">
        <f t="shared" si="2"/>
        <v>277</v>
      </c>
      <c r="G52" s="1">
        <v>73.0</v>
      </c>
      <c r="H52" s="1">
        <v>17.0</v>
      </c>
    </row>
    <row r="53">
      <c r="A53" s="1">
        <v>53.0</v>
      </c>
      <c r="B53" s="1">
        <v>42500.0</v>
      </c>
      <c r="C53" s="6">
        <f t="shared" si="1"/>
        <v>142</v>
      </c>
      <c r="D53" s="6">
        <f t="shared" si="2"/>
        <v>294</v>
      </c>
      <c r="G53" s="1">
        <v>74.0</v>
      </c>
      <c r="H53" s="1">
        <v>17.9</v>
      </c>
    </row>
    <row r="54">
      <c r="A54" s="1">
        <v>54.0</v>
      </c>
      <c r="B54" s="1">
        <v>45500.0</v>
      </c>
      <c r="C54" s="6">
        <f t="shared" si="1"/>
        <v>152</v>
      </c>
      <c r="D54" s="6">
        <f t="shared" si="2"/>
        <v>314</v>
      </c>
      <c r="G54" s="1">
        <v>75.0</v>
      </c>
      <c r="H54" s="1">
        <v>19.8</v>
      </c>
    </row>
    <row r="55">
      <c r="A55" s="1">
        <v>55.0</v>
      </c>
      <c r="B55" s="1">
        <v>48500.0</v>
      </c>
      <c r="C55" s="6">
        <f t="shared" si="1"/>
        <v>162</v>
      </c>
      <c r="D55" s="6">
        <f t="shared" si="2"/>
        <v>334</v>
      </c>
      <c r="G55" s="1">
        <v>76.0</v>
      </c>
      <c r="H55" s="1">
        <v>22.7</v>
      </c>
    </row>
    <row r="56">
      <c r="A56" s="1">
        <v>56.0</v>
      </c>
      <c r="B56" s="1">
        <v>51500.0</v>
      </c>
      <c r="C56" s="6">
        <f t="shared" si="1"/>
        <v>172</v>
      </c>
      <c r="D56" s="6">
        <f t="shared" si="2"/>
        <v>354</v>
      </c>
      <c r="G56" s="1">
        <v>77.0</v>
      </c>
      <c r="H56" s="1">
        <v>25.8</v>
      </c>
    </row>
    <row r="57">
      <c r="A57" s="1">
        <v>57.0</v>
      </c>
      <c r="B57" s="1">
        <v>54500.0</v>
      </c>
      <c r="C57" s="6">
        <f t="shared" si="1"/>
        <v>182</v>
      </c>
      <c r="D57" s="6">
        <f t="shared" si="2"/>
        <v>374</v>
      </c>
      <c r="G57" s="1">
        <v>78.0</v>
      </c>
      <c r="H57" s="1">
        <v>29.0</v>
      </c>
    </row>
    <row r="58">
      <c r="A58" s="1">
        <v>58.0</v>
      </c>
      <c r="B58" s="1">
        <v>57500.0</v>
      </c>
      <c r="C58" s="6">
        <f t="shared" si="1"/>
        <v>192</v>
      </c>
      <c r="D58" s="6">
        <f t="shared" si="2"/>
        <v>394</v>
      </c>
      <c r="G58" s="1">
        <v>79.0</v>
      </c>
      <c r="H58" s="1">
        <v>32.2</v>
      </c>
    </row>
    <row r="59">
      <c r="A59" s="1">
        <v>59.0</v>
      </c>
      <c r="B59" s="1">
        <v>60500.0</v>
      </c>
      <c r="C59" s="6">
        <f t="shared" si="1"/>
        <v>202</v>
      </c>
      <c r="D59" s="6">
        <f t="shared" si="2"/>
        <v>414</v>
      </c>
      <c r="G59" s="1">
        <v>80.0</v>
      </c>
      <c r="H59" s="1">
        <v>35.3</v>
      </c>
    </row>
    <row r="60">
      <c r="A60" s="1">
        <v>60.0</v>
      </c>
      <c r="B60" s="1">
        <v>63500.0</v>
      </c>
      <c r="C60" s="6">
        <f t="shared" si="1"/>
        <v>212</v>
      </c>
      <c r="D60" s="6">
        <f t="shared" si="2"/>
        <v>434</v>
      </c>
      <c r="G60" s="1">
        <v>81.0</v>
      </c>
      <c r="H60" s="1">
        <v>38.5</v>
      </c>
    </row>
    <row r="61">
      <c r="A61" s="1">
        <v>61.0</v>
      </c>
      <c r="B61" s="1">
        <v>66500.0</v>
      </c>
      <c r="C61" s="6">
        <f t="shared" si="1"/>
        <v>222</v>
      </c>
      <c r="D61" s="6">
        <f t="shared" si="2"/>
        <v>456</v>
      </c>
      <c r="G61" s="1">
        <v>82.0</v>
      </c>
      <c r="H61" s="1">
        <v>41.7</v>
      </c>
    </row>
    <row r="62">
      <c r="A62" s="1">
        <v>62.0</v>
      </c>
      <c r="B62" s="1">
        <v>70000.0</v>
      </c>
      <c r="C62" s="6">
        <f t="shared" si="1"/>
        <v>234</v>
      </c>
      <c r="D62" s="6">
        <f t="shared" si="2"/>
        <v>479</v>
      </c>
      <c r="G62" s="1">
        <v>83.0</v>
      </c>
      <c r="H62" s="1">
        <v>44.9</v>
      </c>
    </row>
    <row r="63">
      <c r="A63" s="1">
        <v>63.0</v>
      </c>
      <c r="B63" s="1">
        <v>73500.0</v>
      </c>
      <c r="C63" s="6">
        <f t="shared" si="1"/>
        <v>245</v>
      </c>
      <c r="D63" s="6">
        <f t="shared" si="2"/>
        <v>502</v>
      </c>
      <c r="G63" s="1">
        <v>84.0</v>
      </c>
      <c r="H63" s="1">
        <v>48.1</v>
      </c>
    </row>
    <row r="64">
      <c r="A64" s="1">
        <v>64.0</v>
      </c>
      <c r="B64" s="1">
        <v>77000.0</v>
      </c>
      <c r="C64" s="6">
        <f t="shared" si="1"/>
        <v>257</v>
      </c>
      <c r="D64" s="6">
        <f t="shared" si="2"/>
        <v>526</v>
      </c>
      <c r="G64" s="1">
        <v>85.0</v>
      </c>
      <c r="H64" s="1">
        <v>51.2</v>
      </c>
    </row>
    <row r="65">
      <c r="A65" s="1">
        <v>65.0</v>
      </c>
      <c r="B65" s="1">
        <v>80500.0</v>
      </c>
      <c r="C65" s="6">
        <f t="shared" si="1"/>
        <v>269</v>
      </c>
      <c r="D65" s="6">
        <f t="shared" si="2"/>
        <v>549</v>
      </c>
      <c r="G65" s="1">
        <v>86.0</v>
      </c>
      <c r="H65" s="1">
        <v>54.4</v>
      </c>
    </row>
    <row r="66">
      <c r="A66" s="1">
        <v>66.0</v>
      </c>
      <c r="B66" s="1">
        <v>84000.0</v>
      </c>
      <c r="C66" s="6">
        <f t="shared" si="1"/>
        <v>280</v>
      </c>
      <c r="D66" s="6">
        <f t="shared" si="2"/>
        <v>572</v>
      </c>
      <c r="G66" s="1">
        <v>87.0</v>
      </c>
      <c r="H66" s="1">
        <v>57.6</v>
      </c>
    </row>
    <row r="67">
      <c r="A67" s="1">
        <v>67.0</v>
      </c>
      <c r="B67" s="1">
        <v>87500.0</v>
      </c>
      <c r="C67" s="6">
        <f t="shared" si="1"/>
        <v>292</v>
      </c>
      <c r="D67" s="6">
        <f t="shared" si="2"/>
        <v>596</v>
      </c>
      <c r="G67" s="1">
        <v>88.0</v>
      </c>
      <c r="H67" s="1">
        <v>60.7</v>
      </c>
    </row>
    <row r="68">
      <c r="A68" s="1">
        <v>68.0</v>
      </c>
      <c r="B68" s="1">
        <v>91000.0</v>
      </c>
      <c r="C68" s="6">
        <f t="shared" si="1"/>
        <v>304</v>
      </c>
      <c r="D68" s="6">
        <f t="shared" si="2"/>
        <v>619</v>
      </c>
      <c r="G68" s="1">
        <v>89.0</v>
      </c>
      <c r="H68" s="1">
        <v>131.4</v>
      </c>
    </row>
    <row r="69">
      <c r="A69" s="1">
        <v>69.0</v>
      </c>
      <c r="B69" s="1">
        <v>94500.0</v>
      </c>
      <c r="C69" s="6">
        <f t="shared" si="1"/>
        <v>315</v>
      </c>
      <c r="D69" s="6">
        <f t="shared" si="2"/>
        <v>642</v>
      </c>
      <c r="E69" s="6">
        <f>D69/700</f>
        <v>0.9171428571</v>
      </c>
      <c r="G69" s="1">
        <v>90.0</v>
      </c>
      <c r="H69" s="1">
        <v>215.4</v>
      </c>
    </row>
    <row r="70">
      <c r="A70" s="1">
        <v>70.0</v>
      </c>
      <c r="B70" s="1">
        <v>98000.0</v>
      </c>
      <c r="C70" s="6">
        <f t="shared" si="1"/>
        <v>327</v>
      </c>
      <c r="D70" s="6">
        <f t="shared" si="2"/>
        <v>666</v>
      </c>
    </row>
    <row r="71">
      <c r="A71" s="1">
        <v>71.0</v>
      </c>
      <c r="B71" s="1">
        <v>101500.0</v>
      </c>
      <c r="C71" s="6">
        <f t="shared" si="1"/>
        <v>339</v>
      </c>
      <c r="D71" s="6">
        <f t="shared" si="2"/>
        <v>689</v>
      </c>
      <c r="E71" s="6">
        <f>1-D71/1000</f>
        <v>0.311</v>
      </c>
    </row>
    <row r="72">
      <c r="A72" s="1">
        <v>72.0</v>
      </c>
      <c r="B72" s="1">
        <v>105000.0</v>
      </c>
      <c r="C72" s="6">
        <f t="shared" si="1"/>
        <v>350</v>
      </c>
      <c r="D72" s="6">
        <f t="shared" si="2"/>
        <v>712</v>
      </c>
      <c r="O72" s="1">
        <v>75.0</v>
      </c>
    </row>
    <row r="73">
      <c r="A73" s="1">
        <v>73.0</v>
      </c>
      <c r="B73" s="1">
        <v>108500.0</v>
      </c>
      <c r="C73" s="6">
        <f t="shared" si="1"/>
        <v>362</v>
      </c>
      <c r="D73" s="6">
        <f t="shared" si="2"/>
        <v>724</v>
      </c>
      <c r="E73" s="6">
        <f>1-D73/1000</f>
        <v>0.276</v>
      </c>
      <c r="O73" s="1">
        <v>76.0</v>
      </c>
    </row>
    <row r="74">
      <c r="A74" s="1">
        <v>74.0</v>
      </c>
      <c r="B74" s="1">
        <v>108500.0</v>
      </c>
      <c r="C74" s="6">
        <f t="shared" si="1"/>
        <v>362</v>
      </c>
      <c r="D74" s="6">
        <f t="shared" si="2"/>
        <v>751</v>
      </c>
      <c r="G74" s="1">
        <v>76.0</v>
      </c>
      <c r="H74" s="1">
        <v>17.0</v>
      </c>
      <c r="O74" s="1">
        <v>77.0</v>
      </c>
    </row>
    <row r="75">
      <c r="A75" s="1">
        <v>75.0</v>
      </c>
      <c r="B75" s="1">
        <v>116500.0</v>
      </c>
      <c r="C75" s="6">
        <f t="shared" si="1"/>
        <v>389</v>
      </c>
      <c r="D75" s="6">
        <f t="shared" si="2"/>
        <v>831</v>
      </c>
      <c r="E75" s="6">
        <f>1-D75/1000</f>
        <v>0.169</v>
      </c>
      <c r="G75" s="1">
        <v>77.0</v>
      </c>
      <c r="H75" s="1">
        <v>19.4</v>
      </c>
      <c r="O75" s="1">
        <v>78.0</v>
      </c>
    </row>
    <row r="76">
      <c r="A76" s="1">
        <v>76.0</v>
      </c>
      <c r="B76" s="1">
        <v>132500.0</v>
      </c>
      <c r="C76" s="6">
        <f t="shared" si="1"/>
        <v>442</v>
      </c>
      <c r="D76" s="6">
        <f t="shared" si="2"/>
        <v>951</v>
      </c>
      <c r="G76" s="1">
        <v>78.0</v>
      </c>
      <c r="H76" s="1">
        <v>21.8</v>
      </c>
      <c r="O76" s="1">
        <v>79.0</v>
      </c>
    </row>
    <row r="77">
      <c r="A77" s="1">
        <v>77.0</v>
      </c>
      <c r="B77" s="1">
        <v>152500.0</v>
      </c>
      <c r="C77" s="6">
        <f t="shared" si="1"/>
        <v>509</v>
      </c>
      <c r="D77" s="6">
        <f t="shared" si="2"/>
        <v>1084</v>
      </c>
      <c r="G77" s="1">
        <v>79.0</v>
      </c>
      <c r="H77" s="1">
        <v>24.1</v>
      </c>
      <c r="O77" s="1">
        <v>80.0</v>
      </c>
    </row>
    <row r="78">
      <c r="A78" s="1">
        <v>78.0</v>
      </c>
      <c r="B78" s="1">
        <v>172500.0</v>
      </c>
      <c r="C78" s="6">
        <f t="shared" si="1"/>
        <v>575</v>
      </c>
      <c r="D78" s="6">
        <f t="shared" si="2"/>
        <v>1217</v>
      </c>
      <c r="G78" s="1">
        <v>80.0</v>
      </c>
      <c r="H78" s="1">
        <v>26.5</v>
      </c>
      <c r="O78" s="1">
        <v>81.0</v>
      </c>
    </row>
    <row r="79">
      <c r="A79" s="1">
        <v>79.0</v>
      </c>
      <c r="B79" s="1">
        <v>192500.0</v>
      </c>
      <c r="C79" s="6">
        <f t="shared" si="1"/>
        <v>642</v>
      </c>
      <c r="D79" s="6">
        <f t="shared" si="2"/>
        <v>1351</v>
      </c>
      <c r="G79" s="1">
        <v>81.0</v>
      </c>
      <c r="H79" s="1">
        <v>28.9</v>
      </c>
      <c r="O79" s="1">
        <v>82.0</v>
      </c>
    </row>
    <row r="80">
      <c r="A80" s="1">
        <v>80.0</v>
      </c>
      <c r="B80" s="1">
        <v>212500.0</v>
      </c>
      <c r="C80" s="6">
        <f t="shared" si="1"/>
        <v>709</v>
      </c>
      <c r="D80" s="6">
        <f t="shared" si="2"/>
        <v>1484</v>
      </c>
      <c r="G80" s="1">
        <v>82.0</v>
      </c>
      <c r="H80" s="1">
        <v>31.3</v>
      </c>
      <c r="O80" s="1">
        <v>83.0</v>
      </c>
    </row>
    <row r="81">
      <c r="A81" s="1">
        <v>81.0</v>
      </c>
      <c r="B81" s="1">
        <v>232500.0</v>
      </c>
      <c r="C81" s="6">
        <f t="shared" si="1"/>
        <v>775</v>
      </c>
      <c r="D81" s="6">
        <f t="shared" si="2"/>
        <v>1617</v>
      </c>
      <c r="G81" s="1">
        <v>83.0</v>
      </c>
      <c r="H81" s="1">
        <v>33.7</v>
      </c>
      <c r="O81" s="1">
        <v>84.0</v>
      </c>
    </row>
    <row r="82">
      <c r="A82" s="1">
        <v>82.0</v>
      </c>
      <c r="B82" s="1">
        <v>252500.0</v>
      </c>
      <c r="C82" s="6">
        <f t="shared" si="1"/>
        <v>842</v>
      </c>
      <c r="D82" s="6">
        <f t="shared" si="2"/>
        <v>1751</v>
      </c>
      <c r="G82" s="1">
        <v>84.0</v>
      </c>
      <c r="H82" s="1">
        <v>36.1</v>
      </c>
      <c r="O82" s="1">
        <v>85.0</v>
      </c>
    </row>
    <row r="83">
      <c r="A83" s="1">
        <v>83.0</v>
      </c>
      <c r="B83" s="1">
        <v>272500.0</v>
      </c>
      <c r="C83" s="6">
        <f t="shared" si="1"/>
        <v>909</v>
      </c>
      <c r="D83" s="6">
        <f t="shared" si="2"/>
        <v>1884</v>
      </c>
      <c r="G83" s="1">
        <v>85.0</v>
      </c>
      <c r="H83" s="1">
        <v>38.4</v>
      </c>
      <c r="O83" s="1">
        <v>86.0</v>
      </c>
    </row>
    <row r="84">
      <c r="A84" s="1">
        <v>84.0</v>
      </c>
      <c r="B84" s="1">
        <v>292500.0</v>
      </c>
      <c r="C84" s="6">
        <f t="shared" si="1"/>
        <v>975</v>
      </c>
      <c r="D84" s="6">
        <f t="shared" si="2"/>
        <v>2017</v>
      </c>
      <c r="F84" s="6">
        <f>306*1997</f>
        <v>611082</v>
      </c>
      <c r="G84" s="1">
        <v>86.0</v>
      </c>
      <c r="H84" s="1">
        <v>40.8</v>
      </c>
      <c r="O84" s="1">
        <v>87.0</v>
      </c>
    </row>
    <row r="85">
      <c r="A85" s="1">
        <v>85.0</v>
      </c>
      <c r="B85" s="1">
        <v>312500.0</v>
      </c>
      <c r="C85" s="6">
        <f t="shared" si="1"/>
        <v>1042</v>
      </c>
      <c r="D85" s="6">
        <f t="shared" si="2"/>
        <v>2151</v>
      </c>
      <c r="G85" s="1">
        <v>87.0</v>
      </c>
      <c r="H85" s="1">
        <v>43.2</v>
      </c>
      <c r="O85" s="1">
        <v>88.0</v>
      </c>
    </row>
    <row r="86">
      <c r="A86" s="1">
        <v>86.0</v>
      </c>
      <c r="B86" s="1">
        <v>332500.0</v>
      </c>
      <c r="C86" s="6">
        <f t="shared" si="1"/>
        <v>1109</v>
      </c>
      <c r="D86" s="6">
        <f t="shared" si="2"/>
        <v>2284</v>
      </c>
      <c r="G86" s="1">
        <v>88.0</v>
      </c>
      <c r="H86" s="1">
        <v>45.6</v>
      </c>
      <c r="O86" s="1">
        <v>89.0</v>
      </c>
    </row>
    <row r="87">
      <c r="A87" s="1">
        <v>87.0</v>
      </c>
      <c r="B87" s="1">
        <v>352500.0</v>
      </c>
      <c r="C87" s="6">
        <f t="shared" si="1"/>
        <v>1175</v>
      </c>
      <c r="D87" s="6">
        <f t="shared" si="2"/>
        <v>2417</v>
      </c>
      <c r="G87" s="1">
        <v>89.0</v>
      </c>
      <c r="H87" s="1">
        <v>98.5</v>
      </c>
      <c r="O87" s="1">
        <v>90.0</v>
      </c>
    </row>
    <row r="88">
      <c r="A88" s="1">
        <v>88.0</v>
      </c>
      <c r="B88" s="1">
        <v>372500.0</v>
      </c>
      <c r="C88" s="6">
        <f t="shared" si="1"/>
        <v>1242</v>
      </c>
      <c r="D88" s="6">
        <f t="shared" si="2"/>
        <v>2551</v>
      </c>
      <c r="G88" s="1">
        <v>90.0</v>
      </c>
      <c r="H88" s="1">
        <v>161.6</v>
      </c>
    </row>
    <row r="89">
      <c r="A89" s="1">
        <v>89.0</v>
      </c>
      <c r="B89" s="1">
        <v>392500.0</v>
      </c>
      <c r="C89" s="6">
        <f t="shared" si="1"/>
        <v>1309</v>
      </c>
      <c r="D89" s="6">
        <f t="shared" si="2"/>
        <v>4188</v>
      </c>
      <c r="G89" s="1">
        <v>91.0</v>
      </c>
      <c r="H89" s="1">
        <v>86.4</v>
      </c>
    </row>
    <row r="90">
      <c r="A90" s="1">
        <v>90.0</v>
      </c>
      <c r="B90" s="1">
        <v>863550.0</v>
      </c>
      <c r="C90" s="6">
        <f t="shared" si="1"/>
        <v>2879</v>
      </c>
      <c r="D90" s="6">
        <f t="shared" si="2"/>
        <v>4607</v>
      </c>
      <c r="E90" s="6">
        <f>sum(B82:B90)</f>
        <v>3443550</v>
      </c>
    </row>
    <row r="91">
      <c r="A91" s="1">
        <v>91.0</v>
      </c>
      <c r="B91" s="1">
        <v>518156.0</v>
      </c>
      <c r="C91" s="6">
        <f t="shared" si="1"/>
        <v>1728</v>
      </c>
      <c r="D91" s="6">
        <f t="shared" si="2"/>
        <v>5211</v>
      </c>
      <c r="E91" s="6">
        <f>E90/163621</f>
        <v>21.04589264</v>
      </c>
    </row>
    <row r="92">
      <c r="A92" s="1">
        <v>92.0</v>
      </c>
      <c r="B92" s="1">
        <v>1044895.0</v>
      </c>
      <c r="C92" s="6">
        <f t="shared" si="1"/>
        <v>3483</v>
      </c>
      <c r="D92" s="6">
        <f t="shared" si="2"/>
        <v>7315</v>
      </c>
      <c r="E92" s="6">
        <f>E91*6.5/60</f>
        <v>2.279971703</v>
      </c>
    </row>
    <row r="93">
      <c r="A93" s="1">
        <v>93.0</v>
      </c>
      <c r="B93" s="1">
        <v>1149385.0</v>
      </c>
      <c r="C93" s="6">
        <f t="shared" si="1"/>
        <v>3832</v>
      </c>
      <c r="D93" s="6">
        <f t="shared" si="2"/>
        <v>8047</v>
      </c>
    </row>
    <row r="94">
      <c r="A94" s="1">
        <v>94.0</v>
      </c>
      <c r="B94" s="1">
        <v>1264323.0</v>
      </c>
      <c r="C94" s="6">
        <f t="shared" si="1"/>
        <v>4215</v>
      </c>
      <c r="D94" s="6">
        <f t="shared" si="2"/>
        <v>8255</v>
      </c>
    </row>
    <row r="95">
      <c r="A95" s="1">
        <v>95.0</v>
      </c>
      <c r="B95" s="1">
        <v>1212000.0</v>
      </c>
      <c r="C95" s="6">
        <f t="shared" si="1"/>
        <v>4040</v>
      </c>
    </row>
    <row r="96">
      <c r="A96" s="1">
        <v>96.0</v>
      </c>
      <c r="B96" s="1">
        <v>1325625.0</v>
      </c>
      <c r="C96" s="6">
        <f t="shared" si="1"/>
        <v>4419</v>
      </c>
    </row>
    <row r="97">
      <c r="D97" s="6">
        <f>D90+D92+D94</f>
        <v>20177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2">
      <c r="A2" s="1" t="s">
        <v>612</v>
      </c>
      <c r="B2" s="1" t="s">
        <v>613</v>
      </c>
      <c r="C2" s="1" t="s">
        <v>614</v>
      </c>
    </row>
    <row r="3">
      <c r="A3" s="6">
        <f>1054-93</f>
        <v>961</v>
      </c>
      <c r="B3" s="1">
        <v>6872.0</v>
      </c>
      <c r="C3" s="1">
        <v>25248.0</v>
      </c>
    </row>
    <row r="4">
      <c r="A4" s="1">
        <v>1054.0</v>
      </c>
      <c r="B4" s="1">
        <v>7251.0</v>
      </c>
      <c r="C4" s="1">
        <v>25248.0</v>
      </c>
    </row>
    <row r="5">
      <c r="A5" s="1">
        <v>1122.0</v>
      </c>
      <c r="B5" s="1">
        <v>7527.0</v>
      </c>
      <c r="C5" s="1">
        <v>25248.0</v>
      </c>
      <c r="E5" s="1">
        <v>630.5</v>
      </c>
      <c r="F5" s="19">
        <v>1.52</v>
      </c>
      <c r="G5" s="1">
        <v>7910.0</v>
      </c>
      <c r="H5" s="1">
        <v>25248.0</v>
      </c>
      <c r="I5" s="6">
        <f t="shared" ref="I5:I6" si="1">H5/G5</f>
        <v>3.191908976</v>
      </c>
    </row>
    <row r="6">
      <c r="A6" s="1">
        <v>1216.0</v>
      </c>
      <c r="B6" s="1">
        <v>7910.0</v>
      </c>
      <c r="C6" s="1">
        <v>25248.0</v>
      </c>
      <c r="E6" s="1">
        <v>690.4</v>
      </c>
      <c r="F6" s="19">
        <v>1.55</v>
      </c>
      <c r="G6" s="1">
        <v>7998.0</v>
      </c>
      <c r="H6" s="1">
        <v>25543.0</v>
      </c>
      <c r="I6" s="6">
        <f t="shared" si="1"/>
        <v>3.193673418</v>
      </c>
    </row>
    <row r="7">
      <c r="A7" s="1">
        <v>1264.0</v>
      </c>
      <c r="B7" s="1">
        <v>8261.0</v>
      </c>
      <c r="C7" s="1">
        <v>25764.0</v>
      </c>
      <c r="E7" s="1">
        <v>733.2</v>
      </c>
      <c r="F7" s="19">
        <v>1.57</v>
      </c>
      <c r="G7" s="1">
        <v>8261.0</v>
      </c>
      <c r="H7" s="1">
        <v>25764.0</v>
      </c>
      <c r="I7" s="6">
        <f>H7/I6</f>
        <v>8067.199311</v>
      </c>
    </row>
    <row r="8">
      <c r="A8" s="1">
        <v>1339.0</v>
      </c>
      <c r="B8" s="1">
        <v>8567.0</v>
      </c>
      <c r="C8" s="1">
        <v>25739.0</v>
      </c>
      <c r="E8" s="1">
        <v>833.0</v>
      </c>
      <c r="F8" s="19">
        <v>1.62</v>
      </c>
      <c r="G8" s="1">
        <v>8932.0</v>
      </c>
      <c r="H8" s="1">
        <v>26245.0</v>
      </c>
      <c r="I8" s="6">
        <f>H8/I6</f>
        <v>8217.809576</v>
      </c>
    </row>
    <row r="9">
      <c r="A9" s="1">
        <v>1387.0</v>
      </c>
      <c r="B9" s="1">
        <v>8932.0</v>
      </c>
      <c r="C9" s="1">
        <v>26245.0</v>
      </c>
    </row>
    <row r="18">
      <c r="E18" s="1">
        <v>1387.0</v>
      </c>
      <c r="G18" s="6">
        <f>(G19-H19*E20)/(1-E20)</f>
        <v>23425.09652</v>
      </c>
      <c r="H18" s="1">
        <v>31694.0</v>
      </c>
    </row>
    <row r="19">
      <c r="E19" s="6">
        <f>E18-600</f>
        <v>787</v>
      </c>
      <c r="G19" s="1">
        <v>24892.0</v>
      </c>
      <c r="H19" s="1">
        <v>31694.0</v>
      </c>
    </row>
    <row r="20">
      <c r="E20" s="6">
        <f>2%+E19/900*18%</f>
        <v>0.1774</v>
      </c>
    </row>
    <row r="21">
      <c r="G21" s="1" t="s">
        <v>615</v>
      </c>
      <c r="H21" s="1" t="s">
        <v>616</v>
      </c>
      <c r="I21" s="1" t="s">
        <v>617</v>
      </c>
    </row>
    <row r="22">
      <c r="G22" s="1" t="s">
        <v>618</v>
      </c>
      <c r="I22" s="1" t="s">
        <v>619</v>
      </c>
    </row>
    <row r="23">
      <c r="A23" s="1">
        <v>500.0</v>
      </c>
      <c r="B23" s="1">
        <v>0.0</v>
      </c>
    </row>
    <row r="24">
      <c r="A24" s="1">
        <v>600.0</v>
      </c>
      <c r="B24" s="19">
        <v>0.02</v>
      </c>
    </row>
    <row r="25">
      <c r="A25" s="1">
        <v>1500.0</v>
      </c>
      <c r="B25" s="19">
        <v>0.2</v>
      </c>
      <c r="D25" s="1" t="s">
        <v>620</v>
      </c>
      <c r="E25" s="1" t="s">
        <v>621</v>
      </c>
      <c r="F25" s="1" t="s">
        <v>10</v>
      </c>
      <c r="G25" s="1" t="s">
        <v>622</v>
      </c>
      <c r="H25" s="1" t="s">
        <v>623</v>
      </c>
      <c r="I25" s="1" t="s">
        <v>624</v>
      </c>
      <c r="J25" s="6">
        <f>1.3+8.567</f>
        <v>9.867</v>
      </c>
    </row>
    <row r="26">
      <c r="A26" s="1">
        <v>3000.0</v>
      </c>
      <c r="B26" s="19">
        <v>0.3</v>
      </c>
      <c r="D26" s="19">
        <v>0.0</v>
      </c>
      <c r="E26" s="1">
        <v>500.0</v>
      </c>
      <c r="F26" s="11">
        <f>$J$27</f>
        <v>23425</v>
      </c>
      <c r="G26" s="11">
        <f t="shared" ref="G26:G32" si="2">$J$25*Average(F26,31694)</f>
        <v>271929.5865</v>
      </c>
      <c r="I26" s="1" t="s">
        <v>11</v>
      </c>
      <c r="J26" s="1">
        <v>31694.0</v>
      </c>
    </row>
    <row r="27">
      <c r="A27" s="1">
        <v>5500.0</v>
      </c>
      <c r="B27" s="19">
        <v>0.4</v>
      </c>
      <c r="D27" s="19">
        <v>0.02</v>
      </c>
      <c r="E27" s="1">
        <v>600.0</v>
      </c>
      <c r="F27" s="11">
        <f t="shared" ref="F27:F32" si="3">$F$26+($J$26-$F$26)*$D27</f>
        <v>23590.38</v>
      </c>
      <c r="G27" s="11">
        <f t="shared" si="2"/>
        <v>272745.4887</v>
      </c>
      <c r="H27" s="2">
        <f t="shared" ref="H27:H32" si="4">(G27-G$26)/G$26</f>
        <v>0.003000417279</v>
      </c>
      <c r="I27" s="1" t="s">
        <v>10</v>
      </c>
      <c r="J27" s="1">
        <v>23425.0</v>
      </c>
    </row>
    <row r="28">
      <c r="D28" s="19">
        <v>0.2</v>
      </c>
      <c r="E28" s="1">
        <v>1500.0</v>
      </c>
      <c r="F28" s="11">
        <f t="shared" si="3"/>
        <v>25078.8</v>
      </c>
      <c r="G28" s="11">
        <f t="shared" si="2"/>
        <v>280088.6088</v>
      </c>
      <c r="H28" s="2">
        <f t="shared" si="4"/>
        <v>0.03000417279</v>
      </c>
    </row>
    <row r="29">
      <c r="D29" s="19">
        <v>0.3</v>
      </c>
      <c r="E29" s="1">
        <v>3000.0</v>
      </c>
      <c r="F29" s="11">
        <f t="shared" si="3"/>
        <v>25905.7</v>
      </c>
      <c r="G29" s="11">
        <f t="shared" si="2"/>
        <v>284168.12</v>
      </c>
      <c r="H29" s="2">
        <f t="shared" si="4"/>
        <v>0.04500625918</v>
      </c>
    </row>
    <row r="30">
      <c r="D30" s="19">
        <v>0.4</v>
      </c>
      <c r="E30" s="1">
        <v>5500.0</v>
      </c>
      <c r="F30" s="11">
        <f t="shared" si="3"/>
        <v>26732.6</v>
      </c>
      <c r="G30" s="11">
        <f t="shared" si="2"/>
        <v>288247.6311</v>
      </c>
      <c r="H30" s="2">
        <f t="shared" si="4"/>
        <v>0.06000834558</v>
      </c>
    </row>
    <row r="31">
      <c r="D31" s="19">
        <v>0.1774</v>
      </c>
      <c r="E31" s="1">
        <v>1387.0</v>
      </c>
      <c r="F31" s="11">
        <f t="shared" si="3"/>
        <v>24891.9206</v>
      </c>
      <c r="G31" s="11">
        <f t="shared" si="2"/>
        <v>279166.6393</v>
      </c>
      <c r="H31" s="2">
        <f t="shared" si="4"/>
        <v>0.02661370126</v>
      </c>
    </row>
    <row r="32">
      <c r="D32" s="6">
        <f>(E32-1500)*(10%/1500)+20%</f>
        <v>0.2173333333</v>
      </c>
      <c r="E32" s="6">
        <f>E31+373</f>
        <v>1760</v>
      </c>
      <c r="F32" s="11">
        <f t="shared" si="3"/>
        <v>25222.12933</v>
      </c>
      <c r="G32" s="11">
        <f t="shared" si="2"/>
        <v>280795.7241</v>
      </c>
      <c r="H32" s="2">
        <f t="shared" si="4"/>
        <v>0.03260453443</v>
      </c>
      <c r="I32" s="2">
        <f>(G32-G31)/G31</f>
        <v>0.005835528164</v>
      </c>
    </row>
  </sheetData>
  <autoFilter ref="$A$2:$C$9"/>
  <drawing r:id="rId1"/>
</worksheet>
</file>