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G\Videos\INFORME 4 PAMPAROMAS - copia\Parte I_LP, RP, RS y SFV\Volumen V_Valor Referencial\"/>
    </mc:Choice>
  </mc:AlternateContent>
  <xr:revisionPtr revIDLastSave="0" documentId="13_ncr:1_{ED79647F-A214-486A-B5E0-22EB80316DF5}" xr6:coauthVersionLast="47" xr6:coauthVersionMax="47" xr10:uidLastSave="{00000000-0000-0000-0000-000000000000}"/>
  <bookViews>
    <workbookView minimized="1" xWindow="696" yWindow="1524" windowWidth="22692" windowHeight="11184" tabRatio="913" activeTab="5" xr2:uid="{00000000-000D-0000-FFFF-FFFF00000000}"/>
  </bookViews>
  <sheets>
    <sheet name="RESUMEN TOTAL" sheetId="51" r:id="rId1"/>
    <sheet name="RES-GRAL OBRA" sheetId="10" r:id="rId2"/>
    <sheet name="RG" sheetId="28" state="hidden" r:id="rId3"/>
    <sheet name="GG Contr." sheetId="26" state="hidden" r:id="rId4"/>
    <sheet name="RES-LP" sheetId="46" r:id="rId5"/>
    <sheet name="Mtdo-Ppto LP" sheetId="44" r:id="rId6"/>
    <sheet name="FP LP" sheetId="52" r:id="rId7"/>
    <sheet name="RES-RP" sheetId="47" r:id="rId8"/>
    <sheet name="Mtdo-Ppto RP" sheetId="48" r:id="rId9"/>
    <sheet name="FP RP" sheetId="53" r:id="rId10"/>
    <sheet name="RES-RS" sheetId="13" r:id="rId11"/>
    <sheet name="Mtdo-Ppto RS" sheetId="7" r:id="rId12"/>
    <sheet name="FP RS" sheetId="54" r:id="rId13"/>
    <sheet name="RES- SFV" sheetId="49" r:id="rId14"/>
    <sheet name="Mtdo-Ppto SFV" sheetId="50" r:id="rId15"/>
    <sheet name="FP  SFVS" sheetId="55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</externalReferences>
  <definedNames>
    <definedName name="\A">[1]A!$D$9:$D$53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[4]DATOS!$A$3:$E$22</definedName>
    <definedName name="______________SOL1">#REF!</definedName>
    <definedName name="_____________REV3">[4]DATOS!$A$3:$E$22</definedName>
    <definedName name="_____________SOL1">#REF!</definedName>
    <definedName name="____________PPA1">#REF!</definedName>
    <definedName name="____________REV3">[4]DATOS!$A$3:$E$22</definedName>
    <definedName name="____________Rp12">[5]Datos!$G$17</definedName>
    <definedName name="____________Sec13">[5]Datos!$G$12</definedName>
    <definedName name="____________Sec77">[5]Datos!$G$8</definedName>
    <definedName name="____________SOL1">#REF!</definedName>
    <definedName name="___________Pbs1">[5]Datos!$E$6</definedName>
    <definedName name="___________PPA1">#REF!</definedName>
    <definedName name="___________REV3">[4]DATOS!$A$3:$E$22</definedName>
    <definedName name="___________Rp12">[5]Datos!$G$17</definedName>
    <definedName name="___________Sec13">[5]Datos!$G$12</definedName>
    <definedName name="___________Sec77">[5]Datos!$G$8</definedName>
    <definedName name="___________SOL1">#REF!</definedName>
    <definedName name="__________HED2">#REF!</definedName>
    <definedName name="__________Pbs1">[5]Datos!$E$6</definedName>
    <definedName name="__________PPA1">#REF!</definedName>
    <definedName name="__________REV3">[6]DATOS!$A$3:$E$22</definedName>
    <definedName name="__________Rp12">[5]Datos!$G$17</definedName>
    <definedName name="__________Sec01">[5]Datos!$G$4</definedName>
    <definedName name="__________sec02">[7]Datos!$D$27</definedName>
    <definedName name="__________sec03">[8]Datos!$D$28</definedName>
    <definedName name="__________sec04">[7]Datos!$D$29</definedName>
    <definedName name="__________sec05">[7]Datos!$D$30</definedName>
    <definedName name="__________Sec13">[5]Datos!$G$12</definedName>
    <definedName name="__________Sec77">[5]Datos!$G$8</definedName>
    <definedName name="__________SOL1">#REF!</definedName>
    <definedName name="_________HED2">#REF!</definedName>
    <definedName name="_________Pbs1">[5]Datos!$E$6</definedName>
    <definedName name="_________PPA1">#REF!</definedName>
    <definedName name="_________REV3">[6]DATOS!$A$3:$E$22</definedName>
    <definedName name="_________Rp12">[5]Datos!$G$17</definedName>
    <definedName name="_________Sec01">[5]Datos!$G$4</definedName>
    <definedName name="_________sec02">[7]Datos!$D$27</definedName>
    <definedName name="_________sec03">[8]Datos!$D$28</definedName>
    <definedName name="_________sec04">[7]Datos!$D$29</definedName>
    <definedName name="_________sec05">[7]Datos!$D$30</definedName>
    <definedName name="_________Sec13">[5]Datos!$G$12</definedName>
    <definedName name="_________Sec77">[5]Datos!$G$8</definedName>
    <definedName name="_________SOL1">#REF!</definedName>
    <definedName name="________HED2">#REF!</definedName>
    <definedName name="________PPA1">#REF!</definedName>
    <definedName name="________REV3">[6]DATOS!$A$3:$E$22</definedName>
    <definedName name="________Rp12">[5]Datos!$G$17</definedName>
    <definedName name="________Sec01">[5]Datos!$G$4</definedName>
    <definedName name="________sec02">[7]Datos!$D$27</definedName>
    <definedName name="________sec03">[8]Datos!$D$28</definedName>
    <definedName name="________sec04">[7]Datos!$D$29</definedName>
    <definedName name="________sec05">[7]Datos!$D$30</definedName>
    <definedName name="________Sec13">[5]Datos!$G$12</definedName>
    <definedName name="________Sec77">[5]Datos!$G$8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[5]Datos!$E$6</definedName>
    <definedName name="_______PPA1">#REF!</definedName>
    <definedName name="_______REV3">[6]DATOS!$A$3:$E$22</definedName>
    <definedName name="_______Rp12">[5]Datos!$G$17</definedName>
    <definedName name="_______Sec01">[5]Datos!$G$4</definedName>
    <definedName name="_______sec02">[7]Datos!$D$27</definedName>
    <definedName name="_______sec03">[8]Datos!$D$28</definedName>
    <definedName name="_______sec04">[7]Datos!$D$29</definedName>
    <definedName name="_______sec05">[7]Datos!$D$30</definedName>
    <definedName name="_______Sec13">[5]Datos!$G$12</definedName>
    <definedName name="_______Sec77">[5]Datos!$G$8</definedName>
    <definedName name="_______SOL1">#REF!</definedName>
    <definedName name="______gg1" localSheetId="15">'[10]#¡REF'!#REF!</definedName>
    <definedName name="______gg1" localSheetId="6">'[10]#¡REF'!#REF!</definedName>
    <definedName name="______gg1" localSheetId="9">'[10]#¡REF'!#REF!</definedName>
    <definedName name="______gg1" localSheetId="12">'[10]#¡REF'!#REF!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[5]Datos!$E$6</definedName>
    <definedName name="______PPA1">#REF!</definedName>
    <definedName name="______RE1">'[11]FORMA- RE1'!$A$3:$H$52</definedName>
    <definedName name="______REV3">[6]DATOS!$A$3:$E$22</definedName>
    <definedName name="______RL1">'[11]FORMA-LM3'!$B$1:$L$46</definedName>
    <definedName name="______Rp12">[5]Datos!$G$17</definedName>
    <definedName name="______SE2">'[11]FORMA-SE2'!$M$5</definedName>
    <definedName name="______Sec01">[5]Datos!$G$4</definedName>
    <definedName name="______sec02">[7]Datos!$D$27</definedName>
    <definedName name="______sec03">[8]Datos!$D$28</definedName>
    <definedName name="______sec04">[7]Datos!$D$29</definedName>
    <definedName name="______sec05">[7]Datos!$D$30</definedName>
    <definedName name="______Sec13">[5]Datos!$G$12</definedName>
    <definedName name="______Sec77">[5]Datos!$G$8</definedName>
    <definedName name="______SOL1">#REF!</definedName>
    <definedName name="______vu111">#REF!</definedName>
    <definedName name="_____1__123Graph_FCURRENT" localSheetId="5" hidden="1">[12]FlujoTJ!#REF!</definedName>
    <definedName name="_____1__123Graph_FCURRENT" localSheetId="8" hidden="1">[12]FlujoTJ!#REF!</definedName>
    <definedName name="_____1__123Graph_FCURRENT" localSheetId="14" hidden="1">[12]FlujoTJ!#REF!</definedName>
    <definedName name="_____1__123Graph_FCURRENT" localSheetId="13" hidden="1">[12]FlujoTJ!#REF!</definedName>
    <definedName name="_____1__123Graph_FCURRENT" localSheetId="4" hidden="1">[12]FlujoTJ!#REF!</definedName>
    <definedName name="_____1__123Graph_FCURRENT" localSheetId="7" hidden="1">[12]FlujoTJ!#REF!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 localSheetId="15">'[10]#¡REF'!#REF!</definedName>
    <definedName name="_____gg1" localSheetId="6">'[10]#¡REF'!#REF!</definedName>
    <definedName name="_____gg1" localSheetId="9">'[10]#¡REF'!#REF!</definedName>
    <definedName name="_____gg1" localSheetId="12">'[10]#¡REF'!#REF!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 localSheetId="15">#REF!</definedName>
    <definedName name="_____MET1" localSheetId="6">#REF!</definedName>
    <definedName name="_____MET1" localSheetId="9">#REF!</definedName>
    <definedName name="_____MET1" localSheetId="12">#REF!</definedName>
    <definedName name="_____MET1">#REF!</definedName>
    <definedName name="_____MET2" localSheetId="15">#REF!</definedName>
    <definedName name="_____MET2" localSheetId="6">#REF!</definedName>
    <definedName name="_____MET2" localSheetId="9">#REF!</definedName>
    <definedName name="_____MET2" localSheetId="12">#REF!</definedName>
    <definedName name="_____MET2">#REF!</definedName>
    <definedName name="_____Pbs1">[5]Datos!$E$6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[15]DATOS!$A$3:$E$22</definedName>
    <definedName name="_____RL1">'[11]FORMA-LM3'!$B$1:$L$46</definedName>
    <definedName name="_____Rp12">[5]Datos!$G$17</definedName>
    <definedName name="_____SE2">'[11]FORMA-SE2'!$M$5</definedName>
    <definedName name="_____Sec01">[5]Datos!$G$4</definedName>
    <definedName name="_____sec02">[16]Datos!$D$27</definedName>
    <definedName name="_____sec03">[8]Datos!$D$28</definedName>
    <definedName name="_____sec04">[16]Datos!$D$29</definedName>
    <definedName name="_____sec05">[16]Datos!$D$30</definedName>
    <definedName name="_____Sec13">[5]Datos!$G$12</definedName>
    <definedName name="_____Sec77">[5]Datos!$G$8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localSheetId="5" hidden="1">[12]FlujoTJ!#REF!</definedName>
    <definedName name="____1__123Graph_FCURRENT" localSheetId="8" hidden="1">[12]FlujoTJ!#REF!</definedName>
    <definedName name="____1__123Graph_FCURRENT" localSheetId="14" hidden="1">[12]FlujoTJ!#REF!</definedName>
    <definedName name="____1__123Graph_FCURRENT" localSheetId="13" hidden="1">[12]FlujoTJ!#REF!</definedName>
    <definedName name="____1__123Graph_FCURRENT" localSheetId="4" hidden="1">[12]FlujoTJ!#REF!</definedName>
    <definedName name="____1__123Graph_FCURRENT" localSheetId="7" hidden="1">[12]FlujoTJ!#REF!</definedName>
    <definedName name="____1__123Graph_FCURRENT" hidden="1">[12]FlujoTJ!#REF!</definedName>
    <definedName name="____A99000" localSheetId="15">[13]RS!#REF!</definedName>
    <definedName name="____A99000" localSheetId="6">[13]RS!#REF!</definedName>
    <definedName name="____A99000" localSheetId="9">[13]RS!#REF!</definedName>
    <definedName name="____A99000" localSheetId="12">[13]RS!#REF!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[5]Datos!$E$6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[4]DATOS!$A$3:$E$22</definedName>
    <definedName name="____RL1">'[11]FORMA-LM3'!$B$1:$L$46</definedName>
    <definedName name="____Rp12">[5]Datos!$G$17</definedName>
    <definedName name="____SE2">'[11]FORMA-SE2'!$M$5</definedName>
    <definedName name="____sec01">[7]Datos!$D$26</definedName>
    <definedName name="____sec02">[7]Datos!$D$27</definedName>
    <definedName name="____sec03">[7]Datos!$D$28</definedName>
    <definedName name="____sec04">[7]Datos!$D$29</definedName>
    <definedName name="____sec05">[7]Datos!$D$30</definedName>
    <definedName name="____Sec13">[5]Datos!$G$12</definedName>
    <definedName name="____Sec77">[5]Datos!$G$8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localSheetId="3" hidden="1">[12]FlujoTJ!#REF!</definedName>
    <definedName name="___1__123Graph_FCURRENT" localSheetId="5" hidden="1">[12]FlujoTJ!#REF!</definedName>
    <definedName name="___1__123Graph_FCURRENT" localSheetId="8" hidden="1">[12]FlujoTJ!#REF!</definedName>
    <definedName name="___1__123Graph_FCURRENT" localSheetId="14" hidden="1">[12]FlujoTJ!#REF!</definedName>
    <definedName name="___1__123Graph_FCURRENT" localSheetId="13" hidden="1">[12]FlujoTJ!#REF!</definedName>
    <definedName name="___1__123Graph_FCURRENT" localSheetId="4" hidden="1">[12]FlujoTJ!#REF!</definedName>
    <definedName name="___1__123Graph_FCURRENT" localSheetId="7" hidden="1">[12]FlujoTJ!#REF!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 localSheetId="15">#REF!</definedName>
    <definedName name="___apu0201" localSheetId="6">#REF!</definedName>
    <definedName name="___apu0201" localSheetId="9">#REF!</definedName>
    <definedName name="___apu0201" localSheetId="12">#REF!</definedName>
    <definedName name="___apu0201">#REF!</definedName>
    <definedName name="___apu0202" localSheetId="15">#REF!</definedName>
    <definedName name="___apu0202" localSheetId="6">#REF!</definedName>
    <definedName name="___apu0202" localSheetId="9">#REF!</definedName>
    <definedName name="___apu0202" localSheetId="12">#REF!</definedName>
    <definedName name="___apu0202">#REF!</definedName>
    <definedName name="___apu0203" localSheetId="15">#REF!</definedName>
    <definedName name="___apu0203" localSheetId="6">#REF!</definedName>
    <definedName name="___apu0203" localSheetId="9">#REF!</definedName>
    <definedName name="___apu0203" localSheetId="12">#REF!</definedName>
    <definedName name="___apu0203">#REF!</definedName>
    <definedName name="___apu02033" localSheetId="15">#REF!</definedName>
    <definedName name="___apu02033" localSheetId="6">#REF!</definedName>
    <definedName name="___apu02033" localSheetId="9">#REF!</definedName>
    <definedName name="___apu02033" localSheetId="12">#REF!</definedName>
    <definedName name="___apu02033">#REF!</definedName>
    <definedName name="___apu0301" localSheetId="15">#REF!</definedName>
    <definedName name="___apu0301" localSheetId="6">#REF!</definedName>
    <definedName name="___apu0301" localSheetId="9">#REF!</definedName>
    <definedName name="___apu0301" localSheetId="12">#REF!</definedName>
    <definedName name="___apu0301">#REF!</definedName>
    <definedName name="___apu0302" localSheetId="15">#REF!</definedName>
    <definedName name="___apu0302" localSheetId="6">#REF!</definedName>
    <definedName name="___apu0302" localSheetId="9">#REF!</definedName>
    <definedName name="___apu0302" localSheetId="12">#REF!</definedName>
    <definedName name="___apu0302">#REF!</definedName>
    <definedName name="___apu0303" localSheetId="15">#REF!</definedName>
    <definedName name="___apu0303" localSheetId="6">#REF!</definedName>
    <definedName name="___apu0303" localSheetId="9">#REF!</definedName>
    <definedName name="___apu0303" localSheetId="12">#REF!</definedName>
    <definedName name="___apu0303">#REF!</definedName>
    <definedName name="___apu0304" localSheetId="15">#REF!</definedName>
    <definedName name="___apu0304" localSheetId="6">#REF!</definedName>
    <definedName name="___apu0304" localSheetId="9">#REF!</definedName>
    <definedName name="___apu0304" localSheetId="12">#REF!</definedName>
    <definedName name="___apu0304">#REF!</definedName>
    <definedName name="___apu0305" localSheetId="15">#REF!</definedName>
    <definedName name="___apu0305" localSheetId="6">#REF!</definedName>
    <definedName name="___apu0305" localSheetId="9">#REF!</definedName>
    <definedName name="___apu0305" localSheetId="12">#REF!</definedName>
    <definedName name="___apu0305">#REF!</definedName>
    <definedName name="___apu0401" localSheetId="15">#REF!</definedName>
    <definedName name="___apu0401" localSheetId="6">#REF!</definedName>
    <definedName name="___apu0401" localSheetId="9">#REF!</definedName>
    <definedName name="___apu0401" localSheetId="12">#REF!</definedName>
    <definedName name="___apu0401">#REF!</definedName>
    <definedName name="___apu0501" localSheetId="15">#REF!</definedName>
    <definedName name="___apu0501" localSheetId="6">#REF!</definedName>
    <definedName name="___apu0501" localSheetId="9">#REF!</definedName>
    <definedName name="___apu0501" localSheetId="12">#REF!</definedName>
    <definedName name="___apu0501">#REF!</definedName>
    <definedName name="___apu0502" localSheetId="15">#REF!</definedName>
    <definedName name="___apu0502" localSheetId="6">#REF!</definedName>
    <definedName name="___apu0502" localSheetId="9">#REF!</definedName>
    <definedName name="___apu0502" localSheetId="12">#REF!</definedName>
    <definedName name="___apu0502">#REF!</definedName>
    <definedName name="___apu0503" localSheetId="15">#REF!</definedName>
    <definedName name="___apu0503" localSheetId="6">#REF!</definedName>
    <definedName name="___apu0503" localSheetId="9">#REF!</definedName>
    <definedName name="___apu0503" localSheetId="12">#REF!</definedName>
    <definedName name="___apu0503">#REF!</definedName>
    <definedName name="___apu0504" localSheetId="15">#REF!</definedName>
    <definedName name="___apu0504" localSheetId="6">#REF!</definedName>
    <definedName name="___apu0504" localSheetId="9">#REF!</definedName>
    <definedName name="___apu0504" localSheetId="12">#REF!</definedName>
    <definedName name="___apu0504">#REF!</definedName>
    <definedName name="___apu0505" localSheetId="15">#REF!</definedName>
    <definedName name="___apu0505" localSheetId="6">#REF!</definedName>
    <definedName name="___apu0505" localSheetId="9">#REF!</definedName>
    <definedName name="___apu0505" localSheetId="12">#REF!</definedName>
    <definedName name="___apu0505">#REF!</definedName>
    <definedName name="___apu0506" localSheetId="15">#REF!</definedName>
    <definedName name="___apu0506" localSheetId="6">#REF!</definedName>
    <definedName name="___apu0506" localSheetId="9">#REF!</definedName>
    <definedName name="___apu0506" localSheetId="12">#REF!</definedName>
    <definedName name="___apu0506">#REF!</definedName>
    <definedName name="___apu0507" localSheetId="15">#REF!</definedName>
    <definedName name="___apu0507" localSheetId="6">#REF!</definedName>
    <definedName name="___apu0507" localSheetId="9">#REF!</definedName>
    <definedName name="___apu0507" localSheetId="12">#REF!</definedName>
    <definedName name="___apu0507">#REF!</definedName>
    <definedName name="___apu0508" localSheetId="15">#REF!</definedName>
    <definedName name="___apu0508" localSheetId="6">#REF!</definedName>
    <definedName name="___apu0508" localSheetId="9">#REF!</definedName>
    <definedName name="___apu0508" localSheetId="12">#REF!</definedName>
    <definedName name="___apu0508">#REF!</definedName>
    <definedName name="___apu0601" localSheetId="15">#REF!</definedName>
    <definedName name="___apu0601" localSheetId="6">#REF!</definedName>
    <definedName name="___apu0601" localSheetId="9">#REF!</definedName>
    <definedName name="___apu0601" localSheetId="12">#REF!</definedName>
    <definedName name="___apu0601">#REF!</definedName>
    <definedName name="___CON1" localSheetId="15">#REF!</definedName>
    <definedName name="___CON1" localSheetId="6">#REF!</definedName>
    <definedName name="___CON1" localSheetId="9">#REF!</definedName>
    <definedName name="___CON1" localSheetId="12">#REF!</definedName>
    <definedName name="___CON1">#REF!</definedName>
    <definedName name="___CON3" localSheetId="15">#REF!</definedName>
    <definedName name="___CON3" localSheetId="6">#REF!</definedName>
    <definedName name="___CON3" localSheetId="9">#REF!</definedName>
    <definedName name="___CON3" localSheetId="12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 localSheetId="15">'[10]#¡REF'!#REF!</definedName>
    <definedName name="___gg1" localSheetId="6">'[10]#¡REF'!#REF!</definedName>
    <definedName name="___gg1" localSheetId="9">'[10]#¡REF'!#REF!</definedName>
    <definedName name="___gg1" localSheetId="12">'[10]#¡REF'!#REF!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 localSheetId="15">#REF!</definedName>
    <definedName name="___MET1" localSheetId="6">#REF!</definedName>
    <definedName name="___MET1" localSheetId="9">#REF!</definedName>
    <definedName name="___MET1" localSheetId="12">#REF!</definedName>
    <definedName name="___MET1">#REF!</definedName>
    <definedName name="___MET2" localSheetId="15">#REF!</definedName>
    <definedName name="___MET2" localSheetId="6">#REF!</definedName>
    <definedName name="___MET2" localSheetId="9">#REF!</definedName>
    <definedName name="___MET2" localSheetId="12">#REF!</definedName>
    <definedName name="___MET2">#REF!</definedName>
    <definedName name="___Pbs1">[5]Datos!$E$6</definedName>
    <definedName name="___PPA1">#REF!</definedName>
    <definedName name="___PPB2">#REF!</definedName>
    <definedName name="___PPC3" localSheetId="15">#REF!</definedName>
    <definedName name="___PPC3" localSheetId="6">#REF!</definedName>
    <definedName name="___PPC3" localSheetId="9">#REF!</definedName>
    <definedName name="___PPC3" localSheetId="12">#REF!</definedName>
    <definedName name="___PPC3">#REF!</definedName>
    <definedName name="___PPD4" localSheetId="15">#REF!</definedName>
    <definedName name="___PPD4" localSheetId="6">#REF!</definedName>
    <definedName name="___PPD4" localSheetId="9">#REF!</definedName>
    <definedName name="___PPD4" localSheetId="12">#REF!</definedName>
    <definedName name="___PPD4">#REF!</definedName>
    <definedName name="___PPE5" localSheetId="15">#REF!</definedName>
    <definedName name="___PPE5" localSheetId="6">#REF!</definedName>
    <definedName name="___PPE5" localSheetId="9">#REF!</definedName>
    <definedName name="___PPE5" localSheetId="12">#REF!</definedName>
    <definedName name="___PPE5">#REF!</definedName>
    <definedName name="___PPF6" localSheetId="15">#REF!</definedName>
    <definedName name="___PPF6" localSheetId="6">#REF!</definedName>
    <definedName name="___PPF6" localSheetId="9">#REF!</definedName>
    <definedName name="___PPF6" localSheetId="12">#REF!</definedName>
    <definedName name="___PPF6">#REF!</definedName>
    <definedName name="___r" localSheetId="1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6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9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1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 localSheetId="15">#REF!</definedName>
    <definedName name="___RES1" localSheetId="6">#REF!</definedName>
    <definedName name="___RES1" localSheetId="9">#REF!</definedName>
    <definedName name="___RES1" localSheetId="12">#REF!</definedName>
    <definedName name="___RES1">#REF!</definedName>
    <definedName name="___RES2" localSheetId="15">#REF!</definedName>
    <definedName name="___RES2" localSheetId="6">#REF!</definedName>
    <definedName name="___RES2" localSheetId="9">#REF!</definedName>
    <definedName name="___RES2" localSheetId="12">#REF!</definedName>
    <definedName name="___RES2">#REF!</definedName>
    <definedName name="___RES3" localSheetId="15">#REF!</definedName>
    <definedName name="___RES3" localSheetId="6">#REF!</definedName>
    <definedName name="___RES3" localSheetId="9">#REF!</definedName>
    <definedName name="___RES3" localSheetId="12">#REF!</definedName>
    <definedName name="___RES3">#REF!</definedName>
    <definedName name="___RES4" localSheetId="15">#REF!</definedName>
    <definedName name="___RES4" localSheetId="6">#REF!</definedName>
    <definedName name="___RES4" localSheetId="9">#REF!</definedName>
    <definedName name="___RES4" localSheetId="12">#REF!</definedName>
    <definedName name="___RES4">#REF!</definedName>
    <definedName name="___REV3" localSheetId="15">[4]DATOS!$A$3:$E$22</definedName>
    <definedName name="___REV3" localSheetId="6">[4]DATOS!$A$3:$E$22</definedName>
    <definedName name="___REV3" localSheetId="9">[4]DATOS!$A$3:$E$22</definedName>
    <definedName name="___REV3" localSheetId="12">[4]DATOS!$A$3:$E$22</definedName>
    <definedName name="___REV3">[15]DATOS!$A$3:$E$22</definedName>
    <definedName name="___RL1">'[11]FORMA-LM3'!$B$1:$L$46</definedName>
    <definedName name="___Rp12">[5]Datos!$G$17</definedName>
    <definedName name="___SE2">'[11]FORMA-SE2'!$M$5</definedName>
    <definedName name="___sec01" localSheetId="15">[18]Datos!$D$26</definedName>
    <definedName name="___sec01" localSheetId="6">[18]Datos!$D$26</definedName>
    <definedName name="___sec01" localSheetId="9">[18]Datos!$D$26</definedName>
    <definedName name="___sec01" localSheetId="12">[18]Datos!$D$26</definedName>
    <definedName name="___Sec01">[5]Datos!$G$4</definedName>
    <definedName name="___sec02" localSheetId="15">[18]Datos!$D$27</definedName>
    <definedName name="___sec02" localSheetId="6">[18]Datos!$D$27</definedName>
    <definedName name="___sec02" localSheetId="9">[18]Datos!$D$27</definedName>
    <definedName name="___sec02" localSheetId="12">[18]Datos!$D$27</definedName>
    <definedName name="___sec02">[16]Datos!$D$27</definedName>
    <definedName name="___sec03" localSheetId="15">[18]Datos!$D$28</definedName>
    <definedName name="___sec03" localSheetId="6">[18]Datos!$D$28</definedName>
    <definedName name="___sec03" localSheetId="9">[18]Datos!$D$28</definedName>
    <definedName name="___sec03" localSheetId="12">[18]Datos!$D$28</definedName>
    <definedName name="___sec03">[8]Datos!$D$28</definedName>
    <definedName name="___sec04" localSheetId="15">[18]Datos!$D$29</definedName>
    <definedName name="___sec04" localSheetId="6">[18]Datos!$D$29</definedName>
    <definedName name="___sec04" localSheetId="9">[18]Datos!$D$29</definedName>
    <definedName name="___sec04" localSheetId="12">[18]Datos!$D$29</definedName>
    <definedName name="___sec04">[16]Datos!$D$29</definedName>
    <definedName name="___sec05" localSheetId="15">[18]Datos!$D$30</definedName>
    <definedName name="___sec05" localSheetId="6">[18]Datos!$D$30</definedName>
    <definedName name="___sec05" localSheetId="9">[18]Datos!$D$30</definedName>
    <definedName name="___sec05" localSheetId="12">[18]Datos!$D$30</definedName>
    <definedName name="___sec05">[16]Datos!$D$30</definedName>
    <definedName name="___Sec13">[5]Datos!$G$12</definedName>
    <definedName name="___Sec77">[5]Datos!$G$8</definedName>
    <definedName name="___SOL1" localSheetId="15">#REF!</definedName>
    <definedName name="___SOL1" localSheetId="6">#REF!</definedName>
    <definedName name="___SOL1" localSheetId="9">#REF!</definedName>
    <definedName name="___SOL1" localSheetId="12">#REF!</definedName>
    <definedName name="___SOL1">#REF!</definedName>
    <definedName name="___SOL2" localSheetId="15">#REF!</definedName>
    <definedName name="___SOL2" localSheetId="6">#REF!</definedName>
    <definedName name="___SOL2" localSheetId="9">#REF!</definedName>
    <definedName name="___SOL2" localSheetId="12">#REF!</definedName>
    <definedName name="___SOL2">#REF!</definedName>
    <definedName name="___SOL3" localSheetId="15">#REF!</definedName>
    <definedName name="___SOL3" localSheetId="6">#REF!</definedName>
    <definedName name="___SOL3" localSheetId="9">#REF!</definedName>
    <definedName name="___SOL3" localSheetId="12">#REF!</definedName>
    <definedName name="___SOL3">#REF!</definedName>
    <definedName name="___SOL4" localSheetId="15">#REF!</definedName>
    <definedName name="___SOL4" localSheetId="6">#REF!</definedName>
    <definedName name="___SOL4" localSheetId="9">#REF!</definedName>
    <definedName name="___SOL4" localSheetId="12">#REF!</definedName>
    <definedName name="___SOL4">#REF!</definedName>
    <definedName name="___UI1577" localSheetId="15">#REF!</definedName>
    <definedName name="___UI1577" localSheetId="6">#REF!</definedName>
    <definedName name="___UI1577" localSheetId="9">#REF!</definedName>
    <definedName name="___UI1577" localSheetId="12">#REF!</definedName>
    <definedName name="___UI1577">#REF!</definedName>
    <definedName name="___UND2">#REF!</definedName>
    <definedName name="___vu111" localSheetId="15">#REF!</definedName>
    <definedName name="___vu111" localSheetId="6">#REF!</definedName>
    <definedName name="___vu111" localSheetId="9">#REF!</definedName>
    <definedName name="___vu111" localSheetId="12">#REF!</definedName>
    <definedName name="___vu111">#REF!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localSheetId="15" hidden="1">[12]FlujoTJ!#REF!</definedName>
    <definedName name="__1__123Graph_FCURRENT" localSheetId="6" hidden="1">[12]FlujoTJ!#REF!</definedName>
    <definedName name="__1__123Graph_FCURRENT" localSheetId="9" hidden="1">[12]FlujoTJ!#REF!</definedName>
    <definedName name="__1__123Graph_FCURRENT" localSheetId="12" hidden="1">[12]FlujoTJ!#REF!</definedName>
    <definedName name="__1__123Graph_FCURRENT" localSheetId="3" hidden="1">[12]FlujoTJ!#REF!</definedName>
    <definedName name="__1__123Graph_FCURRENT" hidden="1">[12]FlujoTJ!#REF!</definedName>
    <definedName name="__123Graph_A" localSheetId="15" hidden="1">[19]EVAL!#REF!</definedName>
    <definedName name="__123Graph_A" localSheetId="6" hidden="1">[19]EVAL!#REF!</definedName>
    <definedName name="__123Graph_A" localSheetId="9" hidden="1">[19]EVAL!#REF!</definedName>
    <definedName name="__123Graph_A" localSheetId="12" hidden="1">[19]EVAL!#REF!</definedName>
    <definedName name="__123Graph_A" localSheetId="3" hidden="1">[19]EVAL!#REF!</definedName>
    <definedName name="__123Graph_A" hidden="1">[19]EVAL!#REF!</definedName>
    <definedName name="__123Graph_ACORNU" localSheetId="15" hidden="1">[19]EVAL!#REF!</definedName>
    <definedName name="__123Graph_ACORNU" localSheetId="6" hidden="1">[19]EVAL!#REF!</definedName>
    <definedName name="__123Graph_ACORNU" localSheetId="9" hidden="1">[19]EVAL!#REF!</definedName>
    <definedName name="__123Graph_ACORNU" localSheetId="12" hidden="1">[19]EVAL!#REF!</definedName>
    <definedName name="__123Graph_ACORNU" localSheetId="3" hidden="1">[19]EVAL!#REF!</definedName>
    <definedName name="__123Graph_ACORNU" hidden="1">[19]EVAL!#REF!</definedName>
    <definedName name="__123Graph_ASISTEMAS" localSheetId="15" hidden="1">'[20]Tipo de Cambio'!#REF!</definedName>
    <definedName name="__123Graph_ASISTEMAS" localSheetId="6" hidden="1">'[20]Tipo de Cambio'!#REF!</definedName>
    <definedName name="__123Graph_ASISTEMAS" localSheetId="9" hidden="1">'[20]Tipo de Cambio'!#REF!</definedName>
    <definedName name="__123Graph_ASISTEMAS" localSheetId="12" hidden="1">'[20]Tipo de Cambio'!#REF!</definedName>
    <definedName name="__123Graph_ASISTEMAS" localSheetId="3" hidden="1">'[20]Tipo de Cambio'!#REF!</definedName>
    <definedName name="__123Graph_ASISTEMAS" hidden="1">'[20]Tipo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hidden="1">[21]BDATOS!#REF!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[22]BD_LL!#REF!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[19]EVAL!#REF!</definedName>
    <definedName name="__123Graph_XCHART1" hidden="1">[12]FlujoTJ!#REF!</definedName>
    <definedName name="__123Graph_XCHART2" hidden="1">[12]FlujoTJ!#REF!</definedName>
    <definedName name="__123Graph_XCORNU" hidden="1">[19]EVAL!#REF!</definedName>
    <definedName name="__123Graph_XCURRENT" hidden="1">[12]FlujoTJ!#REF!</definedName>
    <definedName name="__15_0ELCEN">'[23]#¡REF'!#REF!</definedName>
    <definedName name="__8_0EL">'[23]#¡REF'!#REF!</definedName>
    <definedName name="__A99000">'[24]REDES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 localSheetId="15">#REF!</definedName>
    <definedName name="__apu0201" localSheetId="6">#REF!</definedName>
    <definedName name="__apu0201" localSheetId="9">#REF!</definedName>
    <definedName name="__apu0201" localSheetId="12">#REF!</definedName>
    <definedName name="__apu0201">#REF!</definedName>
    <definedName name="__apu0202" localSheetId="15">#REF!</definedName>
    <definedName name="__apu0202" localSheetId="6">#REF!</definedName>
    <definedName name="__apu0202" localSheetId="9">#REF!</definedName>
    <definedName name="__apu0202" localSheetId="12">#REF!</definedName>
    <definedName name="__apu0202">#REF!</definedName>
    <definedName name="__apu0203" localSheetId="15">#REF!</definedName>
    <definedName name="__apu0203" localSheetId="6">#REF!</definedName>
    <definedName name="__apu0203" localSheetId="9">#REF!</definedName>
    <definedName name="__apu0203" localSheetId="12">#REF!</definedName>
    <definedName name="__apu0203">#REF!</definedName>
    <definedName name="__apu02033" localSheetId="15">#REF!</definedName>
    <definedName name="__apu02033" localSheetId="6">#REF!</definedName>
    <definedName name="__apu02033" localSheetId="9">#REF!</definedName>
    <definedName name="__apu02033" localSheetId="12">#REF!</definedName>
    <definedName name="__apu02033">#REF!</definedName>
    <definedName name="__apu0301" localSheetId="15">#REF!</definedName>
    <definedName name="__apu0301" localSheetId="6">#REF!</definedName>
    <definedName name="__apu0301" localSheetId="9">#REF!</definedName>
    <definedName name="__apu0301" localSheetId="12">#REF!</definedName>
    <definedName name="__apu0301">#REF!</definedName>
    <definedName name="__apu0302" localSheetId="15">#REF!</definedName>
    <definedName name="__apu0302" localSheetId="6">#REF!</definedName>
    <definedName name="__apu0302" localSheetId="9">#REF!</definedName>
    <definedName name="__apu0302" localSheetId="12">#REF!</definedName>
    <definedName name="__apu0302">#REF!</definedName>
    <definedName name="__apu0303" localSheetId="15">#REF!</definedName>
    <definedName name="__apu0303" localSheetId="6">#REF!</definedName>
    <definedName name="__apu0303" localSheetId="9">#REF!</definedName>
    <definedName name="__apu0303" localSheetId="12">#REF!</definedName>
    <definedName name="__apu0303">#REF!</definedName>
    <definedName name="__apu0304" localSheetId="15">#REF!</definedName>
    <definedName name="__apu0304" localSheetId="6">#REF!</definedName>
    <definedName name="__apu0304" localSheetId="9">#REF!</definedName>
    <definedName name="__apu0304" localSheetId="12">#REF!</definedName>
    <definedName name="__apu0304">#REF!</definedName>
    <definedName name="__apu0305" localSheetId="15">#REF!</definedName>
    <definedName name="__apu0305" localSheetId="6">#REF!</definedName>
    <definedName name="__apu0305" localSheetId="9">#REF!</definedName>
    <definedName name="__apu0305" localSheetId="12">#REF!</definedName>
    <definedName name="__apu0305">#REF!</definedName>
    <definedName name="__apu0401" localSheetId="15">#REF!</definedName>
    <definedName name="__apu0401" localSheetId="6">#REF!</definedName>
    <definedName name="__apu0401" localSheetId="9">#REF!</definedName>
    <definedName name="__apu0401" localSheetId="12">#REF!</definedName>
    <definedName name="__apu0401">#REF!</definedName>
    <definedName name="__apu0501" localSheetId="15">#REF!</definedName>
    <definedName name="__apu0501" localSheetId="6">#REF!</definedName>
    <definedName name="__apu0501" localSheetId="9">#REF!</definedName>
    <definedName name="__apu0501" localSheetId="12">#REF!</definedName>
    <definedName name="__apu0501">#REF!</definedName>
    <definedName name="__apu0502" localSheetId="15">#REF!</definedName>
    <definedName name="__apu0502" localSheetId="6">#REF!</definedName>
    <definedName name="__apu0502" localSheetId="9">#REF!</definedName>
    <definedName name="__apu0502" localSheetId="12">#REF!</definedName>
    <definedName name="__apu0502">#REF!</definedName>
    <definedName name="__apu0503" localSheetId="15">#REF!</definedName>
    <definedName name="__apu0503" localSheetId="6">#REF!</definedName>
    <definedName name="__apu0503" localSheetId="9">#REF!</definedName>
    <definedName name="__apu0503" localSheetId="12">#REF!</definedName>
    <definedName name="__apu0503">#REF!</definedName>
    <definedName name="__apu0504" localSheetId="15">#REF!</definedName>
    <definedName name="__apu0504" localSheetId="6">#REF!</definedName>
    <definedName name="__apu0504" localSheetId="9">#REF!</definedName>
    <definedName name="__apu0504" localSheetId="12">#REF!</definedName>
    <definedName name="__apu0504">#REF!</definedName>
    <definedName name="__apu0505" localSheetId="15">#REF!</definedName>
    <definedName name="__apu0505" localSheetId="6">#REF!</definedName>
    <definedName name="__apu0505" localSheetId="9">#REF!</definedName>
    <definedName name="__apu0505" localSheetId="12">#REF!</definedName>
    <definedName name="__apu0505">#REF!</definedName>
    <definedName name="__apu0506" localSheetId="15">#REF!</definedName>
    <definedName name="__apu0506" localSheetId="6">#REF!</definedName>
    <definedName name="__apu0506" localSheetId="9">#REF!</definedName>
    <definedName name="__apu0506" localSheetId="12">#REF!</definedName>
    <definedName name="__apu0506">#REF!</definedName>
    <definedName name="__apu0507" localSheetId="15">#REF!</definedName>
    <definedName name="__apu0507" localSheetId="6">#REF!</definedName>
    <definedName name="__apu0507" localSheetId="9">#REF!</definedName>
    <definedName name="__apu0507" localSheetId="12">#REF!</definedName>
    <definedName name="__apu0507">#REF!</definedName>
    <definedName name="__apu0508" localSheetId="15">#REF!</definedName>
    <definedName name="__apu0508" localSheetId="6">#REF!</definedName>
    <definedName name="__apu0508" localSheetId="9">#REF!</definedName>
    <definedName name="__apu0508" localSheetId="12">#REF!</definedName>
    <definedName name="__apu0508">#REF!</definedName>
    <definedName name="__apu0601" localSheetId="15">#REF!</definedName>
    <definedName name="__apu0601" localSheetId="6">#REF!</definedName>
    <definedName name="__apu0601" localSheetId="9">#REF!</definedName>
    <definedName name="__apu0601" localSheetId="12">#REF!</definedName>
    <definedName name="__apu0601">#REF!</definedName>
    <definedName name="__CON1" localSheetId="15">#REF!</definedName>
    <definedName name="__CON1" localSheetId="6">#REF!</definedName>
    <definedName name="__CON1" localSheetId="9">#REF!</definedName>
    <definedName name="__CON1" localSheetId="12">#REF!</definedName>
    <definedName name="__CON1">#REF!</definedName>
    <definedName name="__CON3" localSheetId="15">#REF!</definedName>
    <definedName name="__CON3" localSheetId="6">#REF!</definedName>
    <definedName name="__CON3" localSheetId="9">#REF!</definedName>
    <definedName name="__CON3" localSheetId="12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 localSheetId="15">'[10]#¡REF'!#REF!</definedName>
    <definedName name="__gg1" localSheetId="6">'[10]#¡REF'!#REF!</definedName>
    <definedName name="__gg1" localSheetId="9">'[10]#¡REF'!#REF!</definedName>
    <definedName name="__gg1" localSheetId="12">'[10]#¡REF'!#REF!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 localSheetId="15">#REF!</definedName>
    <definedName name="__MET1" localSheetId="6">#REF!</definedName>
    <definedName name="__MET1" localSheetId="9">#REF!</definedName>
    <definedName name="__MET1" localSheetId="12">#REF!</definedName>
    <definedName name="__MET1">#REF!</definedName>
    <definedName name="__MET2" localSheetId="15">#REF!</definedName>
    <definedName name="__MET2" localSheetId="6">#REF!</definedName>
    <definedName name="__MET2" localSheetId="9">#REF!</definedName>
    <definedName name="__MET2" localSheetId="12">#REF!</definedName>
    <definedName name="__MET2">#REF!</definedName>
    <definedName name="__Pbs1">[25]Hoja1!$E$6</definedName>
    <definedName name="__PPA1">#REF!</definedName>
    <definedName name="__PPB2">#REF!</definedName>
    <definedName name="__PPC3" localSheetId="15">#REF!</definedName>
    <definedName name="__PPC3" localSheetId="6">#REF!</definedName>
    <definedName name="__PPC3" localSheetId="9">#REF!</definedName>
    <definedName name="__PPC3" localSheetId="12">#REF!</definedName>
    <definedName name="__PPC3">#REF!</definedName>
    <definedName name="__PPD4" localSheetId="15">#REF!</definedName>
    <definedName name="__PPD4" localSheetId="6">#REF!</definedName>
    <definedName name="__PPD4" localSheetId="9">#REF!</definedName>
    <definedName name="__PPD4" localSheetId="12">#REF!</definedName>
    <definedName name="__PPD4">#REF!</definedName>
    <definedName name="__PPE5" localSheetId="15">#REF!</definedName>
    <definedName name="__PPE5" localSheetId="6">#REF!</definedName>
    <definedName name="__PPE5" localSheetId="9">#REF!</definedName>
    <definedName name="__PPE5" localSheetId="12">#REF!</definedName>
    <definedName name="__PPE5">#REF!</definedName>
    <definedName name="__PPF6" localSheetId="15">#REF!</definedName>
    <definedName name="__PPF6" localSheetId="6">#REF!</definedName>
    <definedName name="__PPF6" localSheetId="9">#REF!</definedName>
    <definedName name="__PPF6" localSheetId="12">#REF!</definedName>
    <definedName name="__PPF6">#REF!</definedName>
    <definedName name="__r" localSheetId="1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6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9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#REF!</definedName>
    <definedName name="__RE1">'[11]FORMA- RE1'!$A$3:$H$52</definedName>
    <definedName name="__RES1" localSheetId="15">#REF!</definedName>
    <definedName name="__RES1" localSheetId="6">#REF!</definedName>
    <definedName name="__RES1" localSheetId="9">#REF!</definedName>
    <definedName name="__RES1" localSheetId="12">#REF!</definedName>
    <definedName name="__RES1">#REF!</definedName>
    <definedName name="__RES2" localSheetId="15">#REF!</definedName>
    <definedName name="__RES2" localSheetId="6">#REF!</definedName>
    <definedName name="__RES2" localSheetId="9">#REF!</definedName>
    <definedName name="__RES2" localSheetId="12">#REF!</definedName>
    <definedName name="__RES2">#REF!</definedName>
    <definedName name="__RES3" localSheetId="15">#REF!</definedName>
    <definedName name="__RES3" localSheetId="6">#REF!</definedName>
    <definedName name="__RES3" localSheetId="9">#REF!</definedName>
    <definedName name="__RES3" localSheetId="12">#REF!</definedName>
    <definedName name="__RES3">#REF!</definedName>
    <definedName name="__RES4" localSheetId="15">#REF!</definedName>
    <definedName name="__RES4" localSheetId="6">#REF!</definedName>
    <definedName name="__RES4" localSheetId="9">#REF!</definedName>
    <definedName name="__RES4" localSheetId="12">#REF!</definedName>
    <definedName name="__RES4">#REF!</definedName>
    <definedName name="__REV3" localSheetId="15">[4]DATOS!$A$3:$E$22</definedName>
    <definedName name="__REV3" localSheetId="6">[4]DATOS!$A$3:$E$22</definedName>
    <definedName name="__REV3" localSheetId="9">[4]DATOS!$A$3:$E$22</definedName>
    <definedName name="__REV3" localSheetId="12">[4]DATOS!$A$3:$E$22</definedName>
    <definedName name="__REV3">[6]DATOS!$A$3:$E$22</definedName>
    <definedName name="__RL1">'[11]FORMA-LM3'!$B$1:$L$46</definedName>
    <definedName name="__RP01" hidden="1">#REF!</definedName>
    <definedName name="__Rp12">[25]Hoja1!$G$17</definedName>
    <definedName name="__SE2">'[11]FORMA-SE2'!$M$5</definedName>
    <definedName name="__sec01" localSheetId="15">[18]Datos!$D$26</definedName>
    <definedName name="__sec01" localSheetId="6">[18]Datos!$D$26</definedName>
    <definedName name="__sec01" localSheetId="9">[18]Datos!$D$26</definedName>
    <definedName name="__sec01" localSheetId="12">[18]Datos!$D$26</definedName>
    <definedName name="__sec01">[25]Hoja1!$D$26</definedName>
    <definedName name="__sec02" localSheetId="15">[18]Datos!$D$27</definedName>
    <definedName name="__sec02" localSheetId="6">[18]Datos!$D$27</definedName>
    <definedName name="__sec02" localSheetId="9">[18]Datos!$D$27</definedName>
    <definedName name="__sec02" localSheetId="12">[18]Datos!$D$27</definedName>
    <definedName name="__sec02">[25]Hoja1!$D$27</definedName>
    <definedName name="__sec03" localSheetId="15">[18]Datos!$D$28</definedName>
    <definedName name="__sec03" localSheetId="6">[18]Datos!$D$28</definedName>
    <definedName name="__sec03" localSheetId="9">[18]Datos!$D$28</definedName>
    <definedName name="__sec03" localSheetId="12">[18]Datos!$D$28</definedName>
    <definedName name="__sec03">[25]Hoja1!$D$28</definedName>
    <definedName name="__sec04" localSheetId="15">[18]Datos!$D$29</definedName>
    <definedName name="__sec04" localSheetId="6">[18]Datos!$D$29</definedName>
    <definedName name="__sec04" localSheetId="9">[18]Datos!$D$29</definedName>
    <definedName name="__sec04" localSheetId="12">[18]Datos!$D$29</definedName>
    <definedName name="__sec04">[25]Hoja1!$D$29</definedName>
    <definedName name="__sec05" localSheetId="15">[18]Datos!$D$30</definedName>
    <definedName name="__sec05" localSheetId="6">[18]Datos!$D$30</definedName>
    <definedName name="__sec05" localSheetId="9">[18]Datos!$D$30</definedName>
    <definedName name="__sec05" localSheetId="12">[18]Datos!$D$30</definedName>
    <definedName name="__sec05">[25]Hoja1!$D$30</definedName>
    <definedName name="__Sec13">[25]Hoja1!$G$12</definedName>
    <definedName name="__Sec77">[25]Hoja1!$G$8</definedName>
    <definedName name="__SOL1" localSheetId="15">#REF!</definedName>
    <definedName name="__SOL1" localSheetId="6">#REF!</definedName>
    <definedName name="__SOL1" localSheetId="9">#REF!</definedName>
    <definedName name="__SOL1" localSheetId="12">#REF!</definedName>
    <definedName name="__SOL1">#REF!</definedName>
    <definedName name="__SOL2" localSheetId="15">#REF!</definedName>
    <definedName name="__SOL2" localSheetId="6">#REF!</definedName>
    <definedName name="__SOL2" localSheetId="9">#REF!</definedName>
    <definedName name="__SOL2" localSheetId="12">#REF!</definedName>
    <definedName name="__SOL2">#REF!</definedName>
    <definedName name="__SOL3" localSheetId="15">#REF!</definedName>
    <definedName name="__SOL3" localSheetId="6">#REF!</definedName>
    <definedName name="__SOL3" localSheetId="9">#REF!</definedName>
    <definedName name="__SOL3" localSheetId="12">#REF!</definedName>
    <definedName name="__SOL3">#REF!</definedName>
    <definedName name="__SOL4" localSheetId="15">#REF!</definedName>
    <definedName name="__SOL4" localSheetId="6">#REF!</definedName>
    <definedName name="__SOL4" localSheetId="9">#REF!</definedName>
    <definedName name="__SOL4" localSheetId="12">#REF!</definedName>
    <definedName name="__SOL4">#REF!</definedName>
    <definedName name="__UI1577" localSheetId="15">#REF!</definedName>
    <definedName name="__UI1577" localSheetId="6">#REF!</definedName>
    <definedName name="__UI1577" localSheetId="9">#REF!</definedName>
    <definedName name="__UI1577" localSheetId="12">#REF!</definedName>
    <definedName name="__UI1577">#REF!</definedName>
    <definedName name="__UND2">#REF!</definedName>
    <definedName name="__vu111" localSheetId="15">#REF!</definedName>
    <definedName name="__vu111" localSheetId="6">#REF!</definedName>
    <definedName name="__vu111" localSheetId="9">#REF!</definedName>
    <definedName name="__vu111" localSheetId="12">#REF!</definedName>
    <definedName name="__vu111">#REF!</definedName>
    <definedName name="_1">"$B$4:$J$59"</definedName>
    <definedName name="_1__________0EL">'[26]#¡REF'!#REF!</definedName>
    <definedName name="_1__123Graph_FCURRENT" localSheetId="15" hidden="1">[12]FlujoTJ!#REF!</definedName>
    <definedName name="_1__123Graph_FCURRENT" localSheetId="6" hidden="1">[12]FlujoTJ!#REF!</definedName>
    <definedName name="_1__123Graph_FCURRENT" localSheetId="9" hidden="1">[12]FlujoTJ!#REF!</definedName>
    <definedName name="_1__123Graph_FCURRENT" localSheetId="12" hidden="1">[12]FlujoTJ!#REF!</definedName>
    <definedName name="_1__123Graph_FCURRENT" localSheetId="0" hidden="1">[12]FlujoTJ!#REF!</definedName>
    <definedName name="_1__123Graph_FCURRENT" hidden="1">[12]FlujoTJ!#REF!</definedName>
    <definedName name="_1_0EL" localSheetId="15">'[27]#¡REF'!#REF!</definedName>
    <definedName name="_1_0EL" localSheetId="6">'[27]#¡REF'!#REF!</definedName>
    <definedName name="_1_0EL" localSheetId="9">'[27]#¡REF'!#REF!</definedName>
    <definedName name="_1_0EL" localSheetId="12">'[27]#¡REF'!#REF!</definedName>
    <definedName name="_1_0EL">'[28]#¡REF'!#REF!</definedName>
    <definedName name="_10__________0HIDRAND">'[26]#¡REF'!#REF!</definedName>
    <definedName name="_10_0EL">'[29]#¡REF'!#REF!</definedName>
    <definedName name="_10_0ELECSURE" localSheetId="15">'[29]#¡REF'!#REF!</definedName>
    <definedName name="_10_0ELECSURE" localSheetId="6">'[29]#¡REF'!#REF!</definedName>
    <definedName name="_10_0ELECSURE" localSheetId="9">'[29]#¡REF'!#REF!</definedName>
    <definedName name="_10_0ELECSURE" localSheetId="12">'[29]#¡REF'!#REF!</definedName>
    <definedName name="_10_0ELECSURE">'[30]#¡REF'!#REF!</definedName>
    <definedName name="_10_0ELECSURME">'[29]#¡REF'!#REF!</definedName>
    <definedName name="_10_0ELSURE" localSheetId="15">'[29]#¡REF'!#REF!</definedName>
    <definedName name="_10_0ELSURE" localSheetId="6">'[29]#¡REF'!#REF!</definedName>
    <definedName name="_10_0ELSURE" localSheetId="9">'[29]#¡REF'!#REF!</definedName>
    <definedName name="_10_0ELSURE" localSheetId="12">'[29]#¡REF'!#REF!</definedName>
    <definedName name="_10_0ELSURE">'[30]#¡REF'!#REF!</definedName>
    <definedName name="_10_0HIDRAND" localSheetId="15">'[27]#¡REF'!#REF!</definedName>
    <definedName name="_10_0HIDRAND" localSheetId="6">'[27]#¡REF'!#REF!</definedName>
    <definedName name="_10_0HIDRAND" localSheetId="9">'[27]#¡REF'!#REF!</definedName>
    <definedName name="_10_0HIDRAND" localSheetId="12">'[27]#¡REF'!#REF!</definedName>
    <definedName name="_10_0HIDRAND">'[28]#¡REF'!#REF!</definedName>
    <definedName name="_100_0ELSURE">'[31]#¡REF'!#REF!</definedName>
    <definedName name="_100_0HIDRAND">'[29]#¡REF'!#REF!</definedName>
    <definedName name="_100ELECTROL">'[29]#¡REF'!#REF!</definedName>
    <definedName name="_101_0ELSURE">'[32]#¡REF'!#REF!</definedName>
    <definedName name="_101_0HIDRAND">'[29]#¡REF'!#REF!</definedName>
    <definedName name="_101ELSURE">'[3]#¡REF'!#REF!</definedName>
    <definedName name="_101HIDRAND">'[33]#¡REF'!#REF!</definedName>
    <definedName name="_102_0S" localSheetId="15">'[29]#¡REF'!#REF!</definedName>
    <definedName name="_102_0S" localSheetId="12">'[29]#¡REF'!#REF!</definedName>
    <definedName name="_102ELECTROL">'[34]#¡REF'!#REF!</definedName>
    <definedName name="_103_0S" localSheetId="15">'[29]#¡REF'!#REF!</definedName>
    <definedName name="_103_0S" localSheetId="12">'[29]#¡REF'!#REF!</definedName>
    <definedName name="_103S">'[33]#¡REF'!#REF!</definedName>
    <definedName name="_104_0S">'[26]#¡REF'!#REF!</definedName>
    <definedName name="_106HIDRAND">'[3]#¡REF'!#REF!</definedName>
    <definedName name="_108ELEORIE">'[34]#¡REF'!#REF!</definedName>
    <definedName name="_10ELECSURME" localSheetId="0">'[35]Unit-op-cartel'!#REF!</definedName>
    <definedName name="_10HIDRAND" localSheetId="15">'[29]#¡REF'!#REF!</definedName>
    <definedName name="_10HIDRAND" localSheetId="6">'[29]#¡REF'!#REF!</definedName>
    <definedName name="_10HIDRAND" localSheetId="9">'[29]#¡REF'!#REF!</definedName>
    <definedName name="_10HIDRAND" localSheetId="12">'[29]#¡REF'!#REF!</definedName>
    <definedName name="_10HIDRAND">'[36]#¡REF'!#REF!</definedName>
    <definedName name="_11__________0S">'[26]#¡REF'!#REF!</definedName>
    <definedName name="_11_0EL">'[29]#¡REF'!#REF!</definedName>
    <definedName name="_11_0ELCEN">'[3]#¡REF'!#REF!</definedName>
    <definedName name="_11_0HIDRAND" localSheetId="15">'[29]#¡REF'!#REF!</definedName>
    <definedName name="_11_0HIDRAND" localSheetId="6">'[29]#¡REF'!#REF!</definedName>
    <definedName name="_11_0HIDRAND" localSheetId="9">'[29]#¡REF'!#REF!</definedName>
    <definedName name="_11_0HIDRAND" localSheetId="12">'[29]#¡REF'!#REF!</definedName>
    <definedName name="_11_0HIDRAND">'[30]#¡REF'!#REF!</definedName>
    <definedName name="_11_0S" localSheetId="15">'[27]#¡REF'!#REF!</definedName>
    <definedName name="_11_0S" localSheetId="6">'[27]#¡REF'!#REF!</definedName>
    <definedName name="_11_0S" localSheetId="9">'[27]#¡REF'!#REF!</definedName>
    <definedName name="_11_0S" localSheetId="12">'[27]#¡REF'!#REF!</definedName>
    <definedName name="_11_0S">'[28]#¡REF'!#REF!</definedName>
    <definedName name="_110_0S">'[29]#¡REF'!#REF!</definedName>
    <definedName name="_111_0HIDRAND">'[31]#¡REF'!#REF!</definedName>
    <definedName name="_111_0S">'[29]#¡REF'!#REF!</definedName>
    <definedName name="_111EL">'[33]#¡REF'!#REF!</definedName>
    <definedName name="_111ELEORIE">'[29]#¡REF'!#REF!</definedName>
    <definedName name="_111S">'[3]#¡REF'!#REF!</definedName>
    <definedName name="_112_0HIDRAND">'[32]#¡REF'!#REF!</definedName>
    <definedName name="_114ELNO">'[34]#¡REF'!#REF!</definedName>
    <definedName name="_118ELCEN">'[33]#¡REF'!#REF!</definedName>
    <definedName name="_11S" localSheetId="15">'[29]#¡REF'!#REF!</definedName>
    <definedName name="_11S" localSheetId="6">'[29]#¡REF'!#REF!</definedName>
    <definedName name="_11S" localSheetId="9">'[29]#¡REF'!#REF!</definedName>
    <definedName name="_11S" localSheetId="12">'[29]#¡REF'!#REF!</definedName>
    <definedName name="_11S">'[36]#¡REF'!#REF!</definedName>
    <definedName name="_12___________EL">'[37]#¡REF'!#REF!</definedName>
    <definedName name="_12_0EL">'[31]#¡REF'!#REF!</definedName>
    <definedName name="_12_0ELCEN" localSheetId="15">'[29]#¡REF'!#REF!</definedName>
    <definedName name="_12_0ELCEN" localSheetId="12">'[29]#¡REF'!#REF!</definedName>
    <definedName name="_12_0ELCEN">'[26]#¡REF'!#REF!</definedName>
    <definedName name="_12_0ELECT">'[29]#¡REF'!#REF!</definedName>
    <definedName name="_12_0S" localSheetId="15">'[29]#¡REF'!#REF!</definedName>
    <definedName name="_12_0S" localSheetId="6">'[29]#¡REF'!#REF!</definedName>
    <definedName name="_12_0S" localSheetId="9">'[29]#¡REF'!#REF!</definedName>
    <definedName name="_12_0S" localSheetId="12">'[29]#¡REF'!#REF!</definedName>
    <definedName name="_12_0S">'[30]#¡REF'!#REF!</definedName>
    <definedName name="_120ELSURE">'[34]#¡REF'!#REF!</definedName>
    <definedName name="_122_0S">'[31]#¡REF'!#REF!</definedName>
    <definedName name="_122ELNO">'[29]#¡REF'!#REF!</definedName>
    <definedName name="_123_0S">'[32]#¡REF'!#REF!</definedName>
    <definedName name="_125ELECSURE">'[33]#¡REF'!#REF!</definedName>
    <definedName name="_126HIDRAND">'[34]#¡REF'!#REF!</definedName>
    <definedName name="_127EL">'[33]#¡REF'!#REF!</definedName>
    <definedName name="_12EL">'[38]#¡REF'!#REF!</definedName>
    <definedName name="_12ELECSURME">'[36]#¡REF'!#REF!</definedName>
    <definedName name="_13___________ELCEN">'[37]#¡REF'!#REF!</definedName>
    <definedName name="_13_0EL">'[32]#¡REF'!#REF!</definedName>
    <definedName name="_13_0ELCEN" localSheetId="15">'[29]#¡REF'!#REF!</definedName>
    <definedName name="_13_0ELCEN" localSheetId="12">'[29]#¡REF'!#REF!</definedName>
    <definedName name="_13_0ELECSURE">'[3]#¡REF'!#REF!</definedName>
    <definedName name="_13_0ELECSURME" localSheetId="15">'[29]#¡REF'!#REF!</definedName>
    <definedName name="_13_0ELECSURME" localSheetId="6">'[29]#¡REF'!#REF!</definedName>
    <definedName name="_13_0ELECSURME" localSheetId="9">'[29]#¡REF'!#REF!</definedName>
    <definedName name="_13_0ELECSURME" localSheetId="12">'[29]#¡REF'!#REF!</definedName>
    <definedName name="_13_0ELECSURME">'[30]#¡REF'!#REF!</definedName>
    <definedName name="_131ELCEN">'[33]#¡REF'!#REF!</definedName>
    <definedName name="_132ELECSURME">'[33]#¡REF'!#REF!</definedName>
    <definedName name="_132S">'[34]#¡REF'!#REF!</definedName>
    <definedName name="_133ELSURE">'[29]#¡REF'!#REF!</definedName>
    <definedName name="_135ELECSURE">'[33]#¡REF'!#REF!</definedName>
    <definedName name="_138EL">'[31]#¡REF'!#REF!</definedName>
    <definedName name="_139ELECSURME">'[33]#¡REF'!#REF!</definedName>
    <definedName name="_139ELECT">'[33]#¡REF'!#REF!</definedName>
    <definedName name="_13EL">'[29]#¡REF'!#REF!</definedName>
    <definedName name="_13ELCEN">'[38]#¡REF'!#REF!</definedName>
    <definedName name="_13ELECT" localSheetId="0">'[35]Unit-op-cartel'!#REF!</definedName>
    <definedName name="_14___________ELECSURE">'[37]#¡REF'!#REF!</definedName>
    <definedName name="_14___123Graph_FCURRENT" hidden="1">[12]FlujoTJ!#REF!</definedName>
    <definedName name="_14_0EL">'[26]#¡REF'!#REF!</definedName>
    <definedName name="_14_0ELECTROL">'[29]#¡REF'!#REF!</definedName>
    <definedName name="_143ELECT">'[33]#¡REF'!#REF!</definedName>
    <definedName name="_144HIDRAND">'[29]#¡REF'!#REF!</definedName>
    <definedName name="_146ELECTROL">'[33]#¡REF'!#REF!</definedName>
    <definedName name="_147ELECTROL">'[33]#¡REF'!#REF!</definedName>
    <definedName name="_14EL">'[38]#¡REF'!#REF!</definedName>
    <definedName name="_14ELCEN">'[29]#¡REF'!#REF!</definedName>
    <definedName name="_14ELECSURE">'[38]#¡REF'!#REF!</definedName>
    <definedName name="_15___________ELECSURME">'[37]#¡REF'!#REF!</definedName>
    <definedName name="_15_0ELCEN">'[34]#¡REF'!#REF!</definedName>
    <definedName name="_151ELEORIE">'[33]#¡REF'!#REF!</definedName>
    <definedName name="_153ELEORIE">'[33]#¡REF'!#REF!</definedName>
    <definedName name="_154ELCEN">'[31]#¡REF'!#REF!</definedName>
    <definedName name="_155ELNO">'[33]#¡REF'!#REF!</definedName>
    <definedName name="_155S">'[29]#¡REF'!#REF!</definedName>
    <definedName name="_159ELSURE">'[33]#¡REF'!#REF!</definedName>
    <definedName name="_15EL">'[30]#¡REF'!#REF!</definedName>
    <definedName name="_15ELCEN">'[27]#¡REF'!#REF!</definedName>
    <definedName name="_15ELECSURE">'[29]#¡REF'!#REF!</definedName>
    <definedName name="_15ELECSURME">'[38]#¡REF'!#REF!</definedName>
    <definedName name="_15ELECT">'[36]#¡REF'!#REF!</definedName>
    <definedName name="_16___________ELECT">'[37]#¡REF'!#REF!</definedName>
    <definedName name="_16_0ELCEN">'[23]#¡REF'!#REF!</definedName>
    <definedName name="_16_0ELECSURE">'[3]#¡REF'!#REF!</definedName>
    <definedName name="_16_0ELECT" localSheetId="15">'[29]#¡REF'!#REF!</definedName>
    <definedName name="_16_0ELECT" localSheetId="6">'[29]#¡REF'!#REF!</definedName>
    <definedName name="_16_0ELECT" localSheetId="9">'[29]#¡REF'!#REF!</definedName>
    <definedName name="_16_0ELECT" localSheetId="12">'[29]#¡REF'!#REF!</definedName>
    <definedName name="_16_0ELECT">'[30]#¡REF'!#REF!</definedName>
    <definedName name="_16_0ELEORIE">'[29]#¡REF'!#REF!</definedName>
    <definedName name="_160ELNO">'[33]#¡REF'!#REF!</definedName>
    <definedName name="_161Excel_BuiltIn_Print_Area_8_1">'[39]Postes de concreto 3ø 35mm²_N'!#REF!</definedName>
    <definedName name="_165HIDRAND">'[33]#¡REF'!#REF!</definedName>
    <definedName name="_167ELSURE">'[33]#¡REF'!#REF!</definedName>
    <definedName name="_169Excel_BuiltIn_Print_Area_8_1">'[40]Postes de concreto 3ø 35mm²_N'!#REF!</definedName>
    <definedName name="_169S">'[33]#¡REF'!#REF!</definedName>
    <definedName name="_16ELECSURME">'[29]#¡REF'!#REF!</definedName>
    <definedName name="_16ELECT">'[38]#¡REF'!#REF!</definedName>
    <definedName name="_16ELECTROL" localSheetId="0">'[35]Unit-op-cartel'!#REF!</definedName>
    <definedName name="_17___________ELECTROL">'[37]#¡REF'!#REF!</definedName>
    <definedName name="_17_0ELECSURME">'[3]#¡REF'!#REF!</definedName>
    <definedName name="_170ELECSURE">'[31]#¡REF'!#REF!</definedName>
    <definedName name="_176HIDRAND">'[33]#¡REF'!#REF!</definedName>
    <definedName name="_17ELCEN">'[38]#¡REF'!#REF!</definedName>
    <definedName name="_17ELECSURE">'[27]#¡REF'!#REF!</definedName>
    <definedName name="_17ELECT">'[29]#¡REF'!#REF!</definedName>
    <definedName name="_17ELECTROL">'[38]#¡REF'!#REF!</definedName>
    <definedName name="_18___________ELEORIE">'[37]#¡REF'!#REF!</definedName>
    <definedName name="_18_0ELECSURE">'[26]#¡REF'!#REF!</definedName>
    <definedName name="_18_0ELNO">'[29]#¡REF'!#REF!</definedName>
    <definedName name="_183S">'[33]#¡REF'!#REF!</definedName>
    <definedName name="_186ELECSURME">'[31]#¡REF'!#REF!</definedName>
    <definedName name="_18ELCEN">'[30]#¡REF'!#REF!</definedName>
    <definedName name="_18ELECTROL" localSheetId="15">'[29]#¡REF'!#REF!</definedName>
    <definedName name="_18ELECTROL" localSheetId="6">'[29]#¡REF'!#REF!</definedName>
    <definedName name="_18ELECTROL" localSheetId="9">'[29]#¡REF'!#REF!</definedName>
    <definedName name="_18ELECTROL" localSheetId="12">'[29]#¡REF'!#REF!</definedName>
    <definedName name="_18ELECTROL">'[36]#¡REF'!#REF!</definedName>
    <definedName name="_18ELEORIE">'[38]#¡REF'!#REF!</definedName>
    <definedName name="_19___________ELNO">'[37]#¡REF'!#REF!</definedName>
    <definedName name="_19_0ELECTROL" localSheetId="15">'[29]#¡REF'!#REF!</definedName>
    <definedName name="_19_0ELECTROL" localSheetId="6">'[29]#¡REF'!#REF!</definedName>
    <definedName name="_19_0ELECTROL" localSheetId="9">'[29]#¡REF'!#REF!</definedName>
    <definedName name="_19_0ELECTROL" localSheetId="12">'[29]#¡REF'!#REF!</definedName>
    <definedName name="_19_0ELECTROL">'[30]#¡REF'!#REF!</definedName>
    <definedName name="_19ELECSURME">'[27]#¡REF'!#REF!</definedName>
    <definedName name="_19ELEORIE" localSheetId="0">'[35]Unit-op-cartel'!#REF!</definedName>
    <definedName name="_19ELEORIE">'[29]#¡REF'!#REF!</definedName>
    <definedName name="_19ELNO">'[38]#¡REF'!#REF!</definedName>
    <definedName name="_1EL" localSheetId="15">'[29]#¡REF'!#REF!</definedName>
    <definedName name="_1EL" localSheetId="6">'[29]#¡REF'!#REF!</definedName>
    <definedName name="_1EL" localSheetId="9">'[29]#¡REF'!#REF!</definedName>
    <definedName name="_1EL" localSheetId="12">'[29]#¡REF'!#REF!</definedName>
    <definedName name="_1EL" localSheetId="0">'[35]Unit-op-cartel'!#REF!</definedName>
    <definedName name="_1EL">'[36]#¡REF'!#REF!</definedName>
    <definedName name="_2">#REF!</definedName>
    <definedName name="_2__________0ELCEN">'[26]#¡REF'!#REF!</definedName>
    <definedName name="_2__123Graph_FCURRENT" localSheetId="15" hidden="1">[12]FlujoTJ!#REF!</definedName>
    <definedName name="_2__123Graph_FCURRENT" localSheetId="6" hidden="1">[12]FlujoTJ!#REF!</definedName>
    <definedName name="_2__123Graph_FCURRENT" localSheetId="9" hidden="1">[12]FlujoTJ!#REF!</definedName>
    <definedName name="_2__123Graph_FCURRENT" localSheetId="12" hidden="1">[12]FlujoTJ!#REF!</definedName>
    <definedName name="_2__123Graph_FCURRENT" hidden="1">[12]FlujoTJ!#REF!</definedName>
    <definedName name="_2_0EL" localSheetId="15">'[29]#¡REF'!#REF!</definedName>
    <definedName name="_2_0EL" localSheetId="6">'[29]#¡REF'!#REF!</definedName>
    <definedName name="_2_0EL" localSheetId="9">'[29]#¡REF'!#REF!</definedName>
    <definedName name="_2_0EL" localSheetId="12">'[29]#¡REF'!#REF!</definedName>
    <definedName name="_2_0EL">'[30]#¡REF'!#REF!</definedName>
    <definedName name="_2_0ELCEN" localSheetId="15">'[27]#¡REF'!#REF!</definedName>
    <definedName name="_2_0ELCEN" localSheetId="6">'[27]#¡REF'!#REF!</definedName>
    <definedName name="_2_0ELCEN" localSheetId="9">'[27]#¡REF'!#REF!</definedName>
    <definedName name="_2_0ELCEN" localSheetId="12">'[27]#¡REF'!#REF!</definedName>
    <definedName name="_2_0ELCEN">'[28]#¡REF'!#REF!</definedName>
    <definedName name="_20___________ELSURE">'[37]#¡REF'!#REF!</definedName>
    <definedName name="_20_0ELCEN">'[29]#¡REF'!#REF!</definedName>
    <definedName name="_20_0ELSURE">'[29]#¡REF'!#REF!</definedName>
    <definedName name="_202ELECT">'[31]#¡REF'!#REF!</definedName>
    <definedName name="_20ELECSURE">'[38]#¡REF'!#REF!</definedName>
    <definedName name="_20ELNO">'[29]#¡REF'!#REF!</definedName>
    <definedName name="_20ELSURE">'[38]#¡REF'!#REF!</definedName>
    <definedName name="_21___________HIDRAND">'[37]#¡REF'!#REF!</definedName>
    <definedName name="_21_0ELCEN">'[29]#¡REF'!#REF!</definedName>
    <definedName name="_21_0ELECSURME">'[3]#¡REF'!#REF!</definedName>
    <definedName name="_21_0ELECT">'[3]#¡REF'!#REF!</definedName>
    <definedName name="_218ELECTROL">'[31]#¡REF'!#REF!</definedName>
    <definedName name="_21ELECSURE">'[30]#¡REF'!#REF!</definedName>
    <definedName name="_21ELECT">'[27]#¡REF'!#REF!</definedName>
    <definedName name="_21ELEORIE">'[36]#¡REF'!#REF!</definedName>
    <definedName name="_21ELSURE">'[29]#¡REF'!#REF!</definedName>
    <definedName name="_21HIDRAND">'[38]#¡REF'!#REF!</definedName>
    <definedName name="_22___________S">'[37]#¡REF'!#REF!</definedName>
    <definedName name="_22_0ELECSURE" localSheetId="15">'[29]#¡REF'!#REF!</definedName>
    <definedName name="_22_0ELECSURE" localSheetId="12">'[29]#¡REF'!#REF!</definedName>
    <definedName name="_22_0ELECSURE">'[34]#¡REF'!#REF!</definedName>
    <definedName name="_22_0ELEORIE" localSheetId="15">'[29]#¡REF'!#REF!</definedName>
    <definedName name="_22_0ELEORIE" localSheetId="6">'[29]#¡REF'!#REF!</definedName>
    <definedName name="_22_0ELEORIE" localSheetId="9">'[29]#¡REF'!#REF!</definedName>
    <definedName name="_22_0ELEORIE" localSheetId="12">'[29]#¡REF'!#REF!</definedName>
    <definedName name="_22_0ELEORIE">'[30]#¡REF'!#REF!</definedName>
    <definedName name="_22_0HIDRAND">'[29]#¡REF'!#REF!</definedName>
    <definedName name="_22ELNO" localSheetId="0">'[35]Unit-op-cartel'!#REF!</definedName>
    <definedName name="_22HIDRAND">'[29]#¡REF'!#REF!</definedName>
    <definedName name="_22S">'[38]#¡REF'!#REF!</definedName>
    <definedName name="_23_0ELCEN">'[31]#¡REF'!#REF!</definedName>
    <definedName name="_23_0ELECSURE" localSheetId="15">'[29]#¡REF'!#REF!</definedName>
    <definedName name="_23_0ELECSURE" localSheetId="12">'[29]#¡REF'!#REF!</definedName>
    <definedName name="_23_0ELECSURE">'[23]#¡REF'!#REF!</definedName>
    <definedName name="_234ELEORIE">'[31]#¡REF'!#REF!</definedName>
    <definedName name="_23ELECSURME">'[38]#¡REF'!#REF!</definedName>
    <definedName name="_23ELECTROL">'[27]#¡REF'!#REF!</definedName>
    <definedName name="_23S">'[29]#¡REF'!#REF!</definedName>
    <definedName name="_24_0ELCEN">'[32]#¡REF'!#REF!</definedName>
    <definedName name="_24_0ELECSURE">'[23]#¡REF'!#REF!</definedName>
    <definedName name="_24_0ELECSURME">'[26]#¡REF'!#REF!</definedName>
    <definedName name="_24_0S">'[29]#¡REF'!#REF!</definedName>
    <definedName name="_24ELECSURME">'[30]#¡REF'!#REF!</definedName>
    <definedName name="_24ELNO">'[36]#¡REF'!#REF!</definedName>
    <definedName name="_25_0ELECTROL">'[3]#¡REF'!#REF!</definedName>
    <definedName name="_25_0ELNO" localSheetId="15">'[29]#¡REF'!#REF!</definedName>
    <definedName name="_25_0ELNO" localSheetId="6">'[29]#¡REF'!#REF!</definedName>
    <definedName name="_25_0ELNO" localSheetId="9">'[29]#¡REF'!#REF!</definedName>
    <definedName name="_25_0ELNO" localSheetId="12">'[29]#¡REF'!#REF!</definedName>
    <definedName name="_25_0ELNO">'[30]#¡REF'!#REF!</definedName>
    <definedName name="_250ELNO">'[31]#¡REF'!#REF!</definedName>
    <definedName name="_25ELEORIE">'[27]#¡REF'!#REF!</definedName>
    <definedName name="_25ELSURE" localSheetId="0">'[35]Unit-op-cartel'!#REF!</definedName>
    <definedName name="_26_0ELECT">'[3]#¡REF'!#REF!</definedName>
    <definedName name="_266ELSURE">'[31]#¡REF'!#REF!</definedName>
    <definedName name="_26ELECT">'[38]#¡REF'!#REF!</definedName>
    <definedName name="_27ELECT">'[30]#¡REF'!#REF!</definedName>
    <definedName name="_27ELNO">'[27]#¡REF'!#REF!</definedName>
    <definedName name="_27ELSURE">'[36]#¡REF'!#REF!</definedName>
    <definedName name="_28_0ELSURE" localSheetId="15">'[29]#¡REF'!#REF!</definedName>
    <definedName name="_28_0ELSURE" localSheetId="6">'[29]#¡REF'!#REF!</definedName>
    <definedName name="_28_0ELSURE" localSheetId="9">'[29]#¡REF'!#REF!</definedName>
    <definedName name="_28_0ELSURE" localSheetId="12">'[29]#¡REF'!#REF!</definedName>
    <definedName name="_28_0ELSURE">'[30]#¡REF'!#REF!</definedName>
    <definedName name="_282HIDRAND">'[31]#¡REF'!#REF!</definedName>
    <definedName name="_28HIDRAND" localSheetId="0">'[35]Unit-op-cartel'!#REF!</definedName>
    <definedName name="_29_0ELECSURME">'[34]#¡REF'!#REF!</definedName>
    <definedName name="_29_0ELEORIE">'[3]#¡REF'!#REF!</definedName>
    <definedName name="_298S">'[31]#¡REF'!#REF!</definedName>
    <definedName name="_29EL">'[29]#¡REF'!#REF!</definedName>
    <definedName name="_29ELECTROL">'[38]#¡REF'!#REF!</definedName>
    <definedName name="_29ELSURE">'[27]#¡REF'!#REF!</definedName>
    <definedName name="_2ELCEN" localSheetId="15">'[29]#¡REF'!#REF!</definedName>
    <definedName name="_2ELCEN" localSheetId="6">'[29]#¡REF'!#REF!</definedName>
    <definedName name="_2ELCEN" localSheetId="9">'[29]#¡REF'!#REF!</definedName>
    <definedName name="_2ELCEN" localSheetId="12">'[29]#¡REF'!#REF!</definedName>
    <definedName name="_2ELCEN">'[36]#¡REF'!#REF!</definedName>
    <definedName name="_3">#REF!</definedName>
    <definedName name="_3__________0ELECSURE">'[26]#¡REF'!#REF!</definedName>
    <definedName name="_3_0EL" localSheetId="15">'[29]#¡REF'!#REF!</definedName>
    <definedName name="_3_0EL" localSheetId="12">'[29]#¡REF'!#REF!</definedName>
    <definedName name="_3_0ELCEN" localSheetId="15">'[29]#¡REF'!#REF!</definedName>
    <definedName name="_3_0ELCEN" localSheetId="6">'[29]#¡REF'!#REF!</definedName>
    <definedName name="_3_0ELCEN" localSheetId="9">'[29]#¡REF'!#REF!</definedName>
    <definedName name="_3_0ELCEN" localSheetId="12">'[29]#¡REF'!#REF!</definedName>
    <definedName name="_3_0ELCEN">'[30]#¡REF'!#REF!</definedName>
    <definedName name="_3_0ELECSURE" localSheetId="15">'[27]#¡REF'!#REF!</definedName>
    <definedName name="_3_0ELECSURE" localSheetId="6">'[27]#¡REF'!#REF!</definedName>
    <definedName name="_3_0ELECSURE" localSheetId="9">'[27]#¡REF'!#REF!</definedName>
    <definedName name="_3_0ELECSURE" localSheetId="12">'[27]#¡REF'!#REF!</definedName>
    <definedName name="_3_0ELECSURE">'[28]#¡REF'!#REF!</definedName>
    <definedName name="_30_0ELECSURE">'[29]#¡REF'!#REF!</definedName>
    <definedName name="_30_0ELECT">'[26]#¡REF'!#REF!</definedName>
    <definedName name="_30ELECTROL">'[30]#¡REF'!#REF!</definedName>
    <definedName name="_30HIDRAND">'[36]#¡REF'!#REF!</definedName>
    <definedName name="_31_0ELECSURE">'[29]#¡REF'!#REF!</definedName>
    <definedName name="_31_0ELECSURME">'[23]#¡REF'!#REF!</definedName>
    <definedName name="_31_0ELECTROL">'[3]#¡REF'!#REF!</definedName>
    <definedName name="_31_0HIDRAND" localSheetId="15">'[29]#¡REF'!#REF!</definedName>
    <definedName name="_31_0HIDRAND" localSheetId="6">'[29]#¡REF'!#REF!</definedName>
    <definedName name="_31_0HIDRAND" localSheetId="9">'[29]#¡REF'!#REF!</definedName>
    <definedName name="_31_0HIDRAND" localSheetId="12">'[29]#¡REF'!#REF!</definedName>
    <definedName name="_31_0HIDRAND">'[30]#¡REF'!#REF!</definedName>
    <definedName name="_31HIDRAND">'[27]#¡REF'!#REF!</definedName>
    <definedName name="_31S" localSheetId="0">'[35]Unit-op-cartel'!#REF!</definedName>
    <definedName name="_32_0ELECSURE">'[26]#¡REF'!#REF!</definedName>
    <definedName name="_32_0ELECSURME" localSheetId="15">'[29]#¡REF'!#REF!</definedName>
    <definedName name="_32_0ELECSURME" localSheetId="12">'[29]#¡REF'!#REF!</definedName>
    <definedName name="_32_0ELECSURME">'[23]#¡REF'!#REF!</definedName>
    <definedName name="_32ELEORIE">'[38]#¡REF'!#REF!</definedName>
    <definedName name="_33_0ELECSURME" localSheetId="15">'[29]#¡REF'!#REF!</definedName>
    <definedName name="_33_0ELECSURME" localSheetId="12">'[29]#¡REF'!#REF!</definedName>
    <definedName name="_33_0ELNO">'[3]#¡REF'!#REF!</definedName>
    <definedName name="_33ELEORIE">'[30]#¡REF'!#REF!</definedName>
    <definedName name="_33S" localSheetId="15">'[27]#¡REF'!#REF!</definedName>
    <definedName name="_33S" localSheetId="6">'[27]#¡REF'!#REF!</definedName>
    <definedName name="_33S" localSheetId="9">'[27]#¡REF'!#REF!</definedName>
    <definedName name="_33S" localSheetId="12">'[27]#¡REF'!#REF!</definedName>
    <definedName name="_33S">'[36]#¡REF'!#REF!</definedName>
    <definedName name="_34_0ELECSURE">'[31]#¡REF'!#REF!</definedName>
    <definedName name="_34_0S" localSheetId="15">'[29]#¡REF'!#REF!</definedName>
    <definedName name="_34_0S" localSheetId="6">'[29]#¡REF'!#REF!</definedName>
    <definedName name="_34_0S" localSheetId="9">'[29]#¡REF'!#REF!</definedName>
    <definedName name="_34_0S" localSheetId="12">'[29]#¡REF'!#REF!</definedName>
    <definedName name="_34_0S">'[30]#¡REF'!#REF!</definedName>
    <definedName name="_34ELCEN">'[29]#¡REF'!#REF!</definedName>
    <definedName name="_35_0ELECSURE">'[32]#¡REF'!#REF!</definedName>
    <definedName name="_35ELNO">'[38]#¡REF'!#REF!</definedName>
    <definedName name="_36_0ELECT">'[34]#¡REF'!#REF!</definedName>
    <definedName name="_36_0ELECTROL">'[26]#¡REF'!#REF!</definedName>
    <definedName name="_36_0ELEORIE">'[3]#¡REF'!#REF!</definedName>
    <definedName name="_36ELNO">'[30]#¡REF'!#REF!</definedName>
    <definedName name="_37_0ELSURE">'[3]#¡REF'!#REF!</definedName>
    <definedName name="_37EL">'[30]#¡REF'!#REF!</definedName>
    <definedName name="_38ELSURE">'[38]#¡REF'!#REF!</definedName>
    <definedName name="_39_0ELECT">'[23]#¡REF'!#REF!</definedName>
    <definedName name="_39ELECSURE">'[29]#¡REF'!#REF!</definedName>
    <definedName name="_39ELSURE">'[30]#¡REF'!#REF!</definedName>
    <definedName name="_3EL">'[36]#¡REF'!#REF!</definedName>
    <definedName name="_3ELECSURE" localSheetId="15">'[29]#¡REF'!#REF!</definedName>
    <definedName name="_3ELECSURE" localSheetId="6">'[29]#¡REF'!#REF!</definedName>
    <definedName name="_3ELECSURE" localSheetId="9">'[29]#¡REF'!#REF!</definedName>
    <definedName name="_3ELECSURE" localSheetId="12">'[29]#¡REF'!#REF!</definedName>
    <definedName name="_3ELECSURE">'[36]#¡REF'!#REF!</definedName>
    <definedName name="_4">#REF!</definedName>
    <definedName name="_4__________0ELECSURME">'[26]#¡REF'!#REF!</definedName>
    <definedName name="_4__123Graph_FCURRENT" localSheetId="0" hidden="1">[12]FlujoTJ!#REF!</definedName>
    <definedName name="_4__123Graph_FCURRENT" hidden="1">[12]FlujoTJ!#REF!</definedName>
    <definedName name="_4_0EL" localSheetId="15">'[29]#¡REF'!#REF!</definedName>
    <definedName name="_4_0EL" localSheetId="6">'[29]#¡REF'!#REF!</definedName>
    <definedName name="_4_0EL" localSheetId="9">'[29]#¡REF'!#REF!</definedName>
    <definedName name="_4_0EL" localSheetId="12">'[29]#¡REF'!#REF!</definedName>
    <definedName name="_4_0EL">'[30]#¡REF'!#REF!</definedName>
    <definedName name="_4_0ELECSURE" localSheetId="15">'[29]#¡REF'!#REF!</definedName>
    <definedName name="_4_0ELECSURE" localSheetId="6">'[29]#¡REF'!#REF!</definedName>
    <definedName name="_4_0ELECSURE" localSheetId="9">'[29]#¡REF'!#REF!</definedName>
    <definedName name="_4_0ELECSURE" localSheetId="12">'[29]#¡REF'!#REF!</definedName>
    <definedName name="_4_0ELECSURE">'[30]#¡REF'!#REF!</definedName>
    <definedName name="_4_0ELECSURME" localSheetId="15">'[27]#¡REF'!#REF!</definedName>
    <definedName name="_4_0ELECSURME" localSheetId="6">'[27]#¡REF'!#REF!</definedName>
    <definedName name="_4_0ELECSURME" localSheetId="9">'[27]#¡REF'!#REF!</definedName>
    <definedName name="_4_0ELECSURME" localSheetId="12">'[27]#¡REF'!#REF!</definedName>
    <definedName name="_4_0ELECSURME">'[28]#¡REF'!#REF!</definedName>
    <definedName name="_40_0ELECSURME">'[29]#¡REF'!#REF!</definedName>
    <definedName name="_40_0ELECT">'[23]#¡REF'!#REF!</definedName>
    <definedName name="_40ELCEN">'[30]#¡REF'!#REF!</definedName>
    <definedName name="_41_0ELECSURME" localSheetId="15">'[29]#¡REF'!#REF!</definedName>
    <definedName name="_41_0ELECSURME" localSheetId="6">'[29]#¡REF'!#REF!</definedName>
    <definedName name="_41_0ELECSURME" localSheetId="9">'[29]#¡REF'!#REF!</definedName>
    <definedName name="_41_0ELECSURME" localSheetId="12">'[29]#¡REF'!#REF!</definedName>
    <definedName name="_41_0ELECSURME">'[26]#¡REF'!#REF!</definedName>
    <definedName name="_41_0ELNO">'[3]#¡REF'!#REF!</definedName>
    <definedName name="_41_0HIDRAND">'[3]#¡REF'!#REF!</definedName>
    <definedName name="_41HIDRAND">'[38]#¡REF'!#REF!</definedName>
    <definedName name="_42_0ELECT" localSheetId="15">'[29]#¡REF'!#REF!</definedName>
    <definedName name="_42_0ELECT" localSheetId="12">'[29]#¡REF'!#REF!</definedName>
    <definedName name="_42_0ELEORIE">'[26]#¡REF'!#REF!</definedName>
    <definedName name="_42HIDRAND">'[30]#¡REF'!#REF!</definedName>
    <definedName name="_43_0ELECT" localSheetId="15">'[29]#¡REF'!#REF!</definedName>
    <definedName name="_43_0ELECT" localSheetId="12">'[29]#¡REF'!#REF!</definedName>
    <definedName name="_43_0ELECTROL">'[34]#¡REF'!#REF!</definedName>
    <definedName name="_43ELECSURE">'[30]#¡REF'!#REF!</definedName>
    <definedName name="_44ELECSURME">'[29]#¡REF'!#REF!</definedName>
    <definedName name="_44S">'[38]#¡REF'!#REF!</definedName>
    <definedName name="_45_0ELECSURME">'[31]#¡REF'!#REF!</definedName>
    <definedName name="_45_0S">'[3]#¡REF'!#REF!</definedName>
    <definedName name="_45EL">'[29]#¡REF'!#REF!</definedName>
    <definedName name="_45S">'[30]#¡REF'!#REF!</definedName>
    <definedName name="_46_0ELECSURME">'[32]#¡REF'!#REF!</definedName>
    <definedName name="_46_0ELSURE">'[3]#¡REF'!#REF!</definedName>
    <definedName name="_46ELECSURME">'[30]#¡REF'!#REF!</definedName>
    <definedName name="_47_0ELECTROL">'[23]#¡REF'!#REF!</definedName>
    <definedName name="_48_0ELECTROL">'[23]#¡REF'!#REF!</definedName>
    <definedName name="_48_0ELNO">'[26]#¡REF'!#REF!</definedName>
    <definedName name="_49EL">'[3]#¡REF'!#REF!</definedName>
    <definedName name="_49ELECT" localSheetId="15">'[29]#¡REF'!#REF!</definedName>
    <definedName name="_49ELECT" localSheetId="6">'[29]#¡REF'!#REF!</definedName>
    <definedName name="_49ELECT" localSheetId="9">'[29]#¡REF'!#REF!</definedName>
    <definedName name="_49ELECT" localSheetId="12">'[29]#¡REF'!#REF!</definedName>
    <definedName name="_49ELECT">'[30]#¡REF'!#REF!</definedName>
    <definedName name="_4ELCEN" localSheetId="0">'[35]Unit-op-cartel'!#REF!</definedName>
    <definedName name="_4ELECSURME" localSheetId="15">'[29]#¡REF'!#REF!</definedName>
    <definedName name="_4ELECSURME" localSheetId="6">'[29]#¡REF'!#REF!</definedName>
    <definedName name="_4ELECSURME" localSheetId="9">'[29]#¡REF'!#REF!</definedName>
    <definedName name="_4ELECSURME" localSheetId="12">'[29]#¡REF'!#REF!</definedName>
    <definedName name="_4ELECSURME">'[36]#¡REF'!#REF!</definedName>
    <definedName name="_5">#REF!</definedName>
    <definedName name="_5__________0ELECT">'[26]#¡REF'!#REF!</definedName>
    <definedName name="_5__123Graph_FCURRENT" hidden="1">[12]FlujoTJ!#REF!</definedName>
    <definedName name="_5_0EL">'[3]#¡REF'!#REF!</definedName>
    <definedName name="_5_0ELECSURME" localSheetId="15">'[29]#¡REF'!#REF!</definedName>
    <definedName name="_5_0ELECSURME" localSheetId="6">'[29]#¡REF'!#REF!</definedName>
    <definedName name="_5_0ELECSURME" localSheetId="9">'[29]#¡REF'!#REF!</definedName>
    <definedName name="_5_0ELECSURME" localSheetId="12">'[29]#¡REF'!#REF!</definedName>
    <definedName name="_5_0ELECSURME">'[30]#¡REF'!#REF!</definedName>
    <definedName name="_5_0ELECT" localSheetId="15">'[27]#¡REF'!#REF!</definedName>
    <definedName name="_5_0ELECT" localSheetId="6">'[27]#¡REF'!#REF!</definedName>
    <definedName name="_5_0ELECT" localSheetId="9">'[27]#¡REF'!#REF!</definedName>
    <definedName name="_5_0ELECT" localSheetId="12">'[27]#¡REF'!#REF!</definedName>
    <definedName name="_5_0ELECT">'[28]#¡REF'!#REF!</definedName>
    <definedName name="_50_0ELECT" localSheetId="15">'[29]#¡REF'!#REF!</definedName>
    <definedName name="_50_0ELECT" localSheetId="6">'[29]#¡REF'!#REF!</definedName>
    <definedName name="_50_0ELECT" localSheetId="9">'[29]#¡REF'!#REF!</definedName>
    <definedName name="_50_0ELECT" localSheetId="12">'[29]#¡REF'!#REF!</definedName>
    <definedName name="_50_0ELECT">'[26]#¡REF'!#REF!</definedName>
    <definedName name="_50_0ELEORIE">'[34]#¡REF'!#REF!</definedName>
    <definedName name="_51_0ELECT">'[29]#¡REF'!#REF!</definedName>
    <definedName name="_51_0HIDRAND">'[3]#¡REF'!#REF!</definedName>
    <definedName name="_52_0ELECTROL" localSheetId="15">'[29]#¡REF'!#REF!</definedName>
    <definedName name="_52_0ELECTROL" localSheetId="12">'[29]#¡REF'!#REF!</definedName>
    <definedName name="_52ELECTROL">'[30]#¡REF'!#REF!</definedName>
    <definedName name="_53_0ELECTROL" localSheetId="15">'[29]#¡REF'!#REF!</definedName>
    <definedName name="_53_0ELECTROL" localSheetId="12">'[29]#¡REF'!#REF!</definedName>
    <definedName name="_53ELCEN">'[3]#¡REF'!#REF!</definedName>
    <definedName name="_54_0ELSURE">'[26]#¡REF'!#REF!</definedName>
    <definedName name="_54ELECTROL">'[29]#¡REF'!#REF!</definedName>
    <definedName name="_55_0ELEORIE">'[23]#¡REF'!#REF!</definedName>
    <definedName name="_55ELEORIE">'[30]#¡REF'!#REF!</definedName>
    <definedName name="_56_0ELECT">'[31]#¡REF'!#REF!</definedName>
    <definedName name="_56_0ELEORIE">'[23]#¡REF'!#REF!</definedName>
    <definedName name="_56_0S">'[3]#¡REF'!#REF!</definedName>
    <definedName name="_56ELCEN">'[29]#¡REF'!#REF!</definedName>
    <definedName name="_57_0ELECT">'[32]#¡REF'!#REF!</definedName>
    <definedName name="_57_0ELNO">'[34]#¡REF'!#REF!</definedName>
    <definedName name="_57ELECSURE">'[3]#¡REF'!#REF!</definedName>
    <definedName name="_58ELNO">'[30]#¡REF'!#REF!</definedName>
    <definedName name="_59_0ELECTROL">'[26]#¡REF'!#REF!</definedName>
    <definedName name="_59ELEORIE">'[29]#¡REF'!#REF!</definedName>
    <definedName name="_5ELECT" localSheetId="15">'[29]#¡REF'!#REF!</definedName>
    <definedName name="_5ELECT" localSheetId="6">'[29]#¡REF'!#REF!</definedName>
    <definedName name="_5ELECT" localSheetId="9">'[29]#¡REF'!#REF!</definedName>
    <definedName name="_5ELECT" localSheetId="12">'[29]#¡REF'!#REF!</definedName>
    <definedName name="_5ELECT">'[36]#¡REF'!#REF!</definedName>
    <definedName name="_6">#REF!</definedName>
    <definedName name="_6__________0ELECTROL">'[26]#¡REF'!#REF!</definedName>
    <definedName name="_6_0EL">'[26]#¡REF'!#REF!</definedName>
    <definedName name="_6_0ELCEN">'[29]#¡REF'!#REF!</definedName>
    <definedName name="_6_0ELECT" localSheetId="15">'[29]#¡REF'!#REF!</definedName>
    <definedName name="_6_0ELECT" localSheetId="6">'[29]#¡REF'!#REF!</definedName>
    <definedName name="_6_0ELECT" localSheetId="9">'[29]#¡REF'!#REF!</definedName>
    <definedName name="_6_0ELECT" localSheetId="12">'[29]#¡REF'!#REF!</definedName>
    <definedName name="_6_0ELECT">'[30]#¡REF'!#REF!</definedName>
    <definedName name="_6_0ELECTROL" localSheetId="15">'[27]#¡REF'!#REF!</definedName>
    <definedName name="_6_0ELECTROL" localSheetId="6">'[27]#¡REF'!#REF!</definedName>
    <definedName name="_6_0ELECTROL" localSheetId="9">'[27]#¡REF'!#REF!</definedName>
    <definedName name="_6_0ELECTROL" localSheetId="12">'[27]#¡REF'!#REF!</definedName>
    <definedName name="_6_0ELECTROL">'[28]#¡REF'!#REF!</definedName>
    <definedName name="_60_0ELECTROL">'[29]#¡REF'!#REF!</definedName>
    <definedName name="_60_0HIDRAND">'[26]#¡REF'!#REF!</definedName>
    <definedName name="_61_0ELECTROL">'[29]#¡REF'!#REF!</definedName>
    <definedName name="_61EL">'[3]#¡REF'!#REF!</definedName>
    <definedName name="_61ELECSURME">'[3]#¡REF'!#REF!</definedName>
    <definedName name="_61ELSURE">'[30]#¡REF'!#REF!</definedName>
    <definedName name="_62_0ELEORIE" localSheetId="15">'[29]#¡REF'!#REF!</definedName>
    <definedName name="_62_0ELEORIE" localSheetId="12">'[29]#¡REF'!#REF!</definedName>
    <definedName name="_63_0ELEORIE" localSheetId="15">'[29]#¡REF'!#REF!</definedName>
    <definedName name="_63_0ELEORIE" localSheetId="12">'[29]#¡REF'!#REF!</definedName>
    <definedName name="_63_0ELNO">'[23]#¡REF'!#REF!</definedName>
    <definedName name="_64_0ELNO">'[23]#¡REF'!#REF!</definedName>
    <definedName name="_64_0ELSURE">'[34]#¡REF'!#REF!</definedName>
    <definedName name="_64ELNO">'[29]#¡REF'!#REF!</definedName>
    <definedName name="_64HIDRAND">'[30]#¡REF'!#REF!</definedName>
    <definedName name="_65ELECT">'[3]#¡REF'!#REF!</definedName>
    <definedName name="_66_0S">'[26]#¡REF'!#REF!</definedName>
    <definedName name="_66ELCEN">'[3]#¡REF'!#REF!</definedName>
    <definedName name="_67_0ELECTROL">'[31]#¡REF'!#REF!</definedName>
    <definedName name="_67ELECSURE">'[29]#¡REF'!#REF!</definedName>
    <definedName name="_67S">'[30]#¡REF'!#REF!</definedName>
    <definedName name="_68_0ELECTROL">'[32]#¡REF'!#REF!</definedName>
    <definedName name="_68_0ELEORIE">'[26]#¡REF'!#REF!</definedName>
    <definedName name="_69ELECTROL">'[3]#¡REF'!#REF!</definedName>
    <definedName name="_69ELSURE">'[29]#¡REF'!#REF!</definedName>
    <definedName name="_6ELCEN">'[36]#¡REF'!#REF!</definedName>
    <definedName name="_6ELECTROL" localSheetId="15">'[29]#¡REF'!#REF!</definedName>
    <definedName name="_6ELECTROL" localSheetId="6">'[29]#¡REF'!#REF!</definedName>
    <definedName name="_6ELECTROL" localSheetId="9">'[29]#¡REF'!#REF!</definedName>
    <definedName name="_6ELECTROL" localSheetId="12">'[29]#¡REF'!#REF!</definedName>
    <definedName name="_6ELECTROL">'[36]#¡REF'!#REF!</definedName>
    <definedName name="_7">#REF!</definedName>
    <definedName name="_7__________0ELEORIE">'[26]#¡REF'!#REF!</definedName>
    <definedName name="_7_0EL">'[23]#¡REF'!#REF!</definedName>
    <definedName name="_7_0ELCEN" localSheetId="15">'[29]#¡REF'!#REF!</definedName>
    <definedName name="_7_0ELCEN" localSheetId="6">'[29]#¡REF'!#REF!</definedName>
    <definedName name="_7_0ELCEN" localSheetId="9">'[29]#¡REF'!#REF!</definedName>
    <definedName name="_7_0ELCEN" localSheetId="12">'[29]#¡REF'!#REF!</definedName>
    <definedName name="_7_0ELCEN">'[30]#¡REF'!#REF!</definedName>
    <definedName name="_7_0ELECTROL" localSheetId="15">'[29]#¡REF'!#REF!</definedName>
    <definedName name="_7_0ELECTROL" localSheetId="6">'[29]#¡REF'!#REF!</definedName>
    <definedName name="_7_0ELECTROL" localSheetId="9">'[29]#¡REF'!#REF!</definedName>
    <definedName name="_7_0ELECTROL" localSheetId="12">'[29]#¡REF'!#REF!</definedName>
    <definedName name="_7_0ELECTROL">'[30]#¡REF'!#REF!</definedName>
    <definedName name="_7_0ELEORIE" localSheetId="15">'[27]#¡REF'!#REF!</definedName>
    <definedName name="_7_0ELEORIE" localSheetId="6">'[27]#¡REF'!#REF!</definedName>
    <definedName name="_7_0ELEORIE" localSheetId="9">'[27]#¡REF'!#REF!</definedName>
    <definedName name="_7_0ELEORIE" localSheetId="12">'[27]#¡REF'!#REF!</definedName>
    <definedName name="_7_0ELEORIE">'[28]#¡REF'!#REF!</definedName>
    <definedName name="_70_0ELEORIE">'[29]#¡REF'!#REF!</definedName>
    <definedName name="_71_0ELEORIE">'[29]#¡REF'!#REF!</definedName>
    <definedName name="_71_0ELSURE">'[23]#¡REF'!#REF!</definedName>
    <definedName name="_71_0HIDRAND">'[34]#¡REF'!#REF!</definedName>
    <definedName name="_71ELECSURE">'[3]#¡REF'!#REF!</definedName>
    <definedName name="_72_0ELNO" localSheetId="15">'[29]#¡REF'!#REF!</definedName>
    <definedName name="_72_0ELNO" localSheetId="12">'[29]#¡REF'!#REF!</definedName>
    <definedName name="_72_0ELSURE">'[23]#¡REF'!#REF!</definedName>
    <definedName name="_72EL">'[34]#¡REF'!#REF!</definedName>
    <definedName name="_73_0ELNO" localSheetId="15">'[29]#¡REF'!#REF!</definedName>
    <definedName name="_73_0ELNO" localSheetId="12">'[29]#¡REF'!#REF!</definedName>
    <definedName name="_73ELEORIE">'[3]#¡REF'!#REF!</definedName>
    <definedName name="_74HIDRAND">'[29]#¡REF'!#REF!</definedName>
    <definedName name="_76ELECSURME">'[3]#¡REF'!#REF!</definedName>
    <definedName name="_77_0ELNO">'[26]#¡REF'!#REF!</definedName>
    <definedName name="_77ELNO">'[3]#¡REF'!#REF!</definedName>
    <definedName name="_78_0ELEORIE">'[31]#¡REF'!#REF!</definedName>
    <definedName name="_78_0S">'[34]#¡REF'!#REF!</definedName>
    <definedName name="_78ELCEN">'[34]#¡REF'!#REF!</definedName>
    <definedName name="_78ELECSURME">'[29]#¡REF'!#REF!</definedName>
    <definedName name="_79_0ELEORIE">'[32]#¡REF'!#REF!</definedName>
    <definedName name="_79_0HIDRAND">'[23]#¡REF'!#REF!</definedName>
    <definedName name="_79S">'[29]#¡REF'!#REF!</definedName>
    <definedName name="_7ELECSURE" localSheetId="0">'[35]Unit-op-cartel'!#REF!</definedName>
    <definedName name="_7ELEORIE" localSheetId="15">'[29]#¡REF'!#REF!</definedName>
    <definedName name="_7ELEORIE" localSheetId="6">'[29]#¡REF'!#REF!</definedName>
    <definedName name="_7ELEORIE" localSheetId="9">'[29]#¡REF'!#REF!</definedName>
    <definedName name="_7ELEORIE" localSheetId="12">'[29]#¡REF'!#REF!</definedName>
    <definedName name="_7ELEORIE">'[36]#¡REF'!#REF!</definedName>
    <definedName name="_8">#REF!</definedName>
    <definedName name="_8__________0ELNO">'[26]#¡REF'!#REF!</definedName>
    <definedName name="_8__123Graph_FCURRENT" hidden="1">[12]FlujoTJ!#REF!</definedName>
    <definedName name="_8_0EL">'[34]#¡REF'!#REF!</definedName>
    <definedName name="_8_0ELECSURE">'[29]#¡REF'!#REF!</definedName>
    <definedName name="_8_0ELEORIE" localSheetId="15">'[29]#¡REF'!#REF!</definedName>
    <definedName name="_8_0ELEORIE" localSheetId="6">'[29]#¡REF'!#REF!</definedName>
    <definedName name="_8_0ELEORIE" localSheetId="9">'[29]#¡REF'!#REF!</definedName>
    <definedName name="_8_0ELEORIE" localSheetId="12">'[29]#¡REF'!#REF!</definedName>
    <definedName name="_8_0ELEORIE">'[30]#¡REF'!#REF!</definedName>
    <definedName name="_8_0ELNO" localSheetId="15">'[27]#¡REF'!#REF!</definedName>
    <definedName name="_8_0ELNO" localSheetId="6">'[27]#¡REF'!#REF!</definedName>
    <definedName name="_8_0ELNO" localSheetId="9">'[27]#¡REF'!#REF!</definedName>
    <definedName name="_8_0ELNO" localSheetId="12">'[27]#¡REF'!#REF!</definedName>
    <definedName name="_8_0ELNO">'[28]#¡REF'!#REF!</definedName>
    <definedName name="_80_0ELNO">'[29]#¡REF'!#REF!</definedName>
    <definedName name="_80_0HIDRAND">'[23]#¡REF'!#REF!</definedName>
    <definedName name="_80EL">'[33]#¡REF'!#REF!</definedName>
    <definedName name="_81_0ELNO">'[29]#¡REF'!#REF!</definedName>
    <definedName name="_81ELECT">'[3]#¡REF'!#REF!</definedName>
    <definedName name="_81ELSURE">'[3]#¡REF'!#REF!</definedName>
    <definedName name="_82_0ELSURE" localSheetId="15">'[29]#¡REF'!#REF!</definedName>
    <definedName name="_82_0ELSURE" localSheetId="12">'[29]#¡REF'!#REF!</definedName>
    <definedName name="_82ELCEN">'[33]#¡REF'!#REF!</definedName>
    <definedName name="_83_0ELSURE" localSheetId="15">'[29]#¡REF'!#REF!</definedName>
    <definedName name="_83_0ELSURE" localSheetId="12">'[29]#¡REF'!#REF!</definedName>
    <definedName name="_84ELECSURE">'[34]#¡REF'!#REF!</definedName>
    <definedName name="_85HIDRAND">'[3]#¡REF'!#REF!</definedName>
    <definedName name="_86_0ELSURE">'[26]#¡REF'!#REF!</definedName>
    <definedName name="_86ELECSURME">'[33]#¡REF'!#REF!</definedName>
    <definedName name="_86ELECTROL">'[3]#¡REF'!#REF!</definedName>
    <definedName name="_87_0S">'[23]#¡REF'!#REF!</definedName>
    <definedName name="_88_0S">'[23]#¡REF'!#REF!</definedName>
    <definedName name="_88ELECT">'[33]#¡REF'!#REF!</definedName>
    <definedName name="_89_0ELNO">'[31]#¡REF'!#REF!</definedName>
    <definedName name="_89ELECT">'[29]#¡REF'!#REF!</definedName>
    <definedName name="_89S">'[3]#¡REF'!#REF!</definedName>
    <definedName name="_8ELNO" localSheetId="15">'[29]#¡REF'!#REF!</definedName>
    <definedName name="_8ELNO" localSheetId="6">'[29]#¡REF'!#REF!</definedName>
    <definedName name="_8ELNO" localSheetId="9">'[29]#¡REF'!#REF!</definedName>
    <definedName name="_8ELNO" localSheetId="12">'[29]#¡REF'!#REF!</definedName>
    <definedName name="_8ELNO">'[36]#¡REF'!#REF!</definedName>
    <definedName name="_9__________0ELSURE">'[26]#¡REF'!#REF!</definedName>
    <definedName name="_9_0ELCEN">'[3]#¡REF'!#REF!</definedName>
    <definedName name="_9_0ELNO" localSheetId="15">'[29]#¡REF'!#REF!</definedName>
    <definedName name="_9_0ELNO" localSheetId="6">'[29]#¡REF'!#REF!</definedName>
    <definedName name="_9_0ELNO" localSheetId="9">'[29]#¡REF'!#REF!</definedName>
    <definedName name="_9_0ELNO" localSheetId="12">'[29]#¡REF'!#REF!</definedName>
    <definedName name="_9_0ELNO">'[30]#¡REF'!#REF!</definedName>
    <definedName name="_9_0ELSURE" localSheetId="15">'[27]#¡REF'!#REF!</definedName>
    <definedName name="_9_0ELSURE" localSheetId="6">'[27]#¡REF'!#REF!</definedName>
    <definedName name="_9_0ELSURE" localSheetId="9">'[27]#¡REF'!#REF!</definedName>
    <definedName name="_9_0ELSURE" localSheetId="12">'[27]#¡REF'!#REF!</definedName>
    <definedName name="_9_0ELSURE">'[28]#¡REF'!#REF!</definedName>
    <definedName name="_90_0ELNO">'[32]#¡REF'!#REF!</definedName>
    <definedName name="_90_0ELSURE">'[29]#¡REF'!#REF!</definedName>
    <definedName name="_90ELECSURME">'[34]#¡REF'!#REF!</definedName>
    <definedName name="_90ELECTROL">'[33]#¡REF'!#REF!</definedName>
    <definedName name="_91_0ELSURE">'[29]#¡REF'!#REF!</definedName>
    <definedName name="_91ELEORIE">'[3]#¡REF'!#REF!</definedName>
    <definedName name="_92_0HIDRAND" localSheetId="15">'[29]#¡REF'!#REF!</definedName>
    <definedName name="_92_0HIDRAND" localSheetId="12">'[29]#¡REF'!#REF!</definedName>
    <definedName name="_92ELEORIE">'[33]#¡REF'!#REF!</definedName>
    <definedName name="_93_0HIDRAND" localSheetId="15">'[29]#¡REF'!#REF!</definedName>
    <definedName name="_93_0HIDRAND" localSheetId="12">'[29]#¡REF'!#REF!</definedName>
    <definedName name="_94ELNO">'[33]#¡REF'!#REF!</definedName>
    <definedName name="_95_0HIDRAND">'[26]#¡REF'!#REF!</definedName>
    <definedName name="_96ELECT">'[34]#¡REF'!#REF!</definedName>
    <definedName name="_96ELNO">'[3]#¡REF'!#REF!</definedName>
    <definedName name="_96ELSURE">'[33]#¡REF'!#REF!</definedName>
    <definedName name="_99Excel_BuiltIn_Print_Area_8_1">'[41]Postes de concreto 3ø 35mm²_N'!#REF!</definedName>
    <definedName name="_9ELECSURE">'[36]#¡REF'!#REF!</definedName>
    <definedName name="_9ELSURE" localSheetId="15">'[29]#¡REF'!#REF!</definedName>
    <definedName name="_9ELSURE" localSheetId="6">'[29]#¡REF'!#REF!</definedName>
    <definedName name="_9ELSURE" localSheetId="9">'[29]#¡REF'!#REF!</definedName>
    <definedName name="_9ELSURE" localSheetId="12">'[29]#¡REF'!#REF!</definedName>
    <definedName name="_9ELSURE">'[36]#¡REF'!#REF!</definedName>
    <definedName name="_A">[1]A!$D$9:$D$53</definedName>
    <definedName name="_A4355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 localSheetId="15">[13]RS!#REF!</definedName>
    <definedName name="_A99000" localSheetId="6">[13]RS!#REF!</definedName>
    <definedName name="_A99000" localSheetId="9">[13]RS!#REF!</definedName>
    <definedName name="_A99000" localSheetId="12">[13]RS!#REF!</definedName>
    <definedName name="_A99000">'[24]REDES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 localSheetId="15">#REF!</definedName>
    <definedName name="_apu0201" localSheetId="6">#REF!</definedName>
    <definedName name="_apu0201" localSheetId="9">#REF!</definedName>
    <definedName name="_apu0201" localSheetId="12">#REF!</definedName>
    <definedName name="_apu0201">#REF!</definedName>
    <definedName name="_apu0202" localSheetId="15">#REF!</definedName>
    <definedName name="_apu0202" localSheetId="6">#REF!</definedName>
    <definedName name="_apu0202" localSheetId="9">#REF!</definedName>
    <definedName name="_apu0202" localSheetId="12">#REF!</definedName>
    <definedName name="_apu0202">#REF!</definedName>
    <definedName name="_apu0203" localSheetId="15">#REF!</definedName>
    <definedName name="_apu0203" localSheetId="6">#REF!</definedName>
    <definedName name="_apu0203" localSheetId="9">#REF!</definedName>
    <definedName name="_apu0203" localSheetId="12">#REF!</definedName>
    <definedName name="_apu0203">#REF!</definedName>
    <definedName name="_apu02033" localSheetId="15">#REF!</definedName>
    <definedName name="_apu02033" localSheetId="6">#REF!</definedName>
    <definedName name="_apu02033" localSheetId="9">#REF!</definedName>
    <definedName name="_apu02033" localSheetId="12">#REF!</definedName>
    <definedName name="_apu02033">#REF!</definedName>
    <definedName name="_apu0301" localSheetId="15">#REF!</definedName>
    <definedName name="_apu0301" localSheetId="6">#REF!</definedName>
    <definedName name="_apu0301" localSheetId="9">#REF!</definedName>
    <definedName name="_apu0301" localSheetId="12">#REF!</definedName>
    <definedName name="_apu0301">#REF!</definedName>
    <definedName name="_apu0302" localSheetId="15">#REF!</definedName>
    <definedName name="_apu0302" localSheetId="6">#REF!</definedName>
    <definedName name="_apu0302" localSheetId="9">#REF!</definedName>
    <definedName name="_apu0302" localSheetId="12">#REF!</definedName>
    <definedName name="_apu0302">#REF!</definedName>
    <definedName name="_apu0303" localSheetId="15">#REF!</definedName>
    <definedName name="_apu0303" localSheetId="6">#REF!</definedName>
    <definedName name="_apu0303" localSheetId="9">#REF!</definedName>
    <definedName name="_apu0303" localSheetId="12">#REF!</definedName>
    <definedName name="_apu0303">#REF!</definedName>
    <definedName name="_apu0304" localSheetId="15">#REF!</definedName>
    <definedName name="_apu0304" localSheetId="6">#REF!</definedName>
    <definedName name="_apu0304" localSheetId="9">#REF!</definedName>
    <definedName name="_apu0304" localSheetId="12">#REF!</definedName>
    <definedName name="_apu0304">#REF!</definedName>
    <definedName name="_apu0305" localSheetId="15">#REF!</definedName>
    <definedName name="_apu0305" localSheetId="6">#REF!</definedName>
    <definedName name="_apu0305" localSheetId="9">#REF!</definedName>
    <definedName name="_apu0305" localSheetId="12">#REF!</definedName>
    <definedName name="_apu0305">#REF!</definedName>
    <definedName name="_apu0401" localSheetId="15">#REF!</definedName>
    <definedName name="_apu0401" localSheetId="6">#REF!</definedName>
    <definedName name="_apu0401" localSheetId="9">#REF!</definedName>
    <definedName name="_apu0401" localSheetId="12">#REF!</definedName>
    <definedName name="_apu0401">#REF!</definedName>
    <definedName name="_apu0501" localSheetId="15">#REF!</definedName>
    <definedName name="_apu0501" localSheetId="6">#REF!</definedName>
    <definedName name="_apu0501" localSheetId="9">#REF!</definedName>
    <definedName name="_apu0501" localSheetId="12">#REF!</definedName>
    <definedName name="_apu0501">#REF!</definedName>
    <definedName name="_apu0502" localSheetId="15">#REF!</definedName>
    <definedName name="_apu0502" localSheetId="6">#REF!</definedName>
    <definedName name="_apu0502" localSheetId="9">#REF!</definedName>
    <definedName name="_apu0502" localSheetId="12">#REF!</definedName>
    <definedName name="_apu0502">#REF!</definedName>
    <definedName name="_apu0503" localSheetId="15">#REF!</definedName>
    <definedName name="_apu0503" localSheetId="6">#REF!</definedName>
    <definedName name="_apu0503" localSheetId="9">#REF!</definedName>
    <definedName name="_apu0503" localSheetId="12">#REF!</definedName>
    <definedName name="_apu0503">#REF!</definedName>
    <definedName name="_apu0504" localSheetId="15">#REF!</definedName>
    <definedName name="_apu0504" localSheetId="6">#REF!</definedName>
    <definedName name="_apu0504" localSheetId="9">#REF!</definedName>
    <definedName name="_apu0504" localSheetId="12">#REF!</definedName>
    <definedName name="_apu0504">#REF!</definedName>
    <definedName name="_apu0505" localSheetId="15">#REF!</definedName>
    <definedName name="_apu0505" localSheetId="6">#REF!</definedName>
    <definedName name="_apu0505" localSheetId="9">#REF!</definedName>
    <definedName name="_apu0505" localSheetId="12">#REF!</definedName>
    <definedName name="_apu0505">#REF!</definedName>
    <definedName name="_apu0506" localSheetId="15">#REF!</definedName>
    <definedName name="_apu0506" localSheetId="6">#REF!</definedName>
    <definedName name="_apu0506" localSheetId="9">#REF!</definedName>
    <definedName name="_apu0506" localSheetId="12">#REF!</definedName>
    <definedName name="_apu0506">#REF!</definedName>
    <definedName name="_apu0507" localSheetId="15">#REF!</definedName>
    <definedName name="_apu0507" localSheetId="6">#REF!</definedName>
    <definedName name="_apu0507" localSheetId="9">#REF!</definedName>
    <definedName name="_apu0507" localSheetId="12">#REF!</definedName>
    <definedName name="_apu0507">#REF!</definedName>
    <definedName name="_apu0508" localSheetId="15">#REF!</definedName>
    <definedName name="_apu0508" localSheetId="6">#REF!</definedName>
    <definedName name="_apu0508" localSheetId="9">#REF!</definedName>
    <definedName name="_apu0508" localSheetId="12">#REF!</definedName>
    <definedName name="_apu0508">#REF!</definedName>
    <definedName name="_apu0601" localSheetId="15">#REF!</definedName>
    <definedName name="_apu0601" localSheetId="6">#REF!</definedName>
    <definedName name="_apu0601" localSheetId="9">#REF!</definedName>
    <definedName name="_apu0601" localSheetId="12">#REF!</definedName>
    <definedName name="_apu0601">#REF!</definedName>
    <definedName name="_CON1" localSheetId="15">#REF!</definedName>
    <definedName name="_CON1" localSheetId="6">#REF!</definedName>
    <definedName name="_CON1" localSheetId="9">#REF!</definedName>
    <definedName name="_CON1" localSheetId="12">#REF!</definedName>
    <definedName name="_CON1">#REF!</definedName>
    <definedName name="_CON3" localSheetId="15">#REF!</definedName>
    <definedName name="_CON3" localSheetId="6">#REF!</definedName>
    <definedName name="_CON3" localSheetId="9">#REF!</definedName>
    <definedName name="_CON3" localSheetId="12">#REF!</definedName>
    <definedName name="_CON3">#REF!</definedName>
    <definedName name="_Dist_Bin" hidden="1">#REF!</definedName>
    <definedName name="_Dist_Values" hidden="1">#REF!</definedName>
    <definedName name="_E410625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'[42]#¡REF'!#REF!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localSheetId="15" hidden="1">#REF!</definedName>
    <definedName name="_Fill" localSheetId="6" hidden="1">#REF!</definedName>
    <definedName name="_Fill" localSheetId="9" hidden="1">#REF!</definedName>
    <definedName name="_Fill" localSheetId="12" hidden="1">#REF!</definedName>
    <definedName name="_Fill" localSheetId="3" hidden="1">#REF!</definedName>
    <definedName name="_Fill" localSheetId="0" hidden="1">#REF!</definedName>
    <definedName name="_Fill" hidden="1">#REF!</definedName>
    <definedName name="_Fill01" hidden="1">#REF!</definedName>
    <definedName name="_Filll" hidden="1">#REF!</definedName>
    <definedName name="_xlnm._FilterDatabase" localSheetId="15" hidden="1">#REF!</definedName>
    <definedName name="_xlnm._FilterDatabase" localSheetId="6" hidden="1">#REF!</definedName>
    <definedName name="_xlnm._FilterDatabase" localSheetId="9" hidden="1">#REF!</definedName>
    <definedName name="_xlnm._FilterDatabase" localSheetId="12" hidden="1">#REF!</definedName>
    <definedName name="_xlnm._FilterDatabase" localSheetId="3" hidden="1">#REF!</definedName>
    <definedName name="_xlnm._FilterDatabase" localSheetId="5" hidden="1">'Mtdo-Ppto LP'!$J$17:$O$22</definedName>
    <definedName name="_xlnm._FilterDatabase" localSheetId="11" hidden="1">'Mtdo-Ppto RS'!$B$12:$W$352</definedName>
    <definedName name="_xlnm._FilterDatabase" localSheetId="14" hidden="1">#REF!</definedName>
    <definedName name="_xlnm._FilterDatabase" localSheetId="13" hidden="1">#REF!</definedName>
    <definedName name="_xlnm._FilterDatabase" localSheetId="4" hidden="1">#REF!</definedName>
    <definedName name="_xlnm._FilterDatabase" localSheetId="0" hidden="1">#REF!</definedName>
    <definedName name="_xlnm._FilterDatabase" hidden="1">#REF!</definedName>
    <definedName name="_gg1" localSheetId="15">'[10]#¡REF'!#REF!</definedName>
    <definedName name="_gg1" localSheetId="6">'[10]#¡REF'!#REF!</definedName>
    <definedName name="_gg1" localSheetId="9">'[10]#¡REF'!#REF!</definedName>
    <definedName name="_gg1" localSheetId="12">'[10]#¡REF'!#REF!</definedName>
    <definedName name="_gg1">'[14]#¡REF'!#REF!</definedName>
    <definedName name="_HED2">#REF!</definedName>
    <definedName name="_JU2">#REF!</definedName>
    <definedName name="_Key1" localSheetId="15" hidden="1">'[20]Tipo de Cambio'!#REF!</definedName>
    <definedName name="_Key1" localSheetId="6" hidden="1">'[20]Tipo de Cambio'!#REF!</definedName>
    <definedName name="_Key1" localSheetId="9" hidden="1">'[20]Tipo de Cambio'!#REF!</definedName>
    <definedName name="_Key1" localSheetId="12" hidden="1">'[20]Tipo de Cambio'!#REF!</definedName>
    <definedName name="_Key1" localSheetId="3" hidden="1">'[20]Tipo de Cambio'!#REF!</definedName>
    <definedName name="_Key1" localSheetId="5" hidden="1">'[20]Tipo de Cambio'!#REF!</definedName>
    <definedName name="_Key1" localSheetId="14" hidden="1">'[20]Tipo de Cambio'!#REF!</definedName>
    <definedName name="_Key1" localSheetId="13" hidden="1">'[20]Tipo de Cambio'!#REF!</definedName>
    <definedName name="_Key1" localSheetId="4" hidden="1">'[20]Tipo de Cambio'!#REF!</definedName>
    <definedName name="_Key1" localSheetId="0" hidden="1">'[20]Tipo de Cambio'!#REF!</definedName>
    <definedName name="_Key1" hidden="1">'[20]Tipo de Cambio'!#REF!</definedName>
    <definedName name="_Key2" localSheetId="3" hidden="1">'[20]Tipo de Cambio'!#REF!</definedName>
    <definedName name="_Key2" localSheetId="0" hidden="1">'[20]Tipo de Cambio'!#REF!</definedName>
    <definedName name="_Key2" hidden="1">'[20]Tipo de Cambio'!#REF!</definedName>
    <definedName name="_LM3">'[11]FORMA-LM3'!$B$1:$N$48</definedName>
    <definedName name="_LS1">'[11]FORMA-LS1-LS2'!$A$1:$P$83</definedName>
    <definedName name="_LS2">'[11]FORMA-LS1-LS2'!$A$86:$P$168</definedName>
    <definedName name="_LS3">'[11]FORMA-LS3'!$A$1:$M$53</definedName>
    <definedName name="_MET1" localSheetId="15">#REF!</definedName>
    <definedName name="_MET1" localSheetId="6">#REF!</definedName>
    <definedName name="_MET1" localSheetId="9">#REF!</definedName>
    <definedName name="_MET1" localSheetId="12">#REF!</definedName>
    <definedName name="_MET1">#REF!</definedName>
    <definedName name="_MET2" localSheetId="15">#REF!</definedName>
    <definedName name="_MET2" localSheetId="6">#REF!</definedName>
    <definedName name="_MET2" localSheetId="9">#REF!</definedName>
    <definedName name="_MET2" localSheetId="12">#REF!</definedName>
    <definedName name="_MET2">#REF!</definedName>
    <definedName name="_Order1" localSheetId="0" hidden="1">255</definedName>
    <definedName name="_Order1" hidden="1">0</definedName>
    <definedName name="_Order2" hidden="1">0</definedName>
    <definedName name="_Parse_Out" hidden="1">#REF!</definedName>
    <definedName name="_Pbs1">[25]Hoja1!$E$6</definedName>
    <definedName name="_PPA1" localSheetId="15">#REF!</definedName>
    <definedName name="_PPA1" localSheetId="6">#REF!</definedName>
    <definedName name="_PPA1" localSheetId="9">#REF!</definedName>
    <definedName name="_PPA1" localSheetId="12">#REF!</definedName>
    <definedName name="_PPA1">#REF!</definedName>
    <definedName name="_PPB2" localSheetId="15">#REF!</definedName>
    <definedName name="_PPB2" localSheetId="6">#REF!</definedName>
    <definedName name="_PPB2" localSheetId="9">#REF!</definedName>
    <definedName name="_PPB2" localSheetId="12">#REF!</definedName>
    <definedName name="_PPB2">#REF!</definedName>
    <definedName name="_PPC3" localSheetId="15">#REF!</definedName>
    <definedName name="_PPC3" localSheetId="6">#REF!</definedName>
    <definedName name="_PPC3" localSheetId="9">#REF!</definedName>
    <definedName name="_PPC3" localSheetId="12">#REF!</definedName>
    <definedName name="_PPC3">#REF!</definedName>
    <definedName name="_PPD4" localSheetId="15">#REF!</definedName>
    <definedName name="_PPD4" localSheetId="6">#REF!</definedName>
    <definedName name="_PPD4" localSheetId="9">#REF!</definedName>
    <definedName name="_PPD4" localSheetId="12">#REF!</definedName>
    <definedName name="_PPD4">#REF!</definedName>
    <definedName name="_PPE5" localSheetId="15">#REF!</definedName>
    <definedName name="_PPE5" localSheetId="6">#REF!</definedName>
    <definedName name="_PPE5" localSheetId="9">#REF!</definedName>
    <definedName name="_PPE5" localSheetId="12">#REF!</definedName>
    <definedName name="_PPE5">#REF!</definedName>
    <definedName name="_PPF6" localSheetId="15">#REF!</definedName>
    <definedName name="_PPF6" localSheetId="6">#REF!</definedName>
    <definedName name="_PPF6" localSheetId="9">#REF!</definedName>
    <definedName name="_PPF6" localSheetId="12">#REF!</definedName>
    <definedName name="_PPF6">#REF!</definedName>
    <definedName name="_PT1">[43]PT!$A$3:$G$5</definedName>
    <definedName name="_r" localSheetId="1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6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9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1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8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1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1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7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 localSheetId="15">#REF!</definedName>
    <definedName name="_RES1" localSheetId="6">#REF!</definedName>
    <definedName name="_RES1" localSheetId="9">#REF!</definedName>
    <definedName name="_RES1" localSheetId="12">#REF!</definedName>
    <definedName name="_RES1">#REF!</definedName>
    <definedName name="_RES2" localSheetId="15">#REF!</definedName>
    <definedName name="_RES2" localSheetId="6">#REF!</definedName>
    <definedName name="_RES2" localSheetId="9">#REF!</definedName>
    <definedName name="_RES2" localSheetId="12">#REF!</definedName>
    <definedName name="_RES2">#REF!</definedName>
    <definedName name="_RES3" localSheetId="15">#REF!</definedName>
    <definedName name="_RES3" localSheetId="6">#REF!</definedName>
    <definedName name="_RES3" localSheetId="9">#REF!</definedName>
    <definedName name="_RES3" localSheetId="12">#REF!</definedName>
    <definedName name="_RES3">#REF!</definedName>
    <definedName name="_RES4" localSheetId="15">#REF!</definedName>
    <definedName name="_RES4" localSheetId="6">#REF!</definedName>
    <definedName name="_RES4" localSheetId="9">#REF!</definedName>
    <definedName name="_RES4" localSheetId="12">#REF!</definedName>
    <definedName name="_RES4">#REF!</definedName>
    <definedName name="_REV3" localSheetId="15">[4]DATOS!$A$3:$E$22</definedName>
    <definedName name="_REV3" localSheetId="6">[4]DATOS!$A$3:$E$22</definedName>
    <definedName name="_REV3" localSheetId="9">[4]DATOS!$A$3:$E$22</definedName>
    <definedName name="_REV3" localSheetId="12">[4]DATOS!$A$3:$E$22</definedName>
    <definedName name="_REV3">[6]DATOS!$A$3:$E$22</definedName>
    <definedName name="_RL1">'[11]FORMA-LM3'!$B$1:$L$46</definedName>
    <definedName name="_RP01" hidden="1">#REF!</definedName>
    <definedName name="_Rp12">[25]Hoja1!$G$17</definedName>
    <definedName name="_SE2">'[11]FORMA-SE2'!$M$5</definedName>
    <definedName name="_sec01" localSheetId="15">[18]Datos!$D$26</definedName>
    <definedName name="_sec01" localSheetId="6">[18]Datos!$D$26</definedName>
    <definedName name="_sec01" localSheetId="9">[18]Datos!$D$26</definedName>
    <definedName name="_sec01" localSheetId="12">[18]Datos!$D$26</definedName>
    <definedName name="_sec01" localSheetId="0">[44]Datos!$D$26</definedName>
    <definedName name="_sec01">[25]Hoja1!$D$26</definedName>
    <definedName name="_sec02" localSheetId="15">[18]Datos!$D$27</definedName>
    <definedName name="_sec02" localSheetId="6">[18]Datos!$D$27</definedName>
    <definedName name="_sec02" localSheetId="9">[18]Datos!$D$27</definedName>
    <definedName name="_sec02" localSheetId="12">[18]Datos!$D$27</definedName>
    <definedName name="_sec02" localSheetId="0">[44]Datos!$D$27</definedName>
    <definedName name="_sec02">[25]Hoja1!$D$27</definedName>
    <definedName name="_sec03" localSheetId="15">[18]Datos!$D$28</definedName>
    <definedName name="_sec03" localSheetId="6">[18]Datos!$D$28</definedName>
    <definedName name="_sec03" localSheetId="9">[18]Datos!$D$28</definedName>
    <definedName name="_sec03" localSheetId="12">[18]Datos!$D$28</definedName>
    <definedName name="_sec03" localSheetId="0">[44]Datos!$D$28</definedName>
    <definedName name="_sec03">[25]Hoja1!$D$28</definedName>
    <definedName name="_sec04" localSheetId="15">[18]Datos!$D$29</definedName>
    <definedName name="_sec04" localSheetId="6">[18]Datos!$D$29</definedName>
    <definedName name="_sec04" localSheetId="9">[18]Datos!$D$29</definedName>
    <definedName name="_sec04" localSheetId="12">[18]Datos!$D$29</definedName>
    <definedName name="_sec04" localSheetId="0">[44]Datos!$D$29</definedName>
    <definedName name="_sec04">[25]Hoja1!$D$29</definedName>
    <definedName name="_sec05" localSheetId="15">[18]Datos!$D$30</definedName>
    <definedName name="_sec05" localSheetId="6">[18]Datos!$D$30</definedName>
    <definedName name="_sec05" localSheetId="9">[18]Datos!$D$30</definedName>
    <definedName name="_sec05" localSheetId="12">[18]Datos!$D$30</definedName>
    <definedName name="_sec05" localSheetId="0">[44]Datos!$D$30</definedName>
    <definedName name="_sec05">[25]Hoja1!$D$30</definedName>
    <definedName name="_Sec13">[25]Hoja1!$G$12</definedName>
    <definedName name="_Sec77">[25]Hoja1!$G$8</definedName>
    <definedName name="_SOL1" localSheetId="15">#REF!</definedName>
    <definedName name="_SOL1" localSheetId="6">#REF!</definedName>
    <definedName name="_SOL1" localSheetId="9">#REF!</definedName>
    <definedName name="_SOL1" localSheetId="12">#REF!</definedName>
    <definedName name="_SOL1">#REF!</definedName>
    <definedName name="_SOL2" localSheetId="15">#REF!</definedName>
    <definedName name="_SOL2" localSheetId="6">#REF!</definedName>
    <definedName name="_SOL2" localSheetId="9">#REF!</definedName>
    <definedName name="_SOL2" localSheetId="12">#REF!</definedName>
    <definedName name="_SOL2">#REF!</definedName>
    <definedName name="_SOL3" localSheetId="15">#REF!</definedName>
    <definedName name="_SOL3" localSheetId="6">#REF!</definedName>
    <definedName name="_SOL3" localSheetId="9">#REF!</definedName>
    <definedName name="_SOL3" localSheetId="12">#REF!</definedName>
    <definedName name="_SOL3">#REF!</definedName>
    <definedName name="_SOL4" localSheetId="15">#REF!</definedName>
    <definedName name="_SOL4" localSheetId="6">#REF!</definedName>
    <definedName name="_SOL4" localSheetId="9">#REF!</definedName>
    <definedName name="_SOL4" localSheetId="12">#REF!</definedName>
    <definedName name="_SOL4">#REF!</definedName>
    <definedName name="_Sort" localSheetId="15" hidden="1">#REF!</definedName>
    <definedName name="_Sort" localSheetId="6" hidden="1">#REF!</definedName>
    <definedName name="_Sort" localSheetId="9" hidden="1">#REF!</definedName>
    <definedName name="_Sort" localSheetId="12" hidden="1">#REF!</definedName>
    <definedName name="_Sort" localSheetId="3" hidden="1">#REF!</definedName>
    <definedName name="_Sort" localSheetId="0" hidden="1">#REF!</definedName>
    <definedName name="_Sort" hidden="1">#REF!</definedName>
    <definedName name="_TC2">'[45]F-7c_Compras-Dolar'!$G$31</definedName>
    <definedName name="_TC3">'[45]F-7c_Compras-Dolar'!$H$31</definedName>
    <definedName name="_TC4">'[45]F-7c_Compras-Dolar'!$I$31</definedName>
    <definedName name="_UI1577" localSheetId="15">#REF!</definedName>
    <definedName name="_UI1577" localSheetId="6">#REF!</definedName>
    <definedName name="_UI1577" localSheetId="9">#REF!</definedName>
    <definedName name="_UI1577" localSheetId="12">#REF!</definedName>
    <definedName name="_UI1577">#REF!</definedName>
    <definedName name="_UND2">#REF!</definedName>
    <definedName name="_vu111" localSheetId="15">#REF!</definedName>
    <definedName name="_vu111" localSheetId="6">#REF!</definedName>
    <definedName name="_vu111" localSheetId="9">#REF!</definedName>
    <definedName name="_vu111" localSheetId="12">#REF!</definedName>
    <definedName name="_vu111">#REF!</definedName>
    <definedName name="_X2">'[46]#¡REF'!#REF!</definedName>
    <definedName name="A" localSheetId="15">'[29]#¡REF'!#REF!</definedName>
    <definedName name="A" localSheetId="6">'[29]#¡REF'!#REF!</definedName>
    <definedName name="A" localSheetId="9">'[29]#¡REF'!#REF!</definedName>
    <definedName name="A" localSheetId="12">'[29]#¡REF'!#REF!</definedName>
    <definedName name="A" localSheetId="0">[4]REV3!$A$32</definedName>
    <definedName name="A">#REF!</definedName>
    <definedName name="A_1" localSheetId="15">#REF!</definedName>
    <definedName name="A_1" localSheetId="6">#REF!</definedName>
    <definedName name="A_1" localSheetId="9">#REF!</definedName>
    <definedName name="A_1" localSheetId="12">#REF!</definedName>
    <definedName name="A_1">#REF!</definedName>
    <definedName name="A_1_1">#REF!</definedName>
    <definedName name="A_10" localSheetId="15">#REF!</definedName>
    <definedName name="A_10" localSheetId="6">#REF!</definedName>
    <definedName name="A_10" localSheetId="9">#REF!</definedName>
    <definedName name="A_10" localSheetId="12">#REF!</definedName>
    <definedName name="A_10">#REF!</definedName>
    <definedName name="A_10_1">#REF!</definedName>
    <definedName name="A_11" localSheetId="15">#REF!</definedName>
    <definedName name="A_11" localSheetId="6">#REF!</definedName>
    <definedName name="A_11" localSheetId="9">#REF!</definedName>
    <definedName name="A_11" localSheetId="12">#REF!</definedName>
    <definedName name="A_11">#REF!</definedName>
    <definedName name="A_11_1">#REF!</definedName>
    <definedName name="A_12" localSheetId="15">#REF!</definedName>
    <definedName name="A_12" localSheetId="6">#REF!</definedName>
    <definedName name="A_12" localSheetId="9">#REF!</definedName>
    <definedName name="A_12" localSheetId="12">#REF!</definedName>
    <definedName name="A_12">#REF!</definedName>
    <definedName name="A_12_1">#REF!</definedName>
    <definedName name="A_13" localSheetId="15">#REF!</definedName>
    <definedName name="A_13" localSheetId="6">#REF!</definedName>
    <definedName name="A_13" localSheetId="9">#REF!</definedName>
    <definedName name="A_13" localSheetId="12">#REF!</definedName>
    <definedName name="A_13">#REF!</definedName>
    <definedName name="A_13_1">#REF!</definedName>
    <definedName name="A_14" localSheetId="15">#REF!</definedName>
    <definedName name="A_14" localSheetId="6">#REF!</definedName>
    <definedName name="A_14" localSheetId="9">#REF!</definedName>
    <definedName name="A_14" localSheetId="12">#REF!</definedName>
    <definedName name="A_14">#REF!</definedName>
    <definedName name="A_14_1">#REF!</definedName>
    <definedName name="A_15" localSheetId="15">#REF!</definedName>
    <definedName name="A_15" localSheetId="6">#REF!</definedName>
    <definedName name="A_15" localSheetId="9">#REF!</definedName>
    <definedName name="A_15" localSheetId="12">#REF!</definedName>
    <definedName name="A_15">#REF!</definedName>
    <definedName name="A_15_1">#REF!</definedName>
    <definedName name="A_16" localSheetId="15">#REF!</definedName>
    <definedName name="A_16" localSheetId="6">#REF!</definedName>
    <definedName name="A_16" localSheetId="9">#REF!</definedName>
    <definedName name="A_16" localSheetId="12">#REF!</definedName>
    <definedName name="A_16">#REF!</definedName>
    <definedName name="A_16_1">#REF!</definedName>
    <definedName name="A_17" localSheetId="15">#REF!</definedName>
    <definedName name="A_17" localSheetId="6">#REF!</definedName>
    <definedName name="A_17" localSheetId="9">#REF!</definedName>
    <definedName name="A_17" localSheetId="12">#REF!</definedName>
    <definedName name="A_17">#REF!</definedName>
    <definedName name="A_17_1">#REF!</definedName>
    <definedName name="A_18" localSheetId="15">#REF!</definedName>
    <definedName name="A_18" localSheetId="6">#REF!</definedName>
    <definedName name="A_18" localSheetId="9">#REF!</definedName>
    <definedName name="A_18" localSheetId="12">#REF!</definedName>
    <definedName name="A_18">#REF!</definedName>
    <definedName name="A_18_1">#REF!</definedName>
    <definedName name="A_19" localSheetId="15">#REF!</definedName>
    <definedName name="A_19" localSheetId="6">#REF!</definedName>
    <definedName name="A_19" localSheetId="9">#REF!</definedName>
    <definedName name="A_19" localSheetId="12">#REF!</definedName>
    <definedName name="A_19">#REF!</definedName>
    <definedName name="A_19_1">#REF!</definedName>
    <definedName name="A_2" localSheetId="15">#REF!</definedName>
    <definedName name="A_2" localSheetId="6">#REF!</definedName>
    <definedName name="A_2" localSheetId="9">#REF!</definedName>
    <definedName name="A_2" localSheetId="12">#REF!</definedName>
    <definedName name="A_2">#REF!</definedName>
    <definedName name="A_2_1">#REF!</definedName>
    <definedName name="A_20" localSheetId="15">#REF!</definedName>
    <definedName name="A_20" localSheetId="6">#REF!</definedName>
    <definedName name="A_20" localSheetId="9">#REF!</definedName>
    <definedName name="A_20" localSheetId="12">#REF!</definedName>
    <definedName name="A_20">#REF!</definedName>
    <definedName name="A_20_1">#REF!</definedName>
    <definedName name="A_21" localSheetId="15">#REF!</definedName>
    <definedName name="A_21" localSheetId="6">#REF!</definedName>
    <definedName name="A_21" localSheetId="9">#REF!</definedName>
    <definedName name="A_21" localSheetId="12">#REF!</definedName>
    <definedName name="A_21">#REF!</definedName>
    <definedName name="A_21_1">#REF!</definedName>
    <definedName name="A_22" localSheetId="15">#REF!</definedName>
    <definedName name="A_22" localSheetId="6">#REF!</definedName>
    <definedName name="A_22" localSheetId="9">#REF!</definedName>
    <definedName name="A_22" localSheetId="12">#REF!</definedName>
    <definedName name="A_22">#REF!</definedName>
    <definedName name="A_22_1">#REF!</definedName>
    <definedName name="A_3" localSheetId="15">#REF!</definedName>
    <definedName name="A_3" localSheetId="6">#REF!</definedName>
    <definedName name="A_3" localSheetId="9">#REF!</definedName>
    <definedName name="A_3" localSheetId="12">#REF!</definedName>
    <definedName name="A_3">#REF!</definedName>
    <definedName name="A_3_1">#REF!</definedName>
    <definedName name="A_4" localSheetId="15">#REF!</definedName>
    <definedName name="A_4" localSheetId="6">#REF!</definedName>
    <definedName name="A_4" localSheetId="9">#REF!</definedName>
    <definedName name="A_4" localSheetId="12">#REF!</definedName>
    <definedName name="A_4">#REF!</definedName>
    <definedName name="A_4_1">#REF!</definedName>
    <definedName name="A_5" localSheetId="15">#REF!</definedName>
    <definedName name="A_5" localSheetId="6">#REF!</definedName>
    <definedName name="A_5" localSheetId="9">#REF!</definedName>
    <definedName name="A_5" localSheetId="12">#REF!</definedName>
    <definedName name="A_5">#REF!</definedName>
    <definedName name="A_5_1">#REF!</definedName>
    <definedName name="A_6" localSheetId="15">#REF!</definedName>
    <definedName name="A_6" localSheetId="6">#REF!</definedName>
    <definedName name="A_6" localSheetId="9">#REF!</definedName>
    <definedName name="A_6" localSheetId="12">#REF!</definedName>
    <definedName name="A_6">#REF!</definedName>
    <definedName name="A_6_1">#REF!</definedName>
    <definedName name="A_7" localSheetId="15">#REF!</definedName>
    <definedName name="A_7" localSheetId="6">#REF!</definedName>
    <definedName name="A_7" localSheetId="9">#REF!</definedName>
    <definedName name="A_7" localSheetId="12">#REF!</definedName>
    <definedName name="A_7">#REF!</definedName>
    <definedName name="A_7_1">#REF!</definedName>
    <definedName name="A_8" localSheetId="15">#REF!</definedName>
    <definedName name="A_8" localSheetId="6">#REF!</definedName>
    <definedName name="A_8" localSheetId="9">#REF!</definedName>
    <definedName name="A_8" localSheetId="12">#REF!</definedName>
    <definedName name="A_8">#REF!</definedName>
    <definedName name="A_8_1">#REF!</definedName>
    <definedName name="A_9" localSheetId="15">#REF!</definedName>
    <definedName name="A_9" localSheetId="6">#REF!</definedName>
    <definedName name="A_9" localSheetId="9">#REF!</definedName>
    <definedName name="A_9" localSheetId="12">#REF!</definedName>
    <definedName name="A_9">#REF!</definedName>
    <definedName name="A_9_1">#REF!</definedName>
    <definedName name="A_IMPRESI_N_IM" localSheetId="15">#REF!</definedName>
    <definedName name="A_IMPRESI_N_IM" localSheetId="6">#REF!</definedName>
    <definedName name="A_IMPRESI_N_IM" localSheetId="9">#REF!</definedName>
    <definedName name="A_IMPRESI_N_IM" localSheetId="12">#REF!</definedName>
    <definedName name="A_IMPRESI_N_IM">#REF!</definedName>
    <definedName name="A_IMPRESI_N_IM_1">#REF!</definedName>
    <definedName name="A_IMPRESI_N_IM_12" localSheetId="15">#REF!</definedName>
    <definedName name="A_IMPRESI_N_IM_12" localSheetId="6">#REF!</definedName>
    <definedName name="A_IMPRESI_N_IM_12" localSheetId="9">#REF!</definedName>
    <definedName name="A_IMPRESI_N_IM_12" localSheetId="12">#REF!</definedName>
    <definedName name="A_IMPRESI_N_IM_12">#REF!</definedName>
    <definedName name="A_IMPRESI_N_IM_20" localSheetId="15">#REF!</definedName>
    <definedName name="A_IMPRESI_N_IM_20" localSheetId="6">#REF!</definedName>
    <definedName name="A_IMPRESI_N_IM_20" localSheetId="9">#REF!</definedName>
    <definedName name="A_IMPRESI_N_IM_20" localSheetId="12">#REF!</definedName>
    <definedName name="A_IMPRESI_N_IM_20">#REF!</definedName>
    <definedName name="A_IMPRESI_N_IM_21" localSheetId="15">#REF!</definedName>
    <definedName name="A_IMPRESI_N_IM_21" localSheetId="6">#REF!</definedName>
    <definedName name="A_IMPRESI_N_IM_21" localSheetId="9">#REF!</definedName>
    <definedName name="A_IMPRESI_N_IM_21" localSheetId="12">#REF!</definedName>
    <definedName name="A_IMPRESI_N_IM_21">#REF!</definedName>
    <definedName name="A_IMPRESION_IM">#REF!</definedName>
    <definedName name="A_impresión_IM" localSheetId="15">#REF!</definedName>
    <definedName name="A_impresión_IM" localSheetId="6">#REF!</definedName>
    <definedName name="A_impresión_IM" localSheetId="9">#REF!</definedName>
    <definedName name="A_impresión_IM" localSheetId="12">#REF!</definedName>
    <definedName name="A_impresión_IM">#REF!</definedName>
    <definedName name="A_impresión_IM_12" localSheetId="15">#REF!</definedName>
    <definedName name="A_impresión_IM_12" localSheetId="6">#REF!</definedName>
    <definedName name="A_impresión_IM_12" localSheetId="9">#REF!</definedName>
    <definedName name="A_impresión_IM_12" localSheetId="12">#REF!</definedName>
    <definedName name="A_impresión_IM_12">#REF!</definedName>
    <definedName name="A_impresión_IM_20" localSheetId="15">#REF!</definedName>
    <definedName name="A_impresión_IM_20" localSheetId="6">#REF!</definedName>
    <definedName name="A_impresión_IM_20" localSheetId="9">#REF!</definedName>
    <definedName name="A_impresión_IM_20" localSheetId="12">#REF!</definedName>
    <definedName name="A_impresión_IM_20">#REF!</definedName>
    <definedName name="A_impresión_IM_21" localSheetId="15">#REF!</definedName>
    <definedName name="A_impresión_IM_21" localSheetId="6">#REF!</definedName>
    <definedName name="A_impresión_IM_21" localSheetId="9">#REF!</definedName>
    <definedName name="A_impresión_IM_21" localSheetId="12">#REF!</definedName>
    <definedName name="A_impresión_IM_21">#REF!</definedName>
    <definedName name="A2X4.4.20">'[47]ANALISIS  COSTOS UNIT.'!#REF!</definedName>
    <definedName name="A2X6.6.20">'[47]ANALISIS  COSTOS UNIT.'!#REF!</definedName>
    <definedName name="A3X10.10.25">'[47]ANALISIS  COSTOS UNIT.'!#REF!</definedName>
    <definedName name="A3X120.25.80">'[47]ANALISIS  COSTOS UNIT.'!#REF!</definedName>
    <definedName name="A3X150.25.80">'[47]ANALISIS  COSTOS UNIT.'!#REF!</definedName>
    <definedName name="A3X16.10.40">'[47]ANALISIS  COSTOS UNIT.'!#REF!</definedName>
    <definedName name="A3X185.25.100">'[47]ANALISIS  COSTOS UNIT.'!#REF!</definedName>
    <definedName name="A3X240.35.100">'[47]ANALISIS  COSTOS UNIT.'!#REF!</definedName>
    <definedName name="A3X25.10.40">'[47]ANALISIS  COSTOS UNIT.'!#REF!</definedName>
    <definedName name="A3X35.10.50">'[47]ANALISIS  COSTOS UNIT.'!#REF!</definedName>
    <definedName name="A3X4.4.20">'[47]ANALISIS  COSTOS UNIT.'!#REF!</definedName>
    <definedName name="A3X50.16.50">'[47]ANALISIS  COSTOS UNIT.'!#REF!</definedName>
    <definedName name="A3X6.6.20">'[47]ANALISIS  COSTOS UNIT.'!#REF!</definedName>
    <definedName name="A3X70.16.65">'[47]ANALISIS  COSTOS UNIT.'!#REF!</definedName>
    <definedName name="A3X95.16.65">'[47]ANALISIS  COSTOS UNIT.'!#REF!</definedName>
    <definedName name="À8" localSheetId="15">#REF!</definedName>
    <definedName name="À8" localSheetId="6">#REF!</definedName>
    <definedName name="À8" localSheetId="9">#REF!</definedName>
    <definedName name="À8" localSheetId="12">#REF!</definedName>
    <definedName name="À8">#REF!</definedName>
    <definedName name="aA" localSheetId="15">#REF!</definedName>
    <definedName name="aA" localSheetId="6">#REF!</definedName>
    <definedName name="aA" localSheetId="9">#REF!</definedName>
    <definedName name="aA" localSheetId="12">#REF!</definedName>
    <definedName name="aA">#REF!</definedName>
    <definedName name="aA_1">#REF!</definedName>
    <definedName name="aA_7">#REF!</definedName>
    <definedName name="aAA" localSheetId="15">#REF!</definedName>
    <definedName name="aAA" localSheetId="6">#REF!</definedName>
    <definedName name="aAA" localSheetId="9">#REF!</definedName>
    <definedName name="aAA" localSheetId="12">#REF!</definedName>
    <definedName name="AAA" localSheetId="0">#REF!</definedName>
    <definedName name="aAA">#REF!</definedName>
    <definedName name="aAA_1">#REF!</definedName>
    <definedName name="aAA_7">#REF!</definedName>
    <definedName name="AAAA">'[48]#¡REF'!#REF!</definedName>
    <definedName name="aaaaa">'[48]#¡REF'!#REF!</definedName>
    <definedName name="AAAAAAAA">#REF!</definedName>
    <definedName name="AAS">'[49]#¡REF'!#REF!</definedName>
    <definedName name="aB" localSheetId="15">#REF!</definedName>
    <definedName name="aB" localSheetId="6">#REF!</definedName>
    <definedName name="aB" localSheetId="9">#REF!</definedName>
    <definedName name="aB" localSheetId="12">#REF!</definedName>
    <definedName name="aB">#REF!</definedName>
    <definedName name="aB_1">#REF!</definedName>
    <definedName name="aB_7">#REF!</definedName>
    <definedName name="ABC" localSheetId="15">'[50]#¡REF'!#REF!</definedName>
    <definedName name="ABC" localSheetId="6">'[50]#¡REF'!#REF!</definedName>
    <definedName name="ABC" localSheetId="9">'[50]#¡REF'!#REF!</definedName>
    <definedName name="ABC" localSheetId="12">'[50]#¡REF'!#REF!</definedName>
    <definedName name="ABC" localSheetId="0">'[51]#¡REF'!#REF!</definedName>
    <definedName name="ABC">'[52]#¡REF'!#REF!</definedName>
    <definedName name="ABC_1">'[53]#¡REF'!#REF!</definedName>
    <definedName name="ABCD">'[54]#¡REF'!#REF!</definedName>
    <definedName name="ABONADO" localSheetId="15">#REF!</definedName>
    <definedName name="ABONADO" localSheetId="6">#REF!</definedName>
    <definedName name="ABONADO" localSheetId="9">#REF!</definedName>
    <definedName name="ABONADO" localSheetId="12">#REF!</definedName>
    <definedName name="ABONADO">#REF!</definedName>
    <definedName name="Abonados">#REF!</definedName>
    <definedName name="aC" localSheetId="15">#REF!</definedName>
    <definedName name="aC" localSheetId="6">#REF!</definedName>
    <definedName name="aC" localSheetId="9">#REF!</definedName>
    <definedName name="aC" localSheetId="12">#REF!</definedName>
    <definedName name="aC">#REF!</definedName>
    <definedName name="aC_1">#REF!</definedName>
    <definedName name="aC_7">#REF!</definedName>
    <definedName name="ACCESO">#REF!</definedName>
    <definedName name="ACE">[1]A!$D$38</definedName>
    <definedName name="ACERO">[1]A!$D$70:$D$71</definedName>
    <definedName name="ACOM">#REF!</definedName>
    <definedName name="ACOM_CC" localSheetId="15">#REF!</definedName>
    <definedName name="ACOM_CC" localSheetId="6">#REF!</definedName>
    <definedName name="ACOM_CC" localSheetId="9">#REF!</definedName>
    <definedName name="ACOM_CC" localSheetId="12">#REF!</definedName>
    <definedName name="ACOM_CC">#REF!</definedName>
    <definedName name="Acom_L">[55]DATOS!$D$7</definedName>
    <definedName name="ACOM_MONO">#REF!</definedName>
    <definedName name="Acom_S">[55]DATOS!$D$6</definedName>
    <definedName name="ACOM_SC" localSheetId="15">#REF!</definedName>
    <definedName name="ACOM_SC" localSheetId="6">#REF!</definedName>
    <definedName name="ACOM_SC" localSheetId="9">#REF!</definedName>
    <definedName name="ACOM_SC" localSheetId="12">#REF!</definedName>
    <definedName name="ACOM_SC">#REF!</definedName>
    <definedName name="ACOM_TRIFA">#REF!</definedName>
    <definedName name="ACOM_XL">[55]DATOS!$D$8</definedName>
    <definedName name="ACOMETIDA" localSheetId="15">#REF!</definedName>
    <definedName name="ACOMETIDA" localSheetId="6">#REF!</definedName>
    <definedName name="ACOMETIDA" localSheetId="9">#REF!</definedName>
    <definedName name="ACOMETIDA" localSheetId="12">#REF!</definedName>
    <definedName name="ACOMETIDA">#REF!</definedName>
    <definedName name="ACUM_P1" localSheetId="15">#REF!</definedName>
    <definedName name="ACUM_P1" localSheetId="6">#REF!</definedName>
    <definedName name="ACUM_P1" localSheetId="9">#REF!</definedName>
    <definedName name="ACUM_P1" localSheetId="12">#REF!</definedName>
    <definedName name="ACUM_P1">#REF!</definedName>
    <definedName name="aD" localSheetId="15">#REF!</definedName>
    <definedName name="aD" localSheetId="6">#REF!</definedName>
    <definedName name="aD" localSheetId="9">#REF!</definedName>
    <definedName name="aD" localSheetId="12">#REF!</definedName>
    <definedName name="aD">#REF!</definedName>
    <definedName name="aD_1">#REF!</definedName>
    <definedName name="aD_7">#REF!</definedName>
    <definedName name="ad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[56]valores!$B$2</definedName>
    <definedName name="adler">'[32]#¡REF'!#REF!</definedName>
    <definedName name="ADSE">'[32]#¡REF'!#REF!</definedName>
    <definedName name="ADV" localSheetId="15">'[2]#¡REF'!#REF!</definedName>
    <definedName name="ADV" localSheetId="9">'[57]#¡REF'!#REF!</definedName>
    <definedName name="ADV" localSheetId="12">'[2]#¡REF'!#REF!</definedName>
    <definedName name="ADV" localSheetId="0">'[58]#¡REF'!#REF!</definedName>
    <definedName name="ADV">'[2]#¡REF'!#REF!</definedName>
    <definedName name="ADV_1">'[2]#¡REF'!#REF!</definedName>
    <definedName name="ADV_13">'[57]#¡REF'!#REF!</definedName>
    <definedName name="Advertir">[59]Proyecto!#REF!</definedName>
    <definedName name="Advertir_PostesMadera_CrucetaCAV">#REF!</definedName>
    <definedName name="Advertir_Torres_Postes">#REF!</definedName>
    <definedName name="AEFecha" localSheetId="15">[18]Datos!$D$32</definedName>
    <definedName name="AEFecha" localSheetId="6">[18]Datos!$D$32</definedName>
    <definedName name="AEFecha" localSheetId="9">[18]Datos!$D$32</definedName>
    <definedName name="AEFecha" localSheetId="12">[18]Datos!$D$32</definedName>
    <definedName name="AEFecha" localSheetId="0">[44]Datos!$D$32</definedName>
    <definedName name="AEFecha">[25]Hoja1!$D$32</definedName>
    <definedName name="afdsad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[60]Datos_Proyectos!#REF!</definedName>
    <definedName name="Aislador_Anclaje">[60]Datos_Proyectos!#REF!</definedName>
    <definedName name="AisladorAlineamiento" localSheetId="15">'[61]DATOS DE CAMPO'!#REF!</definedName>
    <definedName name="AisladorAlineamiento" localSheetId="6">'[61]DATOS DE CAMPO'!#REF!</definedName>
    <definedName name="AisladorAlineamiento" localSheetId="9">'[61]DATOS DE CAMPO'!#REF!</definedName>
    <definedName name="AisladorAlineamiento" localSheetId="12">'[61]DATOS DE CAMPO'!#REF!</definedName>
    <definedName name="AisladorAlineamiento">'[62]DATOS DE CAMPO'!#REF!</definedName>
    <definedName name="AisladorAnclaje" localSheetId="15">'[61]DATOS DE CAMPO'!#REF!</definedName>
    <definedName name="AisladorAnclaje" localSheetId="6">'[61]DATOS DE CAMPO'!#REF!</definedName>
    <definedName name="AisladorAnclaje" localSheetId="9">'[61]DATOS DE CAMPO'!#REF!</definedName>
    <definedName name="AisladorAnclaje" localSheetId="12">'[61]DATOS DE CAMPO'!#REF!</definedName>
    <definedName name="AisladorAnclaje">'[62]DATOS DE CAMPO'!#REF!</definedName>
    <definedName name="AisladorSuspensión">#REF!</definedName>
    <definedName name="AISLAMIENTO">#REF!</definedName>
    <definedName name="Aistente.com">#REF!</definedName>
    <definedName name="ALARGADOR">#REF!</definedName>
    <definedName name="Alargam_LP">[59]Proyecto!#REF!</definedName>
    <definedName name="Alargam_RP">[59]Proyecto!#REF!</definedName>
    <definedName name="Alargam_RS">[59]Proyecto!#REF!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 localSheetId="15">[4]REV3!$D$8</definedName>
    <definedName name="ALFA" localSheetId="6">[4]REV3!$D$8</definedName>
    <definedName name="ALFA" localSheetId="9">[4]REV3!$D$8</definedName>
    <definedName name="ALFA" localSheetId="12">[4]REV3!$D$8</definedName>
    <definedName name="ALFA">[6]REV3!$D$8</definedName>
    <definedName name="ALUMBPUBLICO">'[63]BASE-RS'!$EZ$38:$FI$465</definedName>
    <definedName name="ALUMBRADO" localSheetId="15">#REF!</definedName>
    <definedName name="ALUMBRADO" localSheetId="6">#REF!</definedName>
    <definedName name="ALUMBRADO" localSheetId="9">#REF!</definedName>
    <definedName name="ALUMBRADO" localSheetId="12">#REF!</definedName>
    <definedName name="ALUMBRADO">#REF!</definedName>
    <definedName name="AMARRE" localSheetId="15">[64]HAMAR!$C$2:$F$36</definedName>
    <definedName name="AMARRE" localSheetId="6">[64]HAMAR!$C$2:$F$36</definedName>
    <definedName name="AMARRE" localSheetId="9">[64]HAMAR!$C$2:$F$36</definedName>
    <definedName name="AMARRE" localSheetId="12">[64]HAMAR!$C$2:$F$36</definedName>
    <definedName name="AMARRE">[65]HAMAR!$C$2:$F$36</definedName>
    <definedName name="AMFecha" localSheetId="15">[18]Datos!$D$33</definedName>
    <definedName name="AMFecha" localSheetId="6">[18]Datos!$D$33</definedName>
    <definedName name="AMFecha" localSheetId="9">[18]Datos!$D$33</definedName>
    <definedName name="AMFecha" localSheetId="12">[18]Datos!$D$33</definedName>
    <definedName name="AMFecha" localSheetId="0">[44]Datos!$D$33</definedName>
    <definedName name="AMFecha">[25]Hoja1!$D$33</definedName>
    <definedName name="an" localSheetId="15">#REF!</definedName>
    <definedName name="an" localSheetId="6">#REF!</definedName>
    <definedName name="an" localSheetId="9">#REF!</definedName>
    <definedName name="an" localSheetId="12">#REF!</definedName>
    <definedName name="an">#REF!</definedName>
    <definedName name="ana">'[11]FORMA-(SE1)'!$A$301:$S$357</definedName>
    <definedName name="ANGELES" localSheetId="15">[64]POLILINEA!$E$378:$M$389</definedName>
    <definedName name="ANGELES" localSheetId="6">[64]POLILINEA!$E$378:$M$389</definedName>
    <definedName name="ANGELES" localSheetId="9">[64]POLILINEA!$E$378:$M$389</definedName>
    <definedName name="ANGELES" localSheetId="12">[64]POLILINEA!$E$378:$M$389</definedName>
    <definedName name="ANGELES">[65]POLILINEA!$E$378:$M$389</definedName>
    <definedName name="ANIBAL" localSheetId="15">'[66]#¡REF'!#REF!</definedName>
    <definedName name="ANIBAL" localSheetId="6">'[66]#¡REF'!#REF!</definedName>
    <definedName name="ANIBAL" localSheetId="9">'[66]#¡REF'!#REF!</definedName>
    <definedName name="ANIBAL" localSheetId="12">'[66]#¡REF'!#REF!</definedName>
    <definedName name="ANIBAL">'[67]#¡REF'!#REF!</definedName>
    <definedName name="año" localSheetId="15">#REF!</definedName>
    <definedName name="año" localSheetId="6">#REF!</definedName>
    <definedName name="año" localSheetId="9">#REF!</definedName>
    <definedName name="año" localSheetId="12">#REF!</definedName>
    <definedName name="año">#REF!</definedName>
    <definedName name="añoval">[25]Hoja1!$D$5</definedName>
    <definedName name="APRIN">[55]DATOS!$R$52:$V$74</definedName>
    <definedName name="aprovisaad">#REF!</definedName>
    <definedName name="aprovisarp">#REF!</definedName>
    <definedName name="aprovisars">#REF!</definedName>
    <definedName name="apu_0201" localSheetId="15">#REF!</definedName>
    <definedName name="apu_0201" localSheetId="6">#REF!</definedName>
    <definedName name="apu_0201" localSheetId="9">#REF!</definedName>
    <definedName name="apu_0201" localSheetId="12">#REF!</definedName>
    <definedName name="apu_0201">#REF!</definedName>
    <definedName name="apu_0202" localSheetId="15">#REF!</definedName>
    <definedName name="apu_0202" localSheetId="6">#REF!</definedName>
    <definedName name="apu_0202" localSheetId="9">#REF!</definedName>
    <definedName name="apu_0202" localSheetId="12">#REF!</definedName>
    <definedName name="apu_0202">#REF!</definedName>
    <definedName name="ARA">'[11]FORMA-SE2'!$A$18:$L$18</definedName>
    <definedName name="araislador">#REF!</definedName>
    <definedName name="ARANCEL">[68]Impuestos!$B$17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[69]impuesTos!$H$24</definedName>
    <definedName name="Arancel.ferreteria">#REF!</definedName>
    <definedName name="Arancel.PAT">#REF!</definedName>
    <definedName name="Arancel.postes">#REF!</definedName>
    <definedName name="Arancel.Torres">[70]Impuestos!$H$18</definedName>
    <definedName name="arconductor">#REF!</definedName>
    <definedName name="area">[71]DATOS!$T$33:$V$35</definedName>
    <definedName name="_xlnm.Extract" localSheetId="15">#REF!</definedName>
    <definedName name="_xlnm.Extract" localSheetId="6">#REF!</definedName>
    <definedName name="_xlnm.Extract" localSheetId="9">#REF!</definedName>
    <definedName name="_xlnm.Extract" localSheetId="12">#REF!</definedName>
    <definedName name="_xlnm.Extract" localSheetId="0">#REF!</definedName>
    <definedName name="_xlnm.Extract">#REF!</definedName>
    <definedName name="_xlnm.Print_Area" localSheetId="15">'FP  SFVS'!$A$1:$J$35</definedName>
    <definedName name="_xlnm.Print_Area" localSheetId="6">'FP LP'!$A$1:$J$39</definedName>
    <definedName name="_xlnm.Print_Area" localSheetId="9">'FP RP'!$A$1:$J$41</definedName>
    <definedName name="_xlnm.Print_Area" localSheetId="12">'FP RS'!$A$1:$K$38</definedName>
    <definedName name="_xlnm.Print_Area" localSheetId="3">'GG Contr.'!$B$1:$J$195</definedName>
    <definedName name="_xlnm.Print_Area" localSheetId="5">'Mtdo-Ppto LP'!$B$3:$V$446</definedName>
    <definedName name="_xlnm.Print_Area" localSheetId="8">'Mtdo-Ppto RP'!$B$3:$U$356</definedName>
    <definedName name="_xlnm.Print_Area" localSheetId="11">'Mtdo-Ppto RS'!$B$3:$V$352</definedName>
    <definedName name="_xlnm.Print_Area" localSheetId="14">'Mtdo-Ppto SFV'!$B$3:$V$270</definedName>
    <definedName name="_xlnm.Print_Area" localSheetId="13">'RES- SFV'!$B$2:$L$20</definedName>
    <definedName name="_xlnm.Print_Area" localSheetId="1">'RES-GRAL OBRA'!$B$2:$L$20</definedName>
    <definedName name="_xlnm.Print_Area" localSheetId="4">'RES-LP'!$B$2:$L$20</definedName>
    <definedName name="_xlnm.Print_Area" localSheetId="7">'RES-RP'!$B$2:$L$20</definedName>
    <definedName name="_xlnm.Print_Area" localSheetId="10">'RES-RS'!$B$2:$L$20</definedName>
    <definedName name="_xlnm.Print_Area" localSheetId="0">'RESUMEN TOTAL'!$B$1:$J$19</definedName>
    <definedName name="_xlnm.Print_Area" localSheetId="2">RG!$B$2:$N$23</definedName>
    <definedName name="_xlnm.Print_Area">#REF!</definedName>
    <definedName name="ARENA">[1]A!$D$55:$D$56</definedName>
    <definedName name="Armado" localSheetId="15">#REF!</definedName>
    <definedName name="Armado" localSheetId="6">#REF!</definedName>
    <definedName name="Armado" localSheetId="9">#REF!</definedName>
    <definedName name="Armado" localSheetId="12">#REF!</definedName>
    <definedName name="Armado">#REF!</definedName>
    <definedName name="ARMADO_12P" localSheetId="15">#REF!</definedName>
    <definedName name="ARMADO_12P" localSheetId="6">#REF!</definedName>
    <definedName name="ARMADO_12P" localSheetId="9">#REF!</definedName>
    <definedName name="ARMADO_12P" localSheetId="12">#REF!</definedName>
    <definedName name="ARMADO_12P">#REF!</definedName>
    <definedName name="ARMADO_8E" localSheetId="15">#REF!</definedName>
    <definedName name="ARMADO_8E" localSheetId="6">#REF!</definedName>
    <definedName name="ARMADO_8E" localSheetId="9">#REF!</definedName>
    <definedName name="ARMADO_8E" localSheetId="12">#REF!</definedName>
    <definedName name="ARMADO_8E">#REF!</definedName>
    <definedName name="Armado_C1">#REF!</definedName>
    <definedName name="Armado_C2">#REF!</definedName>
    <definedName name="Armado_C5">#REF!</definedName>
    <definedName name="ARMADOS" localSheetId="15">#REF!</definedName>
    <definedName name="ARMADOS" localSheetId="6">#REF!</definedName>
    <definedName name="ARMADOS" localSheetId="9">#REF!</definedName>
    <definedName name="ARMADOS" localSheetId="12">#REF!</definedName>
    <definedName name="ARMADOS">#REF!</definedName>
    <definedName name="ARMADOS_1">#REF!</definedName>
    <definedName name="ARMADOS_LP" localSheetId="14">#REF!</definedName>
    <definedName name="ARMADOS_LP" localSheetId="13">#REF!</definedName>
    <definedName name="ARMADOS_LP">#REF!</definedName>
    <definedName name="ARMADOS_RP" localSheetId="14">#REF!</definedName>
    <definedName name="ARMADOS_RP" localSheetId="13">#REF!</definedName>
    <definedName name="ARMADOS_RP">#REF!</definedName>
    <definedName name="ARMADOS_RS" localSheetId="14">#REF!</definedName>
    <definedName name="ARMADOS_RS" localSheetId="13">#REF!</definedName>
    <definedName name="ARMADOS_RS">#REF!</definedName>
    <definedName name="ARMADOSLP">#REF!</definedName>
    <definedName name="ARMADOSRP">#REF!</definedName>
    <definedName name="ARMADOSRS">'[63]BASE-RS'!$H$38:$CI$465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>#REF!</definedName>
    <definedName name="ASAS" localSheetId="15">#REF!</definedName>
    <definedName name="ASAS" localSheetId="6">#REF!</definedName>
    <definedName name="ASAS" localSheetId="9">#REF!</definedName>
    <definedName name="ASAS" localSheetId="12">#REF!</definedName>
    <definedName name="ASAS">#REF!</definedName>
    <definedName name="ASAS_7">#REF!</definedName>
    <definedName name="asasawq">'[72]#¡REF'!#REF!</definedName>
    <definedName name="asd">'[48]#¡REF'!#REF!</definedName>
    <definedName name="asd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[22]Pme!$A$1:$R$35</definedName>
    <definedName name="asdf" localSheetId="15">#REF!</definedName>
    <definedName name="asdf" localSheetId="6">#REF!</definedName>
    <definedName name="asdf" localSheetId="9">#REF!</definedName>
    <definedName name="asdf" localSheetId="12">#REF!</definedName>
    <definedName name="asdf">#REF!</definedName>
    <definedName name="asdfasd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'[58]#¡REF'!#REF!</definedName>
    <definedName name="asdsd">'[2]#¡REF'!#REF!</definedName>
    <definedName name="Asistente.ing">#REF!</definedName>
    <definedName name="ASS">'[46]#¡REF'!#REF!</definedName>
    <definedName name="ASXA">[22]Pme!$A$1:$K$66</definedName>
    <definedName name="auc">'[48]#¡REF'!#REF!</definedName>
    <definedName name="avance2">[73]BASE!$A$1:$B$32000</definedName>
    <definedName name="awajun">'[74]ELOR-04'!$B$2373</definedName>
    <definedName name="b" localSheetId="15">'[29]#¡REF'!#REF!</definedName>
    <definedName name="b" localSheetId="6">'[29]#¡REF'!#REF!</definedName>
    <definedName name="b" localSheetId="9">'[29]#¡REF'!#REF!</definedName>
    <definedName name="b" localSheetId="12">'[29]#¡REF'!#REF!</definedName>
    <definedName name="b">'[75]#¡REF'!#REF!</definedName>
    <definedName name="b_1">'[3]#¡REF'!#REF!</definedName>
    <definedName name="BAG">#REF!</definedName>
    <definedName name="base">'[76]#¡REF'!#REF!</definedName>
    <definedName name="BASE_ARM">[77]_!$A$4:$AP$63</definedName>
    <definedName name="BASE_ARMADOS">'[78]Base Armados'!$A$3:$M$11</definedName>
    <definedName name="BASE_COSTOS">[77]_!$AT$70:$AW$138</definedName>
    <definedName name="BASE_CU">'[77]C. U.'!$A$1:$H$65536</definedName>
    <definedName name="Base_datos_IM">#REF!</definedName>
    <definedName name="BASE_MH">'[79]BD-PU'!$B$12:$D$107</definedName>
    <definedName name="BASE1" localSheetId="15">[80]POBLACION!$E$6:$AJ$194</definedName>
    <definedName name="BASE1" localSheetId="6">[80]POBLACION!$E$6:$AJ$194</definedName>
    <definedName name="BASE1" localSheetId="9">[80]POBLACION!$E$6:$AJ$194</definedName>
    <definedName name="BASE1" localSheetId="12">[80]POBLACION!$E$6:$AJ$194</definedName>
    <definedName name="BASE1">[81]POBLACION!$E$6:$AJ$194</definedName>
    <definedName name="_xlnm.Database" localSheetId="15">#REF!</definedName>
    <definedName name="_xlnm.Database" localSheetId="6">#REF!</definedName>
    <definedName name="_xlnm.Database" localSheetId="9">#REF!</definedName>
    <definedName name="_xlnm.Database" localSheetId="12">#REF!</definedName>
    <definedName name="_xlnm.Database" localSheetId="0">#REF!</definedName>
    <definedName name="_xlnm.Database">#REF!</definedName>
    <definedName name="BASRP">#REF!</definedName>
    <definedName name="BB" localSheetId="15">#REF!</definedName>
    <definedName name="BB" localSheetId="6">#REF!</definedName>
    <definedName name="BB" localSheetId="9">#REF!</definedName>
    <definedName name="BB" localSheetId="12">#REF!</definedName>
    <definedName name="bb" localSheetId="5" hidden="1">{"vista 1",#N/A,FALSE,"CMP";"vista 2",#N/A,FALSE,"CMP"}</definedName>
    <definedName name="bb" localSheetId="8" hidden="1">{"vista 1",#N/A,FALSE,"CMP";"vista 2",#N/A,FALSE,"CMP"}</definedName>
    <definedName name="bb" localSheetId="14" hidden="1">{"vista 1",#N/A,FALSE,"CMP";"vista 2",#N/A,FALSE,"CMP"}</definedName>
    <definedName name="bb" localSheetId="13" hidden="1">{"vista 1",#N/A,FALSE,"CMP";"vista 2",#N/A,FALSE,"CMP"}</definedName>
    <definedName name="bb" localSheetId="4" hidden="1">{"vista 1",#N/A,FALSE,"CMP";"vista 2",#N/A,FALSE,"CMP"}</definedName>
    <definedName name="bb" localSheetId="7" hidden="1">{"vista 1",#N/A,FALSE,"CMP";"vista 2",#N/A,FALSE,"CMP"}</definedName>
    <definedName name="BB" localSheetId="0">#REF!</definedName>
    <definedName name="bb" hidden="1">{"vista 1",#N/A,FALSE,"CMP";"vista 2",#N/A,FALSE,"CMP"}</definedName>
    <definedName name="BB_12" localSheetId="15">[82]Base!#REF!</definedName>
    <definedName name="BB_12" localSheetId="6">[82]Base!#REF!</definedName>
    <definedName name="BB_12" localSheetId="9">[82]Base!#REF!</definedName>
    <definedName name="BB_12" localSheetId="12">[82]Base!#REF!</definedName>
    <definedName name="BB_12">[82]Base!#REF!</definedName>
    <definedName name="BB_2" localSheetId="15">#REF!</definedName>
    <definedName name="BB_2" localSheetId="6">#REF!</definedName>
    <definedName name="BB_2" localSheetId="9">#REF!</definedName>
    <definedName name="BB_2" localSheetId="12">#REF!</definedName>
    <definedName name="BB_2">#REF!</definedName>
    <definedName name="BB_20" localSheetId="15">#REF!</definedName>
    <definedName name="BB_20" localSheetId="6">#REF!</definedName>
    <definedName name="BB_20" localSheetId="9">#REF!</definedName>
    <definedName name="BB_20" localSheetId="12">#REF!</definedName>
    <definedName name="BB_20">#REF!</definedName>
    <definedName name="BB_21" localSheetId="15">[82]Base!#REF!</definedName>
    <definedName name="BB_21" localSheetId="6">[82]Base!#REF!</definedName>
    <definedName name="BB_21" localSheetId="9">[82]Base!#REF!</definedName>
    <definedName name="BB_21" localSheetId="12">[82]Base!#REF!</definedName>
    <definedName name="BB_21">[82]Base!#REF!</definedName>
    <definedName name="BB_25" localSheetId="15">[83]ENTR_F!#REF!</definedName>
    <definedName name="BB_25" localSheetId="6">[83]ENTR_F!#REF!</definedName>
    <definedName name="BB_25" localSheetId="9">[83]ENTR_F!#REF!</definedName>
    <definedName name="BB_25" localSheetId="12">[83]ENTR_F!#REF!</definedName>
    <definedName name="BB_25">[84]ENTR_F!#REF!</definedName>
    <definedName name="BB_3" localSheetId="15">#REF!</definedName>
    <definedName name="BB_3" localSheetId="6">#REF!</definedName>
    <definedName name="BB_3" localSheetId="9">#REF!</definedName>
    <definedName name="BB_3" localSheetId="12">#REF!</definedName>
    <definedName name="BB_3">#REF!</definedName>
    <definedName name="BB_4" localSheetId="15">'[85]Identificación Cargas _Anexo 4_'!#REF!</definedName>
    <definedName name="BB_4" localSheetId="6">'[85]Identificación Cargas _Anexo 4_'!#REF!</definedName>
    <definedName name="BB_4" localSheetId="9">'[85]Identificación Cargas _Anexo 4_'!#REF!</definedName>
    <definedName name="BB_4" localSheetId="12">'[85]Identificación Cargas _Anexo 4_'!#REF!</definedName>
    <definedName name="BB_4">'[85]Identificación Cargas _Anexo 4_'!#REF!</definedName>
    <definedName name="BB_7" localSheetId="15">'[83]3_1'!#REF!</definedName>
    <definedName name="BB_7" localSheetId="6">'[83]3_1'!#REF!</definedName>
    <definedName name="BB_7" localSheetId="9">'[83]3_1'!#REF!</definedName>
    <definedName name="BB_7" localSheetId="12">'[83]3_1'!#REF!</definedName>
    <definedName name="BB_7">'[84]3_1'!#REF!</definedName>
    <definedName name="BB_8" localSheetId="15">#REF!</definedName>
    <definedName name="BB_8" localSheetId="6">#REF!</definedName>
    <definedName name="BB_8" localSheetId="9">#REF!</definedName>
    <definedName name="BB_8" localSheetId="12">#REF!</definedName>
    <definedName name="BB_8">#REF!</definedName>
    <definedName name="BBBB" localSheetId="15">'[66]#¡REF'!#REF!</definedName>
    <definedName name="BBBB" localSheetId="6">'[66]#¡REF'!#REF!</definedName>
    <definedName name="BBBB" localSheetId="9">'[66]#¡REF'!#REF!</definedName>
    <definedName name="BBBB" localSheetId="12">'[66]#¡REF'!#REF!</definedName>
    <definedName name="BBBB">'[67]#¡REF'!#REF!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>#REF!</definedName>
    <definedName name="BDRSOK">#REF!</definedName>
    <definedName name="BLOQUE">#REF!</definedName>
    <definedName name="BNJHG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 localSheetId="15">#REF!</definedName>
    <definedName name="BODY" localSheetId="6">#REF!</definedName>
    <definedName name="BODY" localSheetId="9">#REF!</definedName>
    <definedName name="BODY" localSheetId="12">#REF!</definedName>
    <definedName name="BODY">#REF!</definedName>
    <definedName name="BODY_1">#REF!</definedName>
    <definedName name="BS" localSheetId="15">#REF!</definedName>
    <definedName name="BS" localSheetId="6">#REF!</definedName>
    <definedName name="BS" localSheetId="9">#REF!</definedName>
    <definedName name="BS" localSheetId="12">#REF!</definedName>
    <definedName name="BS">#REF!</definedName>
    <definedName name="BS_12" localSheetId="15">[82]Base!#REF!</definedName>
    <definedName name="BS_12" localSheetId="6">[82]Base!#REF!</definedName>
    <definedName name="BS_12" localSheetId="9">[82]Base!#REF!</definedName>
    <definedName name="BS_12" localSheetId="12">[82]Base!#REF!</definedName>
    <definedName name="BS_12">[82]Base!#REF!</definedName>
    <definedName name="BS_2" localSheetId="15">#REF!</definedName>
    <definedName name="BS_2" localSheetId="6">#REF!</definedName>
    <definedName name="BS_2" localSheetId="9">#REF!</definedName>
    <definedName name="BS_2" localSheetId="12">#REF!</definedName>
    <definedName name="BS_2">#REF!</definedName>
    <definedName name="BS_20" localSheetId="15">#REF!</definedName>
    <definedName name="BS_20" localSheetId="6">#REF!</definedName>
    <definedName name="BS_20" localSheetId="9">#REF!</definedName>
    <definedName name="BS_20" localSheetId="12">#REF!</definedName>
    <definedName name="BS_20">#REF!</definedName>
    <definedName name="BS_21" localSheetId="15">[82]Base!#REF!</definedName>
    <definedName name="BS_21" localSheetId="6">[82]Base!#REF!</definedName>
    <definedName name="BS_21" localSheetId="9">[82]Base!#REF!</definedName>
    <definedName name="BS_21" localSheetId="12">[82]Base!#REF!</definedName>
    <definedName name="BS_21">[82]Base!#REF!</definedName>
    <definedName name="BS_25" localSheetId="15">[83]ENTR_F!#REF!</definedName>
    <definedName name="BS_25" localSheetId="6">[83]ENTR_F!#REF!</definedName>
    <definedName name="BS_25" localSheetId="9">[83]ENTR_F!#REF!</definedName>
    <definedName name="BS_25" localSheetId="12">[83]ENTR_F!#REF!</definedName>
    <definedName name="BS_25">[84]ENTR_F!#REF!</definedName>
    <definedName name="BS_3" localSheetId="15">#REF!</definedName>
    <definedName name="BS_3" localSheetId="6">#REF!</definedName>
    <definedName name="BS_3" localSheetId="9">#REF!</definedName>
    <definedName name="BS_3" localSheetId="12">#REF!</definedName>
    <definedName name="BS_3">#REF!</definedName>
    <definedName name="BS_4" localSheetId="15">'[85]Identificación Cargas _Anexo 4_'!#REF!</definedName>
    <definedName name="BS_4" localSheetId="6">'[85]Identificación Cargas _Anexo 4_'!#REF!</definedName>
    <definedName name="BS_4" localSheetId="9">'[85]Identificación Cargas _Anexo 4_'!#REF!</definedName>
    <definedName name="BS_4" localSheetId="12">'[85]Identificación Cargas _Anexo 4_'!#REF!</definedName>
    <definedName name="BS_4">'[85]Identificación Cargas _Anexo 4_'!#REF!</definedName>
    <definedName name="BS_7" localSheetId="15">'[83]3_1'!#REF!</definedName>
    <definedName name="BS_7" localSheetId="6">'[83]3_1'!#REF!</definedName>
    <definedName name="BS_7" localSheetId="9">'[83]3_1'!#REF!</definedName>
    <definedName name="BS_7" localSheetId="12">'[83]3_1'!#REF!</definedName>
    <definedName name="BS_7">'[84]3_1'!#REF!</definedName>
    <definedName name="BS_8" localSheetId="15">#REF!</definedName>
    <definedName name="BS_8" localSheetId="6">#REF!</definedName>
    <definedName name="BS_8" localSheetId="9">#REF!</definedName>
    <definedName name="BS_8" localSheetId="12">#REF!</definedName>
    <definedName name="BS_8">#REF!</definedName>
    <definedName name="BSS" localSheetId="15">#REF!</definedName>
    <definedName name="BSS" localSheetId="6">#REF!</definedName>
    <definedName name="BSS" localSheetId="9">#REF!</definedName>
    <definedName name="BSS" localSheetId="12">#REF!</definedName>
    <definedName name="BSS">#REF!</definedName>
    <definedName name="BSS_12" localSheetId="15">[82]Base!#REF!</definedName>
    <definedName name="BSS_12" localSheetId="6">[82]Base!#REF!</definedName>
    <definedName name="BSS_12" localSheetId="9">[82]Base!#REF!</definedName>
    <definedName name="BSS_12" localSheetId="12">[82]Base!#REF!</definedName>
    <definedName name="BSS_12">[82]Base!#REF!</definedName>
    <definedName name="BSS_2" localSheetId="15">#REF!</definedName>
    <definedName name="BSS_2" localSheetId="6">#REF!</definedName>
    <definedName name="BSS_2" localSheetId="9">#REF!</definedName>
    <definedName name="BSS_2" localSheetId="12">#REF!</definedName>
    <definedName name="BSS_2">#REF!</definedName>
    <definedName name="BSS_20" localSheetId="15">#REF!</definedName>
    <definedName name="BSS_20" localSheetId="6">#REF!</definedName>
    <definedName name="BSS_20" localSheetId="9">#REF!</definedName>
    <definedName name="BSS_20" localSheetId="12">#REF!</definedName>
    <definedName name="BSS_20">#REF!</definedName>
    <definedName name="BSS_21" localSheetId="15">[82]Base!#REF!</definedName>
    <definedName name="BSS_21" localSheetId="6">[82]Base!#REF!</definedName>
    <definedName name="BSS_21" localSheetId="9">[82]Base!#REF!</definedName>
    <definedName name="BSS_21" localSheetId="12">[82]Base!#REF!</definedName>
    <definedName name="BSS_21">[82]Base!#REF!</definedName>
    <definedName name="BSS_25" localSheetId="15">[83]ENTR_F!#REF!</definedName>
    <definedName name="BSS_25" localSheetId="6">[83]ENTR_F!#REF!</definedName>
    <definedName name="BSS_25" localSheetId="9">[83]ENTR_F!#REF!</definedName>
    <definedName name="BSS_25" localSheetId="12">[83]ENTR_F!#REF!</definedName>
    <definedName name="BSS_25">[84]ENTR_F!#REF!</definedName>
    <definedName name="BSS_3" localSheetId="15">#REF!</definedName>
    <definedName name="BSS_3" localSheetId="6">#REF!</definedName>
    <definedName name="BSS_3" localSheetId="9">#REF!</definedName>
    <definedName name="BSS_3" localSheetId="12">#REF!</definedName>
    <definedName name="BSS_3">#REF!</definedName>
    <definedName name="BSS_4" localSheetId="15">'[85]Identificación Cargas _Anexo 4_'!#REF!</definedName>
    <definedName name="BSS_4" localSheetId="6">'[85]Identificación Cargas _Anexo 4_'!#REF!</definedName>
    <definedName name="BSS_4" localSheetId="9">'[85]Identificación Cargas _Anexo 4_'!#REF!</definedName>
    <definedName name="BSS_4" localSheetId="12">'[85]Identificación Cargas _Anexo 4_'!#REF!</definedName>
    <definedName name="BSS_4">'[85]Identificación Cargas _Anexo 4_'!#REF!</definedName>
    <definedName name="BSS_7" localSheetId="15">'[83]3_1'!#REF!</definedName>
    <definedName name="BSS_7" localSheetId="6">'[83]3_1'!#REF!</definedName>
    <definedName name="BSS_7" localSheetId="9">'[83]3_1'!#REF!</definedName>
    <definedName name="BSS_7" localSheetId="12">'[83]3_1'!#REF!</definedName>
    <definedName name="BSS_7">'[84]3_1'!#REF!</definedName>
    <definedName name="BSS_8" localSheetId="15">#REF!</definedName>
    <definedName name="BSS_8" localSheetId="6">#REF!</definedName>
    <definedName name="BSS_8" localSheetId="9">#REF!</definedName>
    <definedName name="BSS_8" localSheetId="12">#REF!</definedName>
    <definedName name="BSS_8">#REF!</definedName>
    <definedName name="BT5lista" localSheetId="15">#REF!</definedName>
    <definedName name="BT5lista" localSheetId="6">#REF!</definedName>
    <definedName name="BT5lista" localSheetId="9">#REF!</definedName>
    <definedName name="BT5lista" localSheetId="12">#REF!</definedName>
    <definedName name="BT5lista">#REF!</definedName>
    <definedName name="BUENOS" hidden="1">#REF!</definedName>
    <definedName name="BUIBVI" hidden="1">#REF!</definedName>
    <definedName name="c_camioneta">'[86]Cuadro Resumes RP'!$C$17</definedName>
    <definedName name="C_capataz">'[86]Cuadro Resumes RP'!$C$11</definedName>
    <definedName name="C_Grua">'[86]Cuadro Resumes RP'!$C$18</definedName>
    <definedName name="C_oficial">'[86]Cuadro Resumes RP'!$C$13</definedName>
    <definedName name="C_operario">'[86]Cuadro Resumes RP'!$C$12</definedName>
    <definedName name="C_peon">'[86]Cuadro Resumes RP'!$C$14</definedName>
    <definedName name="c_teodolito">'[86]Cuadro Resumes RP'!$C$19</definedName>
    <definedName name="CA150X150X100">'[47]ANALISIS  COSTOS UNIT.'!#REF!</definedName>
    <definedName name="CA200X200X100">'[47]ANALISIS  COSTOS UNIT.'!#REF!</definedName>
    <definedName name="CA250X250X100">'[47]ANALISIS  COSTOS UNIT.'!#REF!</definedName>
    <definedName name="CA300X300X100">'[47]ANALISIS  COSTOS UNIT.'!#REF!</definedName>
    <definedName name="CA400X400X100">'[47]ANALISIS  COSTOS UNIT.'!#REF!</definedName>
    <definedName name="CA500X500X100">'[47]ANALISIS  COSTOS UNIT.'!#REF!</definedName>
    <definedName name="CA600X600X100">'[47]ANALISIS  COSTOS UNIT.'!#REF!</definedName>
    <definedName name="CAJA" localSheetId="15">#REF!</definedName>
    <definedName name="CAJA" localSheetId="6">#REF!</definedName>
    <definedName name="CAJA" localSheetId="9">#REF!</definedName>
    <definedName name="CAJA" localSheetId="12">#REF!</definedName>
    <definedName name="CAJA">#REF!</definedName>
    <definedName name="CAJA1" localSheetId="15">#REF!</definedName>
    <definedName name="CAJA1" localSheetId="6">#REF!</definedName>
    <definedName name="CAJA1" localSheetId="9">#REF!</definedName>
    <definedName name="CAJA1" localSheetId="12">#REF!</definedName>
    <definedName name="CAJA1">#REF!</definedName>
    <definedName name="CAJA2" localSheetId="15">#REF!</definedName>
    <definedName name="CAJA2" localSheetId="6">#REF!</definedName>
    <definedName name="CAJA2" localSheetId="9">#REF!</definedName>
    <definedName name="CAJA2" localSheetId="12">#REF!</definedName>
    <definedName name="CAJA2">#REF!</definedName>
    <definedName name="CAJA4" localSheetId="15">#REF!</definedName>
    <definedName name="CAJA4" localSheetId="6">#REF!</definedName>
    <definedName name="CAJA4" localSheetId="9">#REF!</definedName>
    <definedName name="CAJA4" localSheetId="12">#REF!</definedName>
    <definedName name="CAJA4">#REF!</definedName>
    <definedName name="CAJA5" localSheetId="15">#REF!</definedName>
    <definedName name="CAJA5" localSheetId="6">#REF!</definedName>
    <definedName name="CAJA5" localSheetId="9">#REF!</definedName>
    <definedName name="CAJA5" localSheetId="12">#REF!</definedName>
    <definedName name="CAJA5">#REF!</definedName>
    <definedName name="CAJA6" localSheetId="15">#REF!</definedName>
    <definedName name="CAJA6" localSheetId="6">#REF!</definedName>
    <definedName name="CAJA6" localSheetId="9">#REF!</definedName>
    <definedName name="CAJA6" localSheetId="12">#REF!</definedName>
    <definedName name="CAJA6">#REF!</definedName>
    <definedName name="CajaConcreto">#REF!</definedName>
    <definedName name="CajaDerivación">#REF!</definedName>
    <definedName name="CAJARS">'[63]BASE-RS'!$CO$38:$DA$465</definedName>
    <definedName name="CalificacionPromedio" localSheetId="15">'[87]DATOS DE CAMPO'!#REF!</definedName>
    <definedName name="CalificacionPromedio" localSheetId="6">'[87]DATOS DE CAMPO'!#REF!</definedName>
    <definedName name="CalificacionPromedio" localSheetId="9">'[88]DATOS DE CAMPO'!#REF!</definedName>
    <definedName name="CalificacionPromedio" localSheetId="12">'[87]DATOS DE CAMPO'!#REF!</definedName>
    <definedName name="CalificacionPromedio">'[89]DATOS DE CAMPO'!#REF!</definedName>
    <definedName name="Cambio" localSheetId="15">#REF!</definedName>
    <definedName name="Cambio" localSheetId="6">#REF!</definedName>
    <definedName name="Cambio" localSheetId="9">#REF!</definedName>
    <definedName name="Cambio" localSheetId="12">#REF!</definedName>
    <definedName name="Cambio">#REF!</definedName>
    <definedName name="Cambio_7">#REF!</definedName>
    <definedName name="came">'[46]#¡REF'!#REF!</definedName>
    <definedName name="Camion">#REF!</definedName>
    <definedName name="Camioneta">#REF!</definedName>
    <definedName name="CANT_TRAFO">#REF!</definedName>
    <definedName name="CANTIDADES" localSheetId="15">[90]STRUCT!$A$6:$CM$119</definedName>
    <definedName name="CANTIDADES" localSheetId="6">[90]STRUCT!$A$6:$CM$119</definedName>
    <definedName name="CANTIDADES" localSheetId="9">[90]STRUCT!$A$6:$CM$119</definedName>
    <definedName name="CANTIDADES" localSheetId="12">[90]STRUCT!$A$6:$CM$119</definedName>
    <definedName name="CANTIDADES">[91]STRUCT!$A$6:$CM$119</definedName>
    <definedName name="capterm" localSheetId="15">#REF!</definedName>
    <definedName name="capterm" localSheetId="6">#REF!</definedName>
    <definedName name="capterm" localSheetId="9">#REF!</definedName>
    <definedName name="capterm" localSheetId="12">#REF!</definedName>
    <definedName name="capterm">#REF!</definedName>
    <definedName name="capterm_12" localSheetId="15">#REF!</definedName>
    <definedName name="capterm_12" localSheetId="6">#REF!</definedName>
    <definedName name="capterm_12" localSheetId="9">#REF!</definedName>
    <definedName name="capterm_12" localSheetId="12">#REF!</definedName>
    <definedName name="capterm_12">#REF!</definedName>
    <definedName name="capterm_20" localSheetId="15">#REF!</definedName>
    <definedName name="capterm_20" localSheetId="6">#REF!</definedName>
    <definedName name="capterm_20" localSheetId="9">#REF!</definedName>
    <definedName name="capterm_20" localSheetId="12">#REF!</definedName>
    <definedName name="capterm_20">#REF!</definedName>
    <definedName name="capterm_21" localSheetId="15">#REF!</definedName>
    <definedName name="capterm_21" localSheetId="6">#REF!</definedName>
    <definedName name="capterm_21" localSheetId="9">#REF!</definedName>
    <definedName name="capterm_21" localSheetId="12">#REF!</definedName>
    <definedName name="capterm_21">#REF!</definedName>
    <definedName name="CARAC" localSheetId="15">[4]DATOS!$H$7:$Q$13</definedName>
    <definedName name="CARAC" localSheetId="6">[4]DATOS!$H$7:$Q$13</definedName>
    <definedName name="CARAC" localSheetId="9">[4]DATOS!$H$7:$Q$13</definedName>
    <definedName name="CARAC" localSheetId="12">[4]DATOS!$H$7:$Q$13</definedName>
    <definedName name="CARAC">[6]DATOS!$H$7:$Q$13</definedName>
    <definedName name="CARACTERISTICAS" localSheetId="15">#REF!</definedName>
    <definedName name="CARACTERISTICAS" localSheetId="6">#REF!</definedName>
    <definedName name="CARACTERISTICAS" localSheetId="9">#REF!</definedName>
    <definedName name="CARACTERISTICAS" localSheetId="12">#REF!</definedName>
    <definedName name="CARACTERISTICAS">#REF!</definedName>
    <definedName name="carlos">'[76]#¡REF'!#REF!</definedName>
    <definedName name="Cartel" localSheetId="15">#REF!</definedName>
    <definedName name="Cartel" localSheetId="6">#REF!</definedName>
    <definedName name="Cartel" localSheetId="9">#REF!</definedName>
    <definedName name="Cartel" localSheetId="12">#REF!</definedName>
    <definedName name="Cartel">'[92]DATOS DE CAMPO  LP'!#REF!</definedName>
    <definedName name="CASOS">#REF!</definedName>
    <definedName name="CBPSL" localSheetId="15">#REF!</definedName>
    <definedName name="CBPSL" localSheetId="6">#REF!</definedName>
    <definedName name="CBPSL" localSheetId="9">#REF!</definedName>
    <definedName name="CBPSL" localSheetId="12">#REF!</definedName>
    <definedName name="CBPSL">#REF!</definedName>
    <definedName name="CBPST" localSheetId="15">#REF!</definedName>
    <definedName name="CBPST" localSheetId="6">#REF!</definedName>
    <definedName name="CBPST" localSheetId="9">#REF!</definedName>
    <definedName name="CBPST" localSheetId="12">#REF!</definedName>
    <definedName name="CBPST">#REF!</definedName>
    <definedName name="CC">#REF!</definedName>
    <definedName name="CCC" localSheetId="15">'[66]#¡REF'!#REF!</definedName>
    <definedName name="CCC" localSheetId="6">'[66]#¡REF'!#REF!</definedName>
    <definedName name="CCC" localSheetId="9">'[66]#¡REF'!#REF!</definedName>
    <definedName name="CCC" localSheetId="12">'[66]#¡REF'!#REF!</definedName>
    <definedName name="CCC">'[67]#¡REF'!#REF!</definedName>
    <definedName name="ccccc">'[34]#¡REF'!#REF!</definedName>
    <definedName name="CD" localSheetId="15">#REF!</definedName>
    <definedName name="CD" localSheetId="6">#REF!</definedName>
    <definedName name="CD" localSheetId="9">#REF!</definedName>
    <definedName name="CD" localSheetId="12">#REF!</definedName>
    <definedName name="CD" localSheetId="0">#REF!</definedName>
    <definedName name="CD">#REF!</definedName>
    <definedName name="Celda_para_Macros">'[93]PLANILLAS FORMATEADAS'!#REF!</definedName>
    <definedName name="celendin">'[36]#¡REF'!#REF!</definedName>
    <definedName name="CEMENTO">[1]A!$D$61:$D$62</definedName>
    <definedName name="cgv" localSheetId="15">'[33]#¡REF'!#REF!</definedName>
    <definedName name="cgv" localSheetId="6">'[33]#¡REF'!#REF!</definedName>
    <definedName name="cgv" localSheetId="9">'[33]#¡REF'!#REF!</definedName>
    <definedName name="cgv" localSheetId="12">'[33]#¡REF'!#REF!</definedName>
    <definedName name="cgv">'[33]#¡REF'!#REF!</definedName>
    <definedName name="cgv_1">'[33]#¡REF'!#REF!</definedName>
    <definedName name="cgv_7">'[48]#¡REF'!#REF!</definedName>
    <definedName name="CH">#REF!</definedName>
    <definedName name="CIF">[68]Impuestos!$G$24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[25]Hoja1!$G$5</definedName>
    <definedName name="Compactación_poste">'[94]Ratio Redes'!#REF!</definedName>
    <definedName name="Compactadora">#REF!</definedName>
    <definedName name="Concentrado" localSheetId="15">#REF!</definedName>
    <definedName name="Concentrado" localSheetId="6">#REF!</definedName>
    <definedName name="Concentrado" localSheetId="9">#REF!</definedName>
    <definedName name="Concentrado" localSheetId="12">#REF!</definedName>
    <definedName name="Concentrado">'[92]DATOS DE CAMPO  RS'!#REF!</definedName>
    <definedName name="CONCRETE" localSheetId="15">[95]Fundacion!$J$13:$Q$20</definedName>
    <definedName name="CONCRETE" localSheetId="6">[95]Fundacion!$J$13:$Q$20</definedName>
    <definedName name="CONCRETE" localSheetId="9">[95]Fundacion!$J$13:$Q$20</definedName>
    <definedName name="CONCRETE" localSheetId="12">[95]Fundacion!$J$13:$Q$20</definedName>
    <definedName name="CONCRETE">[96]Fundacion!$J$13:$Q$20</definedName>
    <definedName name="CONDUC" localSheetId="15">#REF!</definedName>
    <definedName name="CONDUC" localSheetId="6">#REF!</definedName>
    <definedName name="CONDUC" localSheetId="9">#REF!</definedName>
    <definedName name="CONDUC" localSheetId="12">#REF!</definedName>
    <definedName name="CONDUC">#REF!</definedName>
    <definedName name="CONDUCTOR" localSheetId="15">#REF!</definedName>
    <definedName name="CONDUCTOR" localSheetId="6">#REF!</definedName>
    <definedName name="CONDUCTOR" localSheetId="9">#REF!</definedName>
    <definedName name="CONDUCTOR" localSheetId="12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'[63]BASE-RS'!$DL$38:$DZ$465</definedName>
    <definedName name="CONEC">#REF!</definedName>
    <definedName name="CONECTORESRS">'[63]BASE-RS'!$FJ$38:$IK$465</definedName>
    <definedName name="Conexiones" localSheetId="15">#REF!</definedName>
    <definedName name="Conexiones" localSheetId="6">#REF!</definedName>
    <definedName name="Conexiones" localSheetId="9">#REF!</definedName>
    <definedName name="Conexiones" localSheetId="12">#REF!</definedName>
    <definedName name="Conexiones">#REF!</definedName>
    <definedName name="Consulta_desde_mxichiclayo_16" localSheetId="15">#REF!</definedName>
    <definedName name="Consulta_desde_mxichiclayo_16" localSheetId="6">#REF!</definedName>
    <definedName name="Consulta_desde_mxichiclayo_16" localSheetId="9">#REF!</definedName>
    <definedName name="Consulta_desde_mxichiclayo_16" localSheetId="12">#REF!</definedName>
    <definedName name="Consulta_desde_mxichiclayo_16">#REF!</definedName>
    <definedName name="Consultor">#REF!</definedName>
    <definedName name="ConsumoPerdidaAP">'[92]DATOS DE CAMPO  RP'!#REF!</definedName>
    <definedName name="ConsumoPromedioCE" localSheetId="15">'[87]DATOS DE CAMPO'!#REF!</definedName>
    <definedName name="ConsumoPromedioCE" localSheetId="6">'[87]DATOS DE CAMPO'!#REF!</definedName>
    <definedName name="ConsumoPromedioCE" localSheetId="9">'[88]DATOS DE CAMPO'!#REF!</definedName>
    <definedName name="ConsumoPromedioCE" localSheetId="12">'[87]DATOS DE CAMPO'!#REF!</definedName>
    <definedName name="ConsumoPromedioCE">'[89]DATOS DE CAMPO'!#REF!</definedName>
    <definedName name="CONTRATISTA">[97]DATOS!$C$7</definedName>
    <definedName name="CONTRATO">[97]DATOS!$C$6</definedName>
    <definedName name="COPI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 localSheetId="15">#REF!</definedName>
    <definedName name="COS" localSheetId="6">#REF!</definedName>
    <definedName name="COS" localSheetId="9">#REF!</definedName>
    <definedName name="COS" localSheetId="12">#REF!</definedName>
    <definedName name="COS">#REF!</definedName>
    <definedName name="COSFI" localSheetId="15">#REF!</definedName>
    <definedName name="COSFI" localSheetId="6">#REF!</definedName>
    <definedName name="COSFI" localSheetId="9">#REF!</definedName>
    <definedName name="COSFI" localSheetId="12">#REF!</definedName>
    <definedName name="COSFI">#REF!</definedName>
    <definedName name="CostoDirecto">'[98]Resumen General'!$M$43</definedName>
    <definedName name="COSTOS" localSheetId="15">#REF!</definedName>
    <definedName name="COSTOS" localSheetId="6">#REF!</definedName>
    <definedName name="COSTOS" localSheetId="9">#REF!</definedName>
    <definedName name="COSTOS" localSheetId="12">#REF!</definedName>
    <definedName name="COSTOS">#REF!</definedName>
    <definedName name="Costos_7">#REF!</definedName>
    <definedName name="Costos_Insumos">#REF!</definedName>
    <definedName name="COTA_E1" localSheetId="15">#REF!</definedName>
    <definedName name="COTA_E1" localSheetId="6">#REF!</definedName>
    <definedName name="COTA_E1" localSheetId="9">#REF!</definedName>
    <definedName name="COTA_E1" localSheetId="12">#REF!</definedName>
    <definedName name="COTA_E1">#REF!</definedName>
    <definedName name="COTA_P1" localSheetId="15">#REF!</definedName>
    <definedName name="COTA_P1" localSheetId="6">#REF!</definedName>
    <definedName name="COTA_P1" localSheetId="9">#REF!</definedName>
    <definedName name="COTA_P1" localSheetId="12">#REF!</definedName>
    <definedName name="COTA_P1">#REF!</definedName>
    <definedName name="covadongaad">#REF!</definedName>
    <definedName name="covadongarp">#REF!</definedName>
    <definedName name="covadongars">#REF!</definedName>
    <definedName name="COYMDETORG" localSheetId="15">#REF!</definedName>
    <definedName name="COYMDETORG" localSheetId="6">#REF!</definedName>
    <definedName name="COYMDETORG" localSheetId="9">#REF!</definedName>
    <definedName name="COYMDETORG" localSheetId="12">#REF!</definedName>
    <definedName name="COYMDETORG">#REF!</definedName>
    <definedName name="COYMDETORG_12" localSheetId="15">#REF!</definedName>
    <definedName name="COYMDETORG_12" localSheetId="6">#REF!</definedName>
    <definedName name="COYMDETORG_12" localSheetId="9">#REF!</definedName>
    <definedName name="COYMDETORG_12" localSheetId="12">#REF!</definedName>
    <definedName name="COYMDETORG_12">#REF!</definedName>
    <definedName name="COYMDETORG_20" localSheetId="15">#REF!</definedName>
    <definedName name="COYMDETORG_20" localSheetId="6">#REF!</definedName>
    <definedName name="COYMDETORG_20" localSheetId="9">#REF!</definedName>
    <definedName name="COYMDETORG_20" localSheetId="12">#REF!</definedName>
    <definedName name="COYMDETORG_20">#REF!</definedName>
    <definedName name="COYMDETORG_21" localSheetId="15">#REF!</definedName>
    <definedName name="COYMDETORG_21" localSheetId="6">#REF!</definedName>
    <definedName name="COYMDETORG_21" localSheetId="9">#REF!</definedName>
    <definedName name="COYMDETORG_21" localSheetId="12">#REF!</definedName>
    <definedName name="COYMDETORG_21">#REF!</definedName>
    <definedName name="COYMO4" localSheetId="15">#REF!</definedName>
    <definedName name="COYMO4" localSheetId="6">#REF!</definedName>
    <definedName name="COYMO4" localSheetId="9">#REF!</definedName>
    <definedName name="COYMO4" localSheetId="12">#REF!</definedName>
    <definedName name="COYMO4">#REF!</definedName>
    <definedName name="COYMO4_12" localSheetId="15">#REF!</definedName>
    <definedName name="COYMO4_12" localSheetId="6">#REF!</definedName>
    <definedName name="COYMO4_12" localSheetId="9">#REF!</definedName>
    <definedName name="COYMO4_12" localSheetId="12">#REF!</definedName>
    <definedName name="COYMO4_12">#REF!</definedName>
    <definedName name="COYMO4_20" localSheetId="15">#REF!</definedName>
    <definedName name="COYMO4_20" localSheetId="6">#REF!</definedName>
    <definedName name="COYMO4_20" localSheetId="9">#REF!</definedName>
    <definedName name="COYMO4_20" localSheetId="12">#REF!</definedName>
    <definedName name="COYMO4_20">#REF!</definedName>
    <definedName name="COYMO4_21" localSheetId="15">#REF!</definedName>
    <definedName name="COYMO4_21" localSheetId="6">#REF!</definedName>
    <definedName name="COYMO4_21" localSheetId="9">#REF!</definedName>
    <definedName name="COYMO4_21" localSheetId="12">#REF!</definedName>
    <definedName name="COYMO4_21">#REF!</definedName>
    <definedName name="_xlnm.Criteria" localSheetId="15">#REF!</definedName>
    <definedName name="_xlnm.Criteria" localSheetId="6">#REF!</definedName>
    <definedName name="_xlnm.Criteria" localSheetId="9">#REF!</definedName>
    <definedName name="_xlnm.Criteria" localSheetId="12">#REF!</definedName>
    <definedName name="_xlnm.Criteria" localSheetId="0">#REF!</definedName>
    <definedName name="_xlnm.Criteria">#REF!</definedName>
    <definedName name="CRONO">#REF!</definedName>
    <definedName name="CRUC" localSheetId="15">'[99]CANT.UNITARIAS'!$F$111:$DA$140</definedName>
    <definedName name="CRUC" localSheetId="6">'[99]CANT.UNITARIAS'!$F$111:$DA$140</definedName>
    <definedName name="CRUC" localSheetId="9">'[99]CANT.UNITARIAS'!$F$111:$DA$140</definedName>
    <definedName name="CRUC" localSheetId="12">'[99]CANT.UNITARIAS'!$F$111:$DA$140</definedName>
    <definedName name="CRUC">'[100]CANT.UNITARIAS'!$F$111:$DA$140</definedName>
    <definedName name="CrucetasCAV">#REF!</definedName>
    <definedName name="CU">#REF!</definedName>
    <definedName name="Cu_PAT_1">[59]Proyecto!#REF!</definedName>
    <definedName name="Cu_PAT_1_rs">[59]Proyecto!#REF!</definedName>
    <definedName name="Cu_PAT_1C">[59]Proyecto!#REF!</definedName>
    <definedName name="Cu_PAT_2">[59]Proyecto!#REF!</definedName>
    <definedName name="Cu_PAT_3">[59]Proyecto!#REF!</definedName>
    <definedName name="cuadro_li1" localSheetId="15">#REF!</definedName>
    <definedName name="cuadro_li1" localSheetId="6">#REF!</definedName>
    <definedName name="cuadro_li1" localSheetId="9">#REF!</definedName>
    <definedName name="cuadro_li1" localSheetId="12">#REF!</definedName>
    <definedName name="cuadro_li1">#REF!</definedName>
    <definedName name="cuadro_li2" localSheetId="15">#REF!</definedName>
    <definedName name="cuadro_li2" localSheetId="6">#REF!</definedName>
    <definedName name="cuadro_li2" localSheetId="9">#REF!</definedName>
    <definedName name="cuadro_li2" localSheetId="12">#REF!</definedName>
    <definedName name="cuadro_li2">#REF!</definedName>
    <definedName name="cuadro_li3" localSheetId="15">#REF!</definedName>
    <definedName name="cuadro_li3" localSheetId="6">#REF!</definedName>
    <definedName name="cuadro_li3" localSheetId="9">#REF!</definedName>
    <definedName name="cuadro_li3" localSheetId="12">#REF!</definedName>
    <definedName name="cuadro_li3">#REF!</definedName>
    <definedName name="cuadro_se3" localSheetId="15">'[11]FORMA-SE2'!#REF!</definedName>
    <definedName name="cuadro_se3" localSheetId="6">'[11]FORMA-SE2'!#REF!</definedName>
    <definedName name="cuadro_se3" localSheetId="9">'[11]FORMA-SE2'!#REF!</definedName>
    <definedName name="cuadro_se3" localSheetId="12">'[11]FORMA-SE2'!#REF!</definedName>
    <definedName name="cuadro_se3">'[11]FORMA-SE2'!#REF!</definedName>
    <definedName name="Cuadro1">[101]CuadroIyII!$A$1:$G$29</definedName>
    <definedName name="Cuadro2">[101]CuadroIyII!$H$1:$T$29</definedName>
    <definedName name="Cuadro3">[101]CuadroIyII!$U$1:$AG$29</definedName>
    <definedName name="Cuadro4">[101]CuadroIyII!$AH$1:$AY$29</definedName>
    <definedName name="CUÑAS_CD">#REF!</definedName>
    <definedName name="CUÑAS_REDES">#REF!</definedName>
    <definedName name="d" localSheetId="15">#REF!</definedName>
    <definedName name="d" localSheetId="6">#REF!</definedName>
    <definedName name="d" localSheetId="9">#REF!</definedName>
    <definedName name="d" localSheetId="12">#REF!</definedName>
    <definedName name="D">[6]REV3!$D$4</definedName>
    <definedName name="dasdww">'[102]#¡REF'!#REF!</definedName>
    <definedName name="DataLP">#REF!</definedName>
    <definedName name="DataRedes">#REF!</definedName>
    <definedName name="DataRP">#REF!</definedName>
    <definedName name="DataRS">[59]Redes!$AW$3:$CS$132</definedName>
    <definedName name="Datos" localSheetId="15">#REF!</definedName>
    <definedName name="Datos" localSheetId="6">#REF!</definedName>
    <definedName name="Datos" localSheetId="9">#REF!</definedName>
    <definedName name="Datos" localSheetId="12">#REF!</definedName>
    <definedName name="Datos">#REF!</definedName>
    <definedName name="Datos_12" localSheetId="15">#REF!</definedName>
    <definedName name="Datos_12" localSheetId="6">#REF!</definedName>
    <definedName name="Datos_12" localSheetId="9">#REF!</definedName>
    <definedName name="Datos_12" localSheetId="12">#REF!</definedName>
    <definedName name="Datos_12">#REF!</definedName>
    <definedName name="Datos_20" localSheetId="15">#REF!</definedName>
    <definedName name="Datos_20" localSheetId="6">#REF!</definedName>
    <definedName name="Datos_20" localSheetId="9">#REF!</definedName>
    <definedName name="Datos_20" localSheetId="12">#REF!</definedName>
    <definedName name="Datos_20">#REF!</definedName>
    <definedName name="Datos_21" localSheetId="15">#REF!</definedName>
    <definedName name="Datos_21" localSheetId="6">#REF!</definedName>
    <definedName name="Datos_21" localSheetId="9">#REF!</definedName>
    <definedName name="Datos_21" localSheetId="12">#REF!</definedName>
    <definedName name="Datos_21">#REF!</definedName>
    <definedName name="dATOS1" localSheetId="15">#REF!</definedName>
    <definedName name="dATOS1" localSheetId="6">#REF!</definedName>
    <definedName name="dATOS1" localSheetId="9">#REF!</definedName>
    <definedName name="dATOS1" localSheetId="12">#REF!</definedName>
    <definedName name="DATOS1">[103]Presupuesto!#REF!</definedName>
    <definedName name="dATOS1_12" localSheetId="15">#REF!</definedName>
    <definedName name="dATOS1_12" localSheetId="6">#REF!</definedName>
    <definedName name="dATOS1_12" localSheetId="9">#REF!</definedName>
    <definedName name="dATOS1_12" localSheetId="12">#REF!</definedName>
    <definedName name="dATOS1_12">#REF!</definedName>
    <definedName name="dATOS1_20" localSheetId="15">#REF!</definedName>
    <definedName name="dATOS1_20" localSheetId="6">#REF!</definedName>
    <definedName name="dATOS1_20" localSheetId="9">#REF!</definedName>
    <definedName name="dATOS1_20" localSheetId="12">#REF!</definedName>
    <definedName name="dATOS1_20">#REF!</definedName>
    <definedName name="dATOS1_21" localSheetId="15">#REF!</definedName>
    <definedName name="dATOS1_21" localSheetId="6">#REF!</definedName>
    <definedName name="dATOS1_21" localSheetId="9">#REF!</definedName>
    <definedName name="dATOS1_21" localSheetId="12">#REF!</definedName>
    <definedName name="dATOS1_21">#REF!</definedName>
    <definedName name="DATOS2" localSheetId="15">[103]Presupuesto!#REF!</definedName>
    <definedName name="DATOS2" localSheetId="6">[103]Presupuesto!#REF!</definedName>
    <definedName name="DATOS2" localSheetId="9">[103]Presupuesto!#REF!</definedName>
    <definedName name="DATOS2" localSheetId="12">[103]Presupuesto!#REF!</definedName>
    <definedName name="DATOS2">[103]Presupuesto!#REF!</definedName>
    <definedName name="DATOS3" localSheetId="15">[103]Presupuesto!#REF!</definedName>
    <definedName name="DATOS3" localSheetId="6">[103]Presupuesto!#REF!</definedName>
    <definedName name="DATOS3" localSheetId="9">[103]Presupuesto!#REF!</definedName>
    <definedName name="DATOS3" localSheetId="12">[103]Presupuesto!#REF!</definedName>
    <definedName name="DATOS3">[103]Presupuesto!#REF!</definedName>
    <definedName name="DATOS4" localSheetId="15">[103]Presupuesto!#REF!</definedName>
    <definedName name="DATOS4" localSheetId="6">[103]Presupuesto!#REF!</definedName>
    <definedName name="DATOS4" localSheetId="9">[103]Presupuesto!#REF!</definedName>
    <definedName name="DATOS4" localSheetId="12">[103]Presupuesto!#REF!</definedName>
    <definedName name="DATOS4">[103]Presupuesto!#REF!</definedName>
    <definedName name="DatoTerreno1">'[104]Resumen General'!$C$46</definedName>
    <definedName name="DatoTerreno2">'[104]Resumen General'!$C$47</definedName>
    <definedName name="DatoTerreno3">'[104]Resumen General'!$C$48</definedName>
    <definedName name="DATS" localSheetId="15">#REF!</definedName>
    <definedName name="DATS" localSheetId="6">#REF!</definedName>
    <definedName name="DATS" localSheetId="9">#REF!</definedName>
    <definedName name="DATS" localSheetId="12">#REF!</definedName>
    <definedName name="DATS">#REF!</definedName>
    <definedName name="DATS_12" localSheetId="15">#REF!</definedName>
    <definedName name="DATS_12" localSheetId="6">#REF!</definedName>
    <definedName name="DATS_12" localSheetId="9">#REF!</definedName>
    <definedName name="DATS_12" localSheetId="12">#REF!</definedName>
    <definedName name="DATS_12">#REF!</definedName>
    <definedName name="DATS_20" localSheetId="15">#REF!</definedName>
    <definedName name="DATS_20" localSheetId="6">#REF!</definedName>
    <definedName name="DATS_20" localSheetId="9">#REF!</definedName>
    <definedName name="DATS_20" localSheetId="12">#REF!</definedName>
    <definedName name="DATS_20">#REF!</definedName>
    <definedName name="DATS_21" localSheetId="15">#REF!</definedName>
    <definedName name="DATS_21" localSheetId="6">#REF!</definedName>
    <definedName name="DATS_21" localSheetId="9">#REF!</definedName>
    <definedName name="DATS_21" localSheetId="12">#REF!</definedName>
    <definedName name="DATS_21">#REF!</definedName>
    <definedName name="DC_1" localSheetId="15">#REF!</definedName>
    <definedName name="DC_1" localSheetId="6">#REF!</definedName>
    <definedName name="DC_1" localSheetId="9">#REF!</definedName>
    <definedName name="DC_1" localSheetId="12">#REF!</definedName>
    <definedName name="DC_1">#REF!</definedName>
    <definedName name="DC_1T" localSheetId="15">#REF!</definedName>
    <definedName name="DC_1T" localSheetId="6">#REF!</definedName>
    <definedName name="DC_1T" localSheetId="9">#REF!</definedName>
    <definedName name="DC_1T" localSheetId="12">#REF!</definedName>
    <definedName name="DC_1T">#REF!</definedName>
    <definedName name="DC_2" localSheetId="15">#REF!</definedName>
    <definedName name="DC_2" localSheetId="6">#REF!</definedName>
    <definedName name="DC_2" localSheetId="9">#REF!</definedName>
    <definedName name="DC_2" localSheetId="12">#REF!</definedName>
    <definedName name="DC_2">#REF!</definedName>
    <definedName name="DC_2T" localSheetId="15">#REF!</definedName>
    <definedName name="DC_2T" localSheetId="6">#REF!</definedName>
    <definedName name="DC_2T" localSheetId="9">#REF!</definedName>
    <definedName name="DC_2T" localSheetId="12">#REF!</definedName>
    <definedName name="DC_2T">#REF!</definedName>
    <definedName name="DDD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0">[105]CALCULO!#REF!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'[106]Base Armados'!$A$6:$BC$38</definedName>
    <definedName name="DDDDDDD">'[107]#¡REF'!#REF!</definedName>
    <definedName name="ddff" hidden="1">[21]BDATOS!#REF!</definedName>
    <definedName name="DDGDGD" localSheetId="0" hidden="1">#REF!</definedName>
    <definedName name="DDGDGD" hidden="1">#REF!</definedName>
    <definedName name="de">'[76]#¡REF'!#REF!</definedName>
    <definedName name="Departamento" localSheetId="15">#REF!</definedName>
    <definedName name="Departamento" localSheetId="6">#REF!</definedName>
    <definedName name="Departamento" localSheetId="9">#REF!</definedName>
    <definedName name="Departamento" localSheetId="12">#REF!</definedName>
    <definedName name="Departamento" localSheetId="3">'[108]RES-GRAL'!$F$23</definedName>
    <definedName name="Departamento" localSheetId="0">'[92]DATOS DE CAMPO  LP'!#REF!</definedName>
    <definedName name="Departamento">'[109]RES-GRAL'!$F$5</definedName>
    <definedName name="Departamentos">'[110]1A'!#REF!</definedName>
    <definedName name="DESCRIPCION" localSheetId="15">#REF!</definedName>
    <definedName name="DESCRIPCION" localSheetId="6">#REF!</definedName>
    <definedName name="DESCRIPCION" localSheetId="9">#REF!</definedName>
    <definedName name="DESCRIPCION" localSheetId="12">#REF!</definedName>
    <definedName name="DESCRIPCION" localSheetId="0">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[111]PLANILLA_D!$A$14:$AF$642</definedName>
    <definedName name="DETAILED" localSheetId="0">'[112]#¡REF'!#REF!</definedName>
    <definedName name="DETAILED">'[34]#¡REF'!#REF!</definedName>
    <definedName name="Detalle" localSheetId="15">[101]Hoja1!$A$1:$M$62</definedName>
    <definedName name="Detalle" localSheetId="6">[101]Hoja1!$A$1:$M$62</definedName>
    <definedName name="Detalle" localSheetId="9">[101]Hoja1!$A$1:$M$62</definedName>
    <definedName name="Detalle" localSheetId="12">[101]Hoja1!$A$1:$M$62</definedName>
    <definedName name="DETALLE" localSheetId="0">'[112]#¡REF'!#REF!</definedName>
    <definedName name="DETALLE">'[34]#¡REF'!#REF!</definedName>
    <definedName name="dewsfe" localSheetId="15">'[9]#¡REF'!#REF!</definedName>
    <definedName name="dewsfe" localSheetId="6">'[9]#¡REF'!#REF!</definedName>
    <definedName name="dewsfe" localSheetId="9">'[9]#¡REF'!#REF!</definedName>
    <definedName name="dewsfe" localSheetId="12">'[9]#¡REF'!#REF!</definedName>
    <definedName name="dewsfe">'[9]#¡REF'!#REF!</definedName>
    <definedName name="df" localSheetId="15">#REF!</definedName>
    <definedName name="df" localSheetId="6">#REF!</definedName>
    <definedName name="df" localSheetId="9">#REF!</definedName>
    <definedName name="df" localSheetId="12">#REF!</definedName>
    <definedName name="df">#REF!</definedName>
    <definedName name="dfsdg">[38]__REF!#REF!</definedName>
    <definedName name="dger_30mayo2017" localSheetId="3">#REF!</definedName>
    <definedName name="dger_30mayo2017" localSheetId="14">#REF!</definedName>
    <definedName name="dger_30mayo2017" localSheetId="13">#REF!</definedName>
    <definedName name="dger_30mayo2017">#REF!</definedName>
    <definedName name="dgfdfg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iámetro_sin_cubierta____mm" localSheetId="15">#REF!</definedName>
    <definedName name="Diámetro_sin_cubierta____mm" localSheetId="6">#REF!</definedName>
    <definedName name="Diámetro_sin_cubierta____mm" localSheetId="9">#REF!</definedName>
    <definedName name="Diámetro_sin_cubierta____mm" localSheetId="12">#REF!</definedName>
    <definedName name="Diámetro_sin_cubierta____mm">#REF!</definedName>
    <definedName name="Disperso" localSheetId="15">#REF!</definedName>
    <definedName name="Disperso" localSheetId="6">#REF!</definedName>
    <definedName name="Disperso" localSheetId="9">#REF!</definedName>
    <definedName name="Disperso" localSheetId="12">#REF!</definedName>
    <definedName name="Disperso">'[92]DATOS DE CAMPO  RS'!#REF!</definedName>
    <definedName name="DobleTernaRural">'[62]DATOS DE CAMPO'!$BP$32</definedName>
    <definedName name="DobleTernaUrbano">'[62]DATOS DE CAMPO'!$BO$32</definedName>
    <definedName name="DOLAR" localSheetId="3">'[108]RES-GRAL'!$M$24</definedName>
    <definedName name="dolar" localSheetId="0">#REF!</definedName>
    <definedName name="DOLAR">'[109]RES-GRAL'!$M$6</definedName>
    <definedName name="dólar">[113]HIDRANDINA!$C$4</definedName>
    <definedName name="dp" localSheetId="15">#REF!</definedName>
    <definedName name="dp" localSheetId="6">#REF!</definedName>
    <definedName name="dp" localSheetId="9">#REF!</definedName>
    <definedName name="dp" localSheetId="12">#REF!</definedName>
    <definedName name="dp">#REF!</definedName>
    <definedName name="DS_2" localSheetId="15">#REF!</definedName>
    <definedName name="DS_2" localSheetId="6">#REF!</definedName>
    <definedName name="DS_2" localSheetId="9">#REF!</definedName>
    <definedName name="DS_2" localSheetId="12">#REF!</definedName>
    <definedName name="DS_2">#REF!</definedName>
    <definedName name="DS_2_1">#REF!</definedName>
    <definedName name="DS_3" localSheetId="15">#REF!</definedName>
    <definedName name="DS_3" localSheetId="6">#REF!</definedName>
    <definedName name="DS_3" localSheetId="9">#REF!</definedName>
    <definedName name="DS_3" localSheetId="12">#REF!</definedName>
    <definedName name="DS_3">#REF!</definedName>
    <definedName name="DS_3_1">#REF!</definedName>
    <definedName name="DSD" localSheetId="15">#REF!</definedName>
    <definedName name="DSD" localSheetId="6">#REF!</definedName>
    <definedName name="DSD" localSheetId="9">#REF!</definedName>
    <definedName name="DSD" localSheetId="12">#REF!</definedName>
    <definedName name="DSD">#REF!</definedName>
    <definedName name="DSD_7">#REF!</definedName>
    <definedName name="DSVFD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 localSheetId="15">#REF!</definedName>
    <definedName name="DT_0" localSheetId="6">#REF!</definedName>
    <definedName name="DT_0" localSheetId="9">#REF!</definedName>
    <definedName name="DT_0" localSheetId="12">#REF!</definedName>
    <definedName name="DT_0">#REF!</definedName>
    <definedName name="DT_0_1">#REF!</definedName>
    <definedName name="DT_2" localSheetId="15">#REF!</definedName>
    <definedName name="DT_2" localSheetId="6">#REF!</definedName>
    <definedName name="DT_2" localSheetId="9">#REF!</definedName>
    <definedName name="DT_2" localSheetId="12">#REF!</definedName>
    <definedName name="DT_2">#REF!</definedName>
    <definedName name="DT_2_1">#REF!</definedName>
    <definedName name="dwdwder">'[102]#¡REF'!#REF!</definedName>
    <definedName name="dwdwdw">'[102]#¡REF'!#REF!</definedName>
    <definedName name="E" localSheetId="15">[4]REV3!$D$6</definedName>
    <definedName name="E" localSheetId="6">[4]REV3!$D$6</definedName>
    <definedName name="E" localSheetId="9">[4]REV3!$D$6</definedName>
    <definedName name="E" localSheetId="12">[4]REV3!$D$6</definedName>
    <definedName name="E">[6]REV3!$D$6</definedName>
    <definedName name="E_1" localSheetId="15">#REF!</definedName>
    <definedName name="E_1" localSheetId="6">#REF!</definedName>
    <definedName name="E_1" localSheetId="9">#REF!</definedName>
    <definedName name="E_1" localSheetId="12">#REF!</definedName>
    <definedName name="E_1">#REF!</definedName>
    <definedName name="E_1_1" localSheetId="15">#REF!</definedName>
    <definedName name="E_1_1" localSheetId="6">#REF!</definedName>
    <definedName name="E_1_1" localSheetId="9">#REF!</definedName>
    <definedName name="E_1_1" localSheetId="12">#REF!</definedName>
    <definedName name="E_1_1">#REF!</definedName>
    <definedName name="E_1_1S" localSheetId="15">#REF!</definedName>
    <definedName name="E_1_1S" localSheetId="6">#REF!</definedName>
    <definedName name="E_1_1S" localSheetId="9">#REF!</definedName>
    <definedName name="E_1_1S" localSheetId="12">#REF!</definedName>
    <definedName name="E_1_1S">#REF!</definedName>
    <definedName name="E_1S" localSheetId="15">#REF!</definedName>
    <definedName name="E_1S" localSheetId="6">#REF!</definedName>
    <definedName name="E_1S" localSheetId="9">#REF!</definedName>
    <definedName name="E_1S" localSheetId="12">#REF!</definedName>
    <definedName name="E_1S">#REF!</definedName>
    <definedName name="E_2" localSheetId="15">#REF!</definedName>
    <definedName name="E_2" localSheetId="6">#REF!</definedName>
    <definedName name="E_2" localSheetId="9">#REF!</definedName>
    <definedName name="E_2" localSheetId="12">#REF!</definedName>
    <definedName name="E_2">#REF!</definedName>
    <definedName name="E_2_1" localSheetId="15">#REF!</definedName>
    <definedName name="E_2_1" localSheetId="6">#REF!</definedName>
    <definedName name="E_2_1" localSheetId="9">#REF!</definedName>
    <definedName name="E_2_1" localSheetId="12">#REF!</definedName>
    <definedName name="E_2_1">#REF!</definedName>
    <definedName name="E_2_1S" localSheetId="15">#REF!</definedName>
    <definedName name="E_2_1S" localSheetId="6">#REF!</definedName>
    <definedName name="E_2_1S" localSheetId="9">#REF!</definedName>
    <definedName name="E_2_1S" localSheetId="12">#REF!</definedName>
    <definedName name="E_2_1S">#REF!</definedName>
    <definedName name="E_2S" localSheetId="15">#REF!</definedName>
    <definedName name="E_2S" localSheetId="6">#REF!</definedName>
    <definedName name="E_2S" localSheetId="9">#REF!</definedName>
    <definedName name="E_2S" localSheetId="12">#REF!</definedName>
    <definedName name="E_2S">#REF!</definedName>
    <definedName name="E_3" localSheetId="15">#REF!</definedName>
    <definedName name="E_3" localSheetId="6">#REF!</definedName>
    <definedName name="E_3" localSheetId="9">#REF!</definedName>
    <definedName name="E_3" localSheetId="12">#REF!</definedName>
    <definedName name="E_3">#REF!</definedName>
    <definedName name="E_3_1" localSheetId="15">#REF!</definedName>
    <definedName name="E_3_1" localSheetId="6">#REF!</definedName>
    <definedName name="E_3_1" localSheetId="9">#REF!</definedName>
    <definedName name="E_3_1" localSheetId="12">#REF!</definedName>
    <definedName name="E_3_1">#REF!</definedName>
    <definedName name="E_3_1S" localSheetId="15">#REF!</definedName>
    <definedName name="E_3_1S" localSheetId="6">#REF!</definedName>
    <definedName name="E_3_1S" localSheetId="9">#REF!</definedName>
    <definedName name="E_3_1S" localSheetId="12">#REF!</definedName>
    <definedName name="E_3_1S">#REF!</definedName>
    <definedName name="E_3S" localSheetId="15">#REF!</definedName>
    <definedName name="E_3S" localSheetId="6">#REF!</definedName>
    <definedName name="E_3S" localSheetId="9">#REF!</definedName>
    <definedName name="E_3S" localSheetId="12">#REF!</definedName>
    <definedName name="E_3S">#REF!</definedName>
    <definedName name="E_4" localSheetId="15">#REF!</definedName>
    <definedName name="E_4" localSheetId="6">#REF!</definedName>
    <definedName name="E_4" localSheetId="9">#REF!</definedName>
    <definedName name="E_4" localSheetId="12">#REF!</definedName>
    <definedName name="E_4">#REF!</definedName>
    <definedName name="E_4_1" localSheetId="15">#REF!</definedName>
    <definedName name="E_4_1" localSheetId="6">#REF!</definedName>
    <definedName name="E_4_1" localSheetId="9">#REF!</definedName>
    <definedName name="E_4_1" localSheetId="12">#REF!</definedName>
    <definedName name="E_4_1">#REF!</definedName>
    <definedName name="E_4_1S" localSheetId="15">#REF!</definedName>
    <definedName name="E_4_1S" localSheetId="6">#REF!</definedName>
    <definedName name="E_4_1S" localSheetId="9">#REF!</definedName>
    <definedName name="E_4_1S" localSheetId="12">#REF!</definedName>
    <definedName name="E_4_1S">#REF!</definedName>
    <definedName name="E_4S" localSheetId="15">#REF!</definedName>
    <definedName name="E_4S" localSheetId="6">#REF!</definedName>
    <definedName name="E_4S" localSheetId="9">#REF!</definedName>
    <definedName name="E_4S" localSheetId="12">#REF!</definedName>
    <definedName name="E_4S">#REF!</definedName>
    <definedName name="E_5" localSheetId="15">#REF!</definedName>
    <definedName name="E_5" localSheetId="6">#REF!</definedName>
    <definedName name="E_5" localSheetId="9">#REF!</definedName>
    <definedName name="E_5" localSheetId="12">#REF!</definedName>
    <definedName name="E_5">#REF!</definedName>
    <definedName name="E_5_1" localSheetId="15">#REF!</definedName>
    <definedName name="E_5_1" localSheetId="6">#REF!</definedName>
    <definedName name="E_5_1" localSheetId="9">#REF!</definedName>
    <definedName name="E_5_1" localSheetId="12">#REF!</definedName>
    <definedName name="E_5_1">#REF!</definedName>
    <definedName name="E_5_1S" localSheetId="15">#REF!</definedName>
    <definedName name="E_5_1S" localSheetId="6">#REF!</definedName>
    <definedName name="E_5_1S" localSheetId="9">#REF!</definedName>
    <definedName name="E_5_1S" localSheetId="12">#REF!</definedName>
    <definedName name="E_5_1S">#REF!</definedName>
    <definedName name="E_5S" localSheetId="15">#REF!</definedName>
    <definedName name="E_5S" localSheetId="6">#REF!</definedName>
    <definedName name="E_5S" localSheetId="9">#REF!</definedName>
    <definedName name="E_5S" localSheetId="12">#REF!</definedName>
    <definedName name="E_5S">#REF!</definedName>
    <definedName name="E_6" localSheetId="15">#REF!</definedName>
    <definedName name="E_6" localSheetId="6">#REF!</definedName>
    <definedName name="E_6" localSheetId="9">#REF!</definedName>
    <definedName name="E_6" localSheetId="12">#REF!</definedName>
    <definedName name="E_6">#REF!</definedName>
    <definedName name="E_6_1" localSheetId="15">#REF!</definedName>
    <definedName name="E_6_1" localSheetId="6">#REF!</definedName>
    <definedName name="E_6_1" localSheetId="9">#REF!</definedName>
    <definedName name="E_6_1" localSheetId="12">#REF!</definedName>
    <definedName name="E_6_1">#REF!</definedName>
    <definedName name="E_6_1S" localSheetId="15">#REF!</definedName>
    <definedName name="E_6_1S" localSheetId="6">#REF!</definedName>
    <definedName name="E_6_1S" localSheetId="9">#REF!</definedName>
    <definedName name="E_6_1S" localSheetId="12">#REF!</definedName>
    <definedName name="E_6_1S">#REF!</definedName>
    <definedName name="E_6S" localSheetId="15">#REF!</definedName>
    <definedName name="E_6S" localSheetId="6">#REF!</definedName>
    <definedName name="E_6S" localSheetId="9">#REF!</definedName>
    <definedName name="E_6S" localSheetId="12">#REF!</definedName>
    <definedName name="E_6S">#REF!</definedName>
    <definedName name="E1_ACUM" localSheetId="15">#REF!</definedName>
    <definedName name="E1_ACUM" localSheetId="6">#REF!</definedName>
    <definedName name="E1_ACUM" localSheetId="9">#REF!</definedName>
    <definedName name="E1_ACUM" localSheetId="12">#REF!</definedName>
    <definedName name="E1_ACUM">#REF!</definedName>
    <definedName name="E1_COTA" localSheetId="15">#REF!</definedName>
    <definedName name="E1_COTA" localSheetId="6">#REF!</definedName>
    <definedName name="E1_COTA" localSheetId="9">#REF!</definedName>
    <definedName name="E1_COTA" localSheetId="12">#REF!</definedName>
    <definedName name="E1_COTA">#REF!</definedName>
    <definedName name="EDDY">'[114]#¡REF'!#REF!</definedName>
    <definedName name="EDR">'[35]Unit-op-cartel'!#REF!</definedName>
    <definedName name="EDS" localSheetId="15">[4]REV3!$A$34</definedName>
    <definedName name="EDS" localSheetId="6">[4]REV3!$A$34</definedName>
    <definedName name="EDS" localSheetId="9">[4]REV3!$A$34</definedName>
    <definedName name="EDS" localSheetId="12">[4]REV3!$A$34</definedName>
    <definedName name="EDS">[6]REV3!$A$34</definedName>
    <definedName name="EE">'[34]#¡REF'!#REF!</definedName>
    <definedName name="EEE">'[58]1'!#REF!</definedName>
    <definedName name="elba">'[48]#¡REF'!#REF!</definedName>
    <definedName name="ELCENTRO" localSheetId="15">#REF!</definedName>
    <definedName name="ELCENTRO" localSheetId="6">#REF!</definedName>
    <definedName name="ELCENTRO" localSheetId="9">#REF!</definedName>
    <definedName name="ELCENTRO" localSheetId="12">#REF!</definedName>
    <definedName name="ELCENTRO">#REF!</definedName>
    <definedName name="ELCENTRO_1">#REF!</definedName>
    <definedName name="ELCENTRO_7">#REF!</definedName>
    <definedName name="ELECSURESTE" localSheetId="15">#REF!</definedName>
    <definedName name="ELECSURESTE" localSheetId="6">#REF!</definedName>
    <definedName name="ELECSURESTE" localSheetId="9">#REF!</definedName>
    <definedName name="ELECSURESTE" localSheetId="12">#REF!</definedName>
    <definedName name="ELECSURESTE">#REF!</definedName>
    <definedName name="ELECSURESTE_1">#REF!</definedName>
    <definedName name="ELECSURESTE_7">#REF!</definedName>
    <definedName name="ELECSURMEDIO" localSheetId="15">#REF!</definedName>
    <definedName name="ELECSURMEDIO" localSheetId="6">#REF!</definedName>
    <definedName name="ELECSURMEDIO" localSheetId="9">#REF!</definedName>
    <definedName name="ELECSURMEDIO" localSheetId="12">#REF!</definedName>
    <definedName name="ELECSURMEDIO">#REF!</definedName>
    <definedName name="ELECSURMEDIO_1">#REF!</definedName>
    <definedName name="ELECSURMEDIO_7">#REF!</definedName>
    <definedName name="ELECTROLIMA" localSheetId="15">#REF!</definedName>
    <definedName name="ELECTROLIMA" localSheetId="6">#REF!</definedName>
    <definedName name="ELECTROLIMA" localSheetId="9">#REF!</definedName>
    <definedName name="ELECTROLIMA" localSheetId="12">#REF!</definedName>
    <definedName name="ELECTROLIMA">#REF!</definedName>
    <definedName name="ELECTROLIMA_1">#REF!</definedName>
    <definedName name="ELECTROLIMA_7">#REF!</definedName>
    <definedName name="ELECTSUR" localSheetId="15">#REF!</definedName>
    <definedName name="ELECTSUR" localSheetId="6">#REF!</definedName>
    <definedName name="ELECTSUR" localSheetId="9">#REF!</definedName>
    <definedName name="ELECTSUR" localSheetId="12">#REF!</definedName>
    <definedName name="ELECTSUR">#REF!</definedName>
    <definedName name="ELECTSUR_1">#REF!</definedName>
    <definedName name="ELECTSUR_7">#REF!</definedName>
    <definedName name="ELEORIENTE" localSheetId="15">#REF!</definedName>
    <definedName name="ELEORIENTE" localSheetId="6">#REF!</definedName>
    <definedName name="ELEORIENTE" localSheetId="9">#REF!</definedName>
    <definedName name="ELEORIENTE" localSheetId="12">#REF!</definedName>
    <definedName name="ELEORIENTE">#REF!</definedName>
    <definedName name="ELEORIENTE_1">#REF!</definedName>
    <definedName name="ELEORIENTE_7">#REF!</definedName>
    <definedName name="Elim_cemen_I_p11" localSheetId="15">#REF!</definedName>
    <definedName name="Elim_cemen_I_p11" localSheetId="6">#REF!</definedName>
    <definedName name="Elim_cemen_I_p11" localSheetId="9">#REF!</definedName>
    <definedName name="Elim_cemen_I_p11" localSheetId="12">#REF!</definedName>
    <definedName name="Elim_cemen_I_p11">'[62]DATOS DE CAMPO'!$D$6</definedName>
    <definedName name="Elim_cemen_I_p12" localSheetId="15">#REF!</definedName>
    <definedName name="Elim_cemen_I_p12" localSheetId="6">#REF!</definedName>
    <definedName name="Elim_cemen_I_p12" localSheetId="9">#REF!</definedName>
    <definedName name="Elim_cemen_I_p12" localSheetId="12">#REF!</definedName>
    <definedName name="Elim_cemen_I_p12">'[62]DATOS DE CAMPO'!$D$21</definedName>
    <definedName name="Elim_cemen_II_p11" localSheetId="15">#REF!</definedName>
    <definedName name="Elim_cemen_II_p11" localSheetId="6">#REF!</definedName>
    <definedName name="Elim_cemen_II_p11" localSheetId="9">#REF!</definedName>
    <definedName name="Elim_cemen_II_p11" localSheetId="12">#REF!</definedName>
    <definedName name="Elim_cemen_II_p11">'[62]DATOS DE CAMPO'!$D$12</definedName>
    <definedName name="Elim_cemen_II_p12" localSheetId="15">#REF!</definedName>
    <definedName name="Elim_cemen_II_p12" localSheetId="6">#REF!</definedName>
    <definedName name="Elim_cemen_II_p12" localSheetId="9">#REF!</definedName>
    <definedName name="Elim_cemen_II_p12" localSheetId="12">#REF!</definedName>
    <definedName name="Elim_cemen_II_p12">'[62]DATOS DE CAMPO'!$D$27</definedName>
    <definedName name="Elim_I_p11" localSheetId="15">#REF!</definedName>
    <definedName name="Elim_I_p11" localSheetId="6">#REF!</definedName>
    <definedName name="Elim_I_p11" localSheetId="9">#REF!</definedName>
    <definedName name="Elim_I_p11" localSheetId="12">#REF!</definedName>
    <definedName name="Elim_I_p11">'[62]DATOS DE CAMPO'!$D$5</definedName>
    <definedName name="Elim_I_p12" localSheetId="15">#REF!</definedName>
    <definedName name="Elim_I_p12" localSheetId="6">#REF!</definedName>
    <definedName name="Elim_I_p12" localSheetId="9">#REF!</definedName>
    <definedName name="Elim_I_p12" localSheetId="12">#REF!</definedName>
    <definedName name="Elim_I_p12">'[62]DATOS DE CAMPO'!$D$20</definedName>
    <definedName name="Elim_I_pat1" localSheetId="15">#REF!</definedName>
    <definedName name="Elim_I_pat1" localSheetId="6">#REF!</definedName>
    <definedName name="Elim_I_pat1" localSheetId="9">#REF!</definedName>
    <definedName name="Elim_I_pat1" localSheetId="12">#REF!</definedName>
    <definedName name="Elim_I_pat1">'[62]DATOS DE CAMPO'!$P$5</definedName>
    <definedName name="Elim_I_pat1c" localSheetId="15">#REF!</definedName>
    <definedName name="Elim_I_pat1c" localSheetId="6">#REF!</definedName>
    <definedName name="Elim_I_pat1c" localSheetId="9">#REF!</definedName>
    <definedName name="Elim_I_pat1c" localSheetId="12">#REF!</definedName>
    <definedName name="Elim_I_pat1c">'[62]DATOS DE CAMPO'!$P$14</definedName>
    <definedName name="Elim_I_ri" localSheetId="15">#REF!</definedName>
    <definedName name="Elim_I_ri" localSheetId="6">#REF!</definedName>
    <definedName name="Elim_I_ri" localSheetId="9">#REF!</definedName>
    <definedName name="Elim_I_ri" localSheetId="12">#REF!</definedName>
    <definedName name="Elim_I_ri">'[62]DATOS DE CAMPO'!$J$5</definedName>
    <definedName name="Elim_I_rv" localSheetId="15">#REF!</definedName>
    <definedName name="Elim_I_rv" localSheetId="6">#REF!</definedName>
    <definedName name="Elim_I_rv" localSheetId="9">#REF!</definedName>
    <definedName name="Elim_I_rv" localSheetId="12">#REF!</definedName>
    <definedName name="Elim_I_rv">'[62]DATOS DE CAMPO'!$J$14</definedName>
    <definedName name="Elim_II_p11" localSheetId="15">#REF!</definedName>
    <definedName name="Elim_II_p11" localSheetId="6">#REF!</definedName>
    <definedName name="Elim_II_p11" localSheetId="9">#REF!</definedName>
    <definedName name="Elim_II_p11" localSheetId="12">#REF!</definedName>
    <definedName name="Elim_II_p11">'[62]DATOS DE CAMPO'!$D$11</definedName>
    <definedName name="Elim_II_p12" localSheetId="15">#REF!</definedName>
    <definedName name="Elim_II_p12" localSheetId="6">#REF!</definedName>
    <definedName name="Elim_II_p12" localSheetId="9">#REF!</definedName>
    <definedName name="Elim_II_p12" localSheetId="12">#REF!</definedName>
    <definedName name="Elim_II_p12">'[62]DATOS DE CAMPO'!$D$26</definedName>
    <definedName name="Elim_II_pat1" localSheetId="15">#REF!</definedName>
    <definedName name="Elim_II_pat1" localSheetId="6">#REF!</definedName>
    <definedName name="Elim_II_pat1" localSheetId="9">#REF!</definedName>
    <definedName name="Elim_II_pat1" localSheetId="12">#REF!</definedName>
    <definedName name="Elim_II_pat1">'[62]DATOS DE CAMPO'!$P$8</definedName>
    <definedName name="Elim_II_pat1c" localSheetId="15">#REF!</definedName>
    <definedName name="Elim_II_pat1c" localSheetId="6">#REF!</definedName>
    <definedName name="Elim_II_pat1c" localSheetId="9">#REF!</definedName>
    <definedName name="Elim_II_pat1c" localSheetId="12">#REF!</definedName>
    <definedName name="Elim_II_pat1c">'[62]DATOS DE CAMPO'!$P$17</definedName>
    <definedName name="Elim_II_ri" localSheetId="15">#REF!</definedName>
    <definedName name="Elim_II_ri" localSheetId="6">#REF!</definedName>
    <definedName name="Elim_II_ri" localSheetId="9">#REF!</definedName>
    <definedName name="Elim_II_ri" localSheetId="12">#REF!</definedName>
    <definedName name="Elim_II_ri">'[62]DATOS DE CAMPO'!$J$8</definedName>
    <definedName name="Elim_II_rv" localSheetId="15">#REF!</definedName>
    <definedName name="Elim_II_rv" localSheetId="6">#REF!</definedName>
    <definedName name="Elim_II_rv" localSheetId="9">#REF!</definedName>
    <definedName name="Elim_II_rv" localSheetId="12">#REF!</definedName>
    <definedName name="Elim_II_rv">'[62]DATOS DE CAMPO'!$J$17</definedName>
    <definedName name="Elim_III_p11" localSheetId="15">#REF!</definedName>
    <definedName name="Elim_III_p11" localSheetId="6">#REF!</definedName>
    <definedName name="Elim_III_p11" localSheetId="9">#REF!</definedName>
    <definedName name="Elim_III_p11" localSheetId="12">#REF!</definedName>
    <definedName name="Elim_III_p11">'[62]DATOS DE CAMPO'!$D$15</definedName>
    <definedName name="Elim_III_p12" localSheetId="15">#REF!</definedName>
    <definedName name="Elim_III_p12" localSheetId="6">#REF!</definedName>
    <definedName name="Elim_III_p12" localSheetId="9">#REF!</definedName>
    <definedName name="Elim_III_p12" localSheetId="12">#REF!</definedName>
    <definedName name="Elim_III_p12">'[62]DATOS DE CAMPO'!$D$30</definedName>
    <definedName name="Elim_III_pat1" localSheetId="15">#REF!</definedName>
    <definedName name="Elim_III_pat1" localSheetId="6">#REF!</definedName>
    <definedName name="Elim_III_pat1" localSheetId="9">#REF!</definedName>
    <definedName name="Elim_III_pat1" localSheetId="12">#REF!</definedName>
    <definedName name="Elim_III_pat1">'[62]DATOS DE CAMPO'!$P$11</definedName>
    <definedName name="Elim_III_pat1c" localSheetId="15">#REF!</definedName>
    <definedName name="Elim_III_pat1c" localSheetId="6">#REF!</definedName>
    <definedName name="Elim_III_pat1c" localSheetId="9">#REF!</definedName>
    <definedName name="Elim_III_pat1c" localSheetId="12">#REF!</definedName>
    <definedName name="Elim_III_pat1c">'[62]DATOS DE CAMPO'!$P$20</definedName>
    <definedName name="Elim_III_ri" localSheetId="15">#REF!</definedName>
    <definedName name="Elim_III_ri" localSheetId="6">#REF!</definedName>
    <definedName name="Elim_III_ri" localSheetId="9">#REF!</definedName>
    <definedName name="Elim_III_ri" localSheetId="12">#REF!</definedName>
    <definedName name="Elim_III_ri">'[62]DATOS DE CAMPO'!$J$11</definedName>
    <definedName name="Elim_III_rv" localSheetId="15">#REF!</definedName>
    <definedName name="Elim_III_rv" localSheetId="6">#REF!</definedName>
    <definedName name="Elim_III_rv" localSheetId="9">#REF!</definedName>
    <definedName name="Elim_III_rv" localSheetId="12">#REF!</definedName>
    <definedName name="Elim_III_rv">'[62]DATOS DE CAMPO'!$J$20</definedName>
    <definedName name="ELIMA" localSheetId="15">#REF!</definedName>
    <definedName name="ELIMA" localSheetId="6">#REF!</definedName>
    <definedName name="ELIMA" localSheetId="9">#REF!</definedName>
    <definedName name="ELIMA" localSheetId="12">#REF!</definedName>
    <definedName name="ELIMA">#REF!</definedName>
    <definedName name="ELIMA_1">#REF!</definedName>
    <definedName name="ELIMA_7">#REF!</definedName>
    <definedName name="Eliminación_material">[60]Datos_Proyectos!#REF!</definedName>
    <definedName name="elmer" localSheetId="15">'[29]#¡REF'!#REF!</definedName>
    <definedName name="elmer" localSheetId="6">'[29]#¡REF'!#REF!</definedName>
    <definedName name="elmer" localSheetId="9">'[29]#¡REF'!#REF!</definedName>
    <definedName name="elmer" localSheetId="12">'[29]#¡REF'!#REF!</definedName>
    <definedName name="elmer">'[34]#¡REF'!#REF!</definedName>
    <definedName name="ELMER1" localSheetId="15">#REF!</definedName>
    <definedName name="ELMER1" localSheetId="6">#REF!</definedName>
    <definedName name="ELMER1" localSheetId="9">#REF!</definedName>
    <definedName name="ELMER1" localSheetId="12">#REF!</definedName>
    <definedName name="ELMER1">#REF!</definedName>
    <definedName name="ELNORTE" localSheetId="15">#REF!</definedName>
    <definedName name="ELNORTE" localSheetId="6">#REF!</definedName>
    <definedName name="ELNORTE" localSheetId="9">#REF!</definedName>
    <definedName name="ELNORTE" localSheetId="12">#REF!</definedName>
    <definedName name="ELNORTE">#REF!</definedName>
    <definedName name="ELNORTE_1">#REF!</definedName>
    <definedName name="ELNORTE_7">#REF!</definedName>
    <definedName name="ELSUR" localSheetId="15">#REF!</definedName>
    <definedName name="ELSUR" localSheetId="6">#REF!</definedName>
    <definedName name="ELSUR" localSheetId="9">#REF!</definedName>
    <definedName name="ELSUR" localSheetId="12">#REF!</definedName>
    <definedName name="ELSUR">#REF!</definedName>
    <definedName name="ELSUR_1">#REF!</definedName>
    <definedName name="ELSUR_7">#REF!</definedName>
    <definedName name="ELSURESTE" localSheetId="15">#REF!</definedName>
    <definedName name="ELSURESTE" localSheetId="6">#REF!</definedName>
    <definedName name="ELSURESTE" localSheetId="9">#REF!</definedName>
    <definedName name="ELSURESTE" localSheetId="12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'[63]BASE-RS'!$CJ$38:$CN$465</definedName>
    <definedName name="Engrasado">[93]CONFIGURACIÓN!#REF!</definedName>
    <definedName name="Engrase">'[93]CONTEO DE DATOS'!#REF!</definedName>
    <definedName name="Equipo" localSheetId="15">#REF!</definedName>
    <definedName name="Equipo" localSheetId="6">#REF!</definedName>
    <definedName name="Equipo" localSheetId="9">#REF!</definedName>
    <definedName name="Equipo" localSheetId="12">#REF!</definedName>
    <definedName name="Equipo">#REF!</definedName>
    <definedName name="Equipo_7">#REF!</definedName>
    <definedName name="equipos">#REF!</definedName>
    <definedName name="ER">'[107]1'!#REF!</definedName>
    <definedName name="ericka">'[76]#¡REF'!#REF!</definedName>
    <definedName name="ERR_1" localSheetId="15">[115]CALCULO!#REF!</definedName>
    <definedName name="ERR_1" localSheetId="6">[115]CALCULO!#REF!</definedName>
    <definedName name="ERR_1" localSheetId="9">[115]CALCULO!#REF!</definedName>
    <definedName name="ERR_1" localSheetId="12">[115]CALCULO!#REF!</definedName>
    <definedName name="ERR_1">[105]CALCULO!#REF!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'[102]#¡REF'!#REF!</definedName>
    <definedName name="ewewe">'[102]#¡REF'!#REF!</definedName>
    <definedName name="ewewww">'[102]#¡REF'!#REF!</definedName>
    <definedName name="EWFWEDFD">#REF!</definedName>
    <definedName name="ewg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 localSheetId="15">#REF!</definedName>
    <definedName name="Exc_12cac" localSheetId="6">#REF!</definedName>
    <definedName name="Exc_12cac" localSheetId="9">'[88]DATOS DE CAMPO'!#REF!</definedName>
    <definedName name="Exc_12cac" localSheetId="12">#REF!</definedName>
    <definedName name="Exc_12cac">'[89]DATOS DE CAMPO'!#REF!</definedName>
    <definedName name="Exc_conductor">#REF!</definedName>
    <definedName name="Exca_11cac" localSheetId="15">#REF!</definedName>
    <definedName name="Exca_11cac" localSheetId="6">#REF!</definedName>
    <definedName name="Exca_11cac" localSheetId="9">'[88]DATOS DE CAMPO'!#REF!</definedName>
    <definedName name="Exca_11cac" localSheetId="12">#REF!</definedName>
    <definedName name="Exca_11cac">'[89]DATOS DE CAMPO'!#REF!</definedName>
    <definedName name="Exca_12cac" localSheetId="15">#REF!</definedName>
    <definedName name="Exca_12cac" localSheetId="6">#REF!</definedName>
    <definedName name="Exca_12cac" localSheetId="9">'[88]DATOS DE CAMPO'!#REF!</definedName>
    <definedName name="Exca_12cac" localSheetId="12">#REF!</definedName>
    <definedName name="Exca_12cac">'[89]DATOS DE CAMPO'!#REF!</definedName>
    <definedName name="Exca_cemen_I_p11" localSheetId="15">#REF!</definedName>
    <definedName name="Exca_cemen_I_p11" localSheetId="6">#REF!</definedName>
    <definedName name="Exca_cemen_I_p11" localSheetId="9">#REF!</definedName>
    <definedName name="Exca_cemen_I_p11" localSheetId="12">#REF!</definedName>
    <definedName name="Exca_cemen_I_p11">'[62]DATOS DE CAMPO'!$D$2</definedName>
    <definedName name="Exca_cemen_I_p12" localSheetId="15">#REF!</definedName>
    <definedName name="Exca_cemen_I_p12" localSheetId="6">#REF!</definedName>
    <definedName name="Exca_cemen_I_p12" localSheetId="9">#REF!</definedName>
    <definedName name="Exca_cemen_I_p12" localSheetId="12">#REF!</definedName>
    <definedName name="Exca_cemen_I_p12">'[62]DATOS DE CAMPO'!$D$17</definedName>
    <definedName name="Exca_cemen_II_p11" localSheetId="15">#REF!</definedName>
    <definedName name="Exca_cemen_II_p11" localSheetId="6">#REF!</definedName>
    <definedName name="Exca_cemen_II_p11" localSheetId="9">#REF!</definedName>
    <definedName name="Exca_cemen_II_p11" localSheetId="12">#REF!</definedName>
    <definedName name="Exca_cemen_II_p11">'[62]DATOS DE CAMPO'!$D$8</definedName>
    <definedName name="Exca_cemen_II_p12" localSheetId="15">#REF!</definedName>
    <definedName name="Exca_cemen_II_p12" localSheetId="6">#REF!</definedName>
    <definedName name="Exca_cemen_II_p12" localSheetId="9">#REF!</definedName>
    <definedName name="Exca_cemen_II_p12" localSheetId="12">#REF!</definedName>
    <definedName name="Exca_cemen_II_p12">'[62]DATOS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[116]Datos_Proyectos!#REF!</definedName>
    <definedName name="Exca_I_11_5D_cemento">[116]Datos_Proyectos!#REF!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[59]Proyecto!#REF!</definedName>
    <definedName name="Exca_I_13_300">#REF!</definedName>
    <definedName name="Exca_I_13_300_cemento">#REF!</definedName>
    <definedName name="Exca_I_13_300_Secc">[116]Datos_Proyectos!#REF!</definedName>
    <definedName name="Exca_I_13_300_Secc_cemento">[116]Datos_Proyectos!#REF!</definedName>
    <definedName name="Exca_I_13_400">#REF!</definedName>
    <definedName name="Exca_I_13_400_cemento">#REF!</definedName>
    <definedName name="Exca_I_13_400_Secc">[116]Datos_Proyectos!#REF!</definedName>
    <definedName name="Exca_I_13_400_Secc_cemento">[116]Datos_Proyectos!#REF!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 localSheetId="15">#REF!</definedName>
    <definedName name="Exca_I_p11" localSheetId="6">#REF!</definedName>
    <definedName name="Exca_I_p11" localSheetId="9">#REF!</definedName>
    <definedName name="Exca_I_p11" localSheetId="12">#REF!</definedName>
    <definedName name="Exca_I_p11">'[62]DATOS DE CAMPO'!$D$1</definedName>
    <definedName name="Exca_I_p12" localSheetId="15">#REF!</definedName>
    <definedName name="Exca_I_p12" localSheetId="6">#REF!</definedName>
    <definedName name="Exca_I_p12" localSheetId="9">#REF!</definedName>
    <definedName name="Exca_I_p12" localSheetId="12">#REF!</definedName>
    <definedName name="Exca_I_p12">'[62]DATOS DE CAMPO'!$D$16</definedName>
    <definedName name="Exca_I_pat1" localSheetId="15">#REF!</definedName>
    <definedName name="Exca_I_pat1" localSheetId="6">#REF!</definedName>
    <definedName name="Exca_I_pat1" localSheetId="9">#REF!</definedName>
    <definedName name="Exca_I_pat1" localSheetId="12">#REF!</definedName>
    <definedName name="Exca_I_pat1">'[62]DATOS DE CAMPO'!$P$3</definedName>
    <definedName name="Exca_I_pat1c" localSheetId="15">#REF!</definedName>
    <definedName name="Exca_I_pat1c" localSheetId="6">#REF!</definedName>
    <definedName name="Exca_I_pat1c" localSheetId="9">#REF!</definedName>
    <definedName name="Exca_I_pat1c" localSheetId="12">#REF!</definedName>
    <definedName name="Exca_I_pat1c">'[62]DATOS DE CAMPO'!$P$12</definedName>
    <definedName name="Exca_I_ri" localSheetId="15">#REF!</definedName>
    <definedName name="Exca_I_ri" localSheetId="6">#REF!</definedName>
    <definedName name="Exca_I_ri" localSheetId="9">#REF!</definedName>
    <definedName name="Exca_I_ri" localSheetId="12">#REF!</definedName>
    <definedName name="Exca_I_ri">'[62]DATOS DE CAMPO'!$J$3</definedName>
    <definedName name="Exca_I_rv" localSheetId="15">#REF!</definedName>
    <definedName name="Exca_I_rv" localSheetId="6">#REF!</definedName>
    <definedName name="Exca_I_rv" localSheetId="9">#REF!</definedName>
    <definedName name="Exca_I_rv" localSheetId="12">#REF!</definedName>
    <definedName name="Exca_I_rv">'[62]DATOS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[116]Datos_Proyectos!#REF!</definedName>
    <definedName name="Exca_II_11_5D_cemento">[116]Datos_Proyectos!#REF!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[59]Proyecto!#REF!</definedName>
    <definedName name="Exca_II_13_300">#REF!</definedName>
    <definedName name="Exca_II_13_300_cemento">#REF!</definedName>
    <definedName name="Exca_II_13_300_Secc">[116]Datos_Proyectos!#REF!</definedName>
    <definedName name="Exca_II_13_300_Secc_cemento">[116]Datos_Proyectos!#REF!</definedName>
    <definedName name="Exca_II_13_400">#REF!</definedName>
    <definedName name="Exca_II_13_400_cemento">#REF!</definedName>
    <definedName name="Exca_II_13_400_Secc">[116]Datos_Proyectos!#REF!</definedName>
    <definedName name="Exca_II_13_400_Secc_cemento">[116]Datos_Proyectos!#REF!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 localSheetId="15">#REF!</definedName>
    <definedName name="Exca_II_p11" localSheetId="6">#REF!</definedName>
    <definedName name="Exca_II_p11" localSheetId="9">#REF!</definedName>
    <definedName name="Exca_II_p11" localSheetId="12">#REF!</definedName>
    <definedName name="Exca_II_p11">'[62]DATOS DE CAMPO'!$D$7</definedName>
    <definedName name="Exca_II_p12" localSheetId="15">#REF!</definedName>
    <definedName name="Exca_II_p12" localSheetId="6">#REF!</definedName>
    <definedName name="Exca_II_p12" localSheetId="9">#REF!</definedName>
    <definedName name="Exca_II_p12" localSheetId="12">#REF!</definedName>
    <definedName name="Exca_II_p12">'[62]DATOS DE CAMPO'!$D$22</definedName>
    <definedName name="Exca_II_pat1" localSheetId="15">#REF!</definedName>
    <definedName name="Exca_II_pat1" localSheetId="6">#REF!</definedName>
    <definedName name="Exca_II_pat1" localSheetId="9">#REF!</definedName>
    <definedName name="Exca_II_pat1" localSheetId="12">#REF!</definedName>
    <definedName name="Exca_II_pat1">'[62]DATOS DE CAMPO'!$P$6</definedName>
    <definedName name="Exca_II_pat1c" localSheetId="15">#REF!</definedName>
    <definedName name="Exca_II_pat1c" localSheetId="6">#REF!</definedName>
    <definedName name="Exca_II_pat1c" localSheetId="9">#REF!</definedName>
    <definedName name="Exca_II_pat1c" localSheetId="12">#REF!</definedName>
    <definedName name="Exca_II_pat1c">'[62]DATOS DE CAMPO'!$P$15</definedName>
    <definedName name="Exca_II_ri" localSheetId="15">#REF!</definedName>
    <definedName name="Exca_II_ri" localSheetId="6">#REF!</definedName>
    <definedName name="Exca_II_ri" localSheetId="9">#REF!</definedName>
    <definedName name="Exca_II_ri" localSheetId="12">#REF!</definedName>
    <definedName name="Exca_II_ri">'[62]DATOS DE CAMPO'!$J$6</definedName>
    <definedName name="Exca_II_rv" localSheetId="15">#REF!</definedName>
    <definedName name="Exca_II_rv" localSheetId="6">#REF!</definedName>
    <definedName name="Exca_II_rv" localSheetId="9">#REF!</definedName>
    <definedName name="Exca_II_rv" localSheetId="12">#REF!</definedName>
    <definedName name="Exca_II_rv">'[62]DATOS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[116]Datos_Proyectos!#REF!</definedName>
    <definedName name="Exca_III_11_5D_cemento">[116]Datos_Proyectos!#REF!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[59]Proyecto!#REF!</definedName>
    <definedName name="Exca_III_13_300">#REF!</definedName>
    <definedName name="Exca_III_13_300_cemento">#REF!</definedName>
    <definedName name="Exca_III_13_300_Secc">[116]Datos_Proyectos!#REF!</definedName>
    <definedName name="Exca_III_13_300_Secc_cemento">[116]Datos_Proyectos!#REF!</definedName>
    <definedName name="Exca_III_13_400">#REF!</definedName>
    <definedName name="Exca_III_13_400_cemento">#REF!</definedName>
    <definedName name="Exca_III_13_400_Secc">[116]Datos_Proyectos!#REF!</definedName>
    <definedName name="Exca_III_13_400_Secc_cemento">[116]Datos_Proyectos!#REF!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 localSheetId="15">#REF!</definedName>
    <definedName name="Exca_III_p11" localSheetId="6">#REF!</definedName>
    <definedName name="Exca_III_p11" localSheetId="9">#REF!</definedName>
    <definedName name="Exca_III_p11" localSheetId="12">#REF!</definedName>
    <definedName name="Exca_III_p11">'[62]DATOS DE CAMPO'!$D$13</definedName>
    <definedName name="Exca_III_p12" localSheetId="15">#REF!</definedName>
    <definedName name="Exca_III_p12" localSheetId="6">#REF!</definedName>
    <definedName name="Exca_III_p12" localSheetId="9">#REF!</definedName>
    <definedName name="Exca_III_p12" localSheetId="12">#REF!</definedName>
    <definedName name="Exca_III_p12">'[62]DATOS DE CAMPO'!$D$28</definedName>
    <definedName name="Exca_III_pat1" localSheetId="15">#REF!</definedName>
    <definedName name="Exca_III_pat1" localSheetId="6">#REF!</definedName>
    <definedName name="Exca_III_pat1" localSheetId="9">#REF!</definedName>
    <definedName name="Exca_III_pat1" localSheetId="12">#REF!</definedName>
    <definedName name="Exca_III_pat1">'[62]DATOS DE CAMPO'!$P$9</definedName>
    <definedName name="Exca_III_pat1c" localSheetId="15">#REF!</definedName>
    <definedName name="Exca_III_pat1c" localSheetId="6">#REF!</definedName>
    <definedName name="Exca_III_pat1c" localSheetId="9">#REF!</definedName>
    <definedName name="Exca_III_pat1c" localSheetId="12">#REF!</definedName>
    <definedName name="Exca_III_pat1c">'[62]DATOS DE CAMPO'!$P$18</definedName>
    <definedName name="Exca_III_ri" localSheetId="15">#REF!</definedName>
    <definedName name="Exca_III_ri" localSheetId="6">#REF!</definedName>
    <definedName name="Exca_III_ri" localSheetId="9">#REF!</definedName>
    <definedName name="Exca_III_ri" localSheetId="12">#REF!</definedName>
    <definedName name="Exca_III_ri">'[62]DATOS DE CAMPO'!$J$9</definedName>
    <definedName name="Exca_III_rv" localSheetId="15">#REF!</definedName>
    <definedName name="Exca_III_rv" localSheetId="6">#REF!</definedName>
    <definedName name="Exca_III_rv" localSheetId="9">#REF!</definedName>
    <definedName name="Exca_III_rv" localSheetId="12">#REF!</definedName>
    <definedName name="Exca_III_rv">'[62]DATOS DE CAMPO'!$J$18</definedName>
    <definedName name="Exca_III_TORRE_30">#REF!</definedName>
    <definedName name="Exca_III_TORRE_30_cemento">#REF!</definedName>
    <definedName name="Exca_pat_1" localSheetId="15">#REF!</definedName>
    <definedName name="Exca_pat_1" localSheetId="6">#REF!</definedName>
    <definedName name="Exca_pat_1" localSheetId="9">#REF!</definedName>
    <definedName name="Exca_pat_1" localSheetId="12">#REF!</definedName>
    <definedName name="Exca_pat_1">#REF!</definedName>
    <definedName name="Exca_PAT_1_rs">#REF!</definedName>
    <definedName name="Exca_pat_1C" localSheetId="15">#REF!</definedName>
    <definedName name="Exca_pat_1C" localSheetId="6">#REF!</definedName>
    <definedName name="Exca_pat_1C" localSheetId="9">#REF!</definedName>
    <definedName name="Exca_pat_1C" localSheetId="12">#REF!</definedName>
    <definedName name="Exca_pat_1C">#REF!</definedName>
    <definedName name="Exca_PAT_2">#REF!</definedName>
    <definedName name="Exca_PAT_3">#REF!</definedName>
    <definedName name="Exca_ret" localSheetId="15">#REF!</definedName>
    <definedName name="Exca_ret" localSheetId="6">#REF!</definedName>
    <definedName name="Exca_ret" localSheetId="9">'[88]DATOS DE CAMPO'!#REF!</definedName>
    <definedName name="Exca_ret" localSheetId="12">#REF!</definedName>
    <definedName name="Exca_ret">'[89]DATOS DE CAMPO'!#REF!</definedName>
    <definedName name="Exca_RI" localSheetId="15">#REF!</definedName>
    <definedName name="Exca_RI" localSheetId="6">#REF!</definedName>
    <definedName name="Exca_RI" localSheetId="9">#REF!</definedName>
    <definedName name="Exca_RI" localSheetId="12">#REF!</definedName>
    <definedName name="Exca_RI">#REF!</definedName>
    <definedName name="Exca_RI_rs">#REF!</definedName>
    <definedName name="Exca_RV" localSheetId="15">#REF!</definedName>
    <definedName name="Exca_RV" localSheetId="6">#REF!</definedName>
    <definedName name="Exca_RV" localSheetId="9">#REF!</definedName>
    <definedName name="Exca_RV" localSheetId="12">#REF!</definedName>
    <definedName name="Exca_RV">#REF!</definedName>
    <definedName name="Exca_RV_rs">#REF!</definedName>
    <definedName name="EXCAVACIONES">#REF!</definedName>
    <definedName name="Excel_BuiltIn__FilterDatabase_1" localSheetId="15">'[83]Consun Energ_ _Anexo_5_2_5_'!$A$3:$U$30</definedName>
    <definedName name="Excel_BuiltIn__FilterDatabase_1" localSheetId="6">'[83]Consun Energ_ _Anexo_5_2_5_'!$A$3:$U$30</definedName>
    <definedName name="Excel_BuiltIn__FilterDatabase_1" localSheetId="9">'[83]Consun Energ_ _Anexo_5_2_5_'!$A$3:$U$30</definedName>
    <definedName name="Excel_BuiltIn__FilterDatabase_1" localSheetId="12">'[83]Consun Energ_ _Anexo_5_2_5_'!$A$3:$U$30</definedName>
    <definedName name="Excel_BuiltIn__FilterDatabase_1">'[84]Consun Energ_ _Anexo_5_2_5_'!$A$3:$U$30</definedName>
    <definedName name="Excel_BuiltIn__FilterDatabase_10" localSheetId="15">#REF!</definedName>
    <definedName name="Excel_BuiltIn__FilterDatabase_10" localSheetId="6">#REF!</definedName>
    <definedName name="Excel_BuiltIn__FilterDatabase_10" localSheetId="9">#REF!</definedName>
    <definedName name="Excel_BuiltIn__FilterDatabase_10" localSheetId="12">#REF!</definedName>
    <definedName name="Excel_BuiltIn__FilterDatabase_10">#REF!</definedName>
    <definedName name="Excel_BuiltIn__FilterDatabase_11" localSheetId="15">#REF!</definedName>
    <definedName name="Excel_BuiltIn__FilterDatabase_11" localSheetId="6">#REF!</definedName>
    <definedName name="Excel_BuiltIn__FilterDatabase_11" localSheetId="9">#REF!</definedName>
    <definedName name="Excel_BuiltIn__FilterDatabase_11" localSheetId="12">#REF!</definedName>
    <definedName name="Excel_BuiltIn__FilterDatabase_11">#REF!</definedName>
    <definedName name="Excel_BuiltIn__FilterDatabase_12" localSheetId="15">#REF!</definedName>
    <definedName name="Excel_BuiltIn__FilterDatabase_12" localSheetId="6">#REF!</definedName>
    <definedName name="Excel_BuiltIn__FilterDatabase_12" localSheetId="9">#REF!</definedName>
    <definedName name="Excel_BuiltIn__FilterDatabase_12" localSheetId="12">#REF!</definedName>
    <definedName name="Excel_BuiltIn__FilterDatabase_12">#REF!</definedName>
    <definedName name="Excel_BuiltIn__FilterDatabase_14" localSheetId="15">#REF!</definedName>
    <definedName name="Excel_BuiltIn__FilterDatabase_14" localSheetId="6">#REF!</definedName>
    <definedName name="Excel_BuiltIn__FilterDatabase_14" localSheetId="9">#REF!</definedName>
    <definedName name="Excel_BuiltIn__FilterDatabase_14" localSheetId="12">#REF!</definedName>
    <definedName name="Excel_BuiltIn__FilterDatabase_14">#REF!</definedName>
    <definedName name="Excel_BuiltIn__FilterDatabase_15" localSheetId="15">#REF!</definedName>
    <definedName name="Excel_BuiltIn__FilterDatabase_15" localSheetId="6">#REF!</definedName>
    <definedName name="Excel_BuiltIn__FilterDatabase_15" localSheetId="9">#REF!</definedName>
    <definedName name="Excel_BuiltIn__FilterDatabase_15" localSheetId="12">#REF!</definedName>
    <definedName name="Excel_BuiltIn__FilterDatabase_15">#REF!</definedName>
    <definedName name="Excel_BuiltIn__FilterDatabase_16" localSheetId="15">#REF!</definedName>
    <definedName name="Excel_BuiltIn__FilterDatabase_16" localSheetId="6">#REF!</definedName>
    <definedName name="Excel_BuiltIn__FilterDatabase_16" localSheetId="9">#REF!</definedName>
    <definedName name="Excel_BuiltIn__FilterDatabase_16" localSheetId="12">#REF!</definedName>
    <definedName name="Excel_BuiltIn__FilterDatabase_16">#REF!</definedName>
    <definedName name="Excel_BuiltIn__FilterDatabase_2" localSheetId="15">#REF!</definedName>
    <definedName name="Excel_BuiltIn__FilterDatabase_2" localSheetId="6">#REF!</definedName>
    <definedName name="Excel_BuiltIn__FilterDatabase_2" localSheetId="9">#REF!</definedName>
    <definedName name="Excel_BuiltIn__FilterDatabase_2" localSheetId="12">#REF!</definedName>
    <definedName name="Excel_BuiltIn__FilterDatabase_2">#REF!</definedName>
    <definedName name="Excel_BuiltIn__FilterDatabase_22" localSheetId="15">#REF!</definedName>
    <definedName name="Excel_BuiltIn__FilterDatabase_22" localSheetId="6">#REF!</definedName>
    <definedName name="Excel_BuiltIn__FilterDatabase_22" localSheetId="9">#REF!</definedName>
    <definedName name="Excel_BuiltIn__FilterDatabase_22" localSheetId="12">#REF!</definedName>
    <definedName name="Excel_BuiltIn__FilterDatabase_22">#REF!</definedName>
    <definedName name="Excel_BuiltIn__FilterDatabase_3" localSheetId="15">#REF!</definedName>
    <definedName name="Excel_BuiltIn__FilterDatabase_3" localSheetId="6">#REF!</definedName>
    <definedName name="Excel_BuiltIn__FilterDatabase_3" localSheetId="9">#REF!</definedName>
    <definedName name="Excel_BuiltIn__FilterDatabase_3" localSheetId="12">#REF!</definedName>
    <definedName name="Excel_BuiltIn__FilterDatabase_3">#REF!</definedName>
    <definedName name="Excel_BuiltIn__FilterDatabase_4" localSheetId="15">#REF!</definedName>
    <definedName name="Excel_BuiltIn__FilterDatabase_4" localSheetId="6">#REF!</definedName>
    <definedName name="Excel_BuiltIn__FilterDatabase_4" localSheetId="9">#REF!</definedName>
    <definedName name="Excel_BuiltIn__FilterDatabase_4" localSheetId="12">#REF!</definedName>
    <definedName name="Excel_BuiltIn__FilterDatabase_4">#REF!</definedName>
    <definedName name="Excel_BuiltIn__FilterDatabase_6">#REF!</definedName>
    <definedName name="Excel_BuiltIn__FilterDatabase_7" localSheetId="15">'[83]3_1'!$G$4:$G$115</definedName>
    <definedName name="Excel_BuiltIn__FilterDatabase_7" localSheetId="6">'[83]3_1'!$G$4:$G$115</definedName>
    <definedName name="Excel_BuiltIn__FilterDatabase_7" localSheetId="9">'[83]3_1'!$G$4:$G$115</definedName>
    <definedName name="Excel_BuiltIn__FilterDatabase_7" localSheetId="12">'[83]3_1'!$G$4:$G$115</definedName>
    <definedName name="Excel_BuiltIn__FilterDatabase_7">'[84]3_1'!$G$4:$G$115</definedName>
    <definedName name="Excel_BuiltIn__FilterDatabase_8" localSheetId="15">#REF!</definedName>
    <definedName name="Excel_BuiltIn__FilterDatabase_8" localSheetId="6">#REF!</definedName>
    <definedName name="Excel_BuiltIn__FilterDatabase_8" localSheetId="9">#REF!</definedName>
    <definedName name="Excel_BuiltIn__FilterDatabase_8" localSheetId="12">#REF!</definedName>
    <definedName name="Excel_BuiltIn__FilterDatabase_8">#REF!</definedName>
    <definedName name="Excel_BuiltIn_Criteria">#REF!</definedName>
    <definedName name="Excel_BuiltIn_Database" localSheetId="15">#REF!</definedName>
    <definedName name="Excel_BuiltIn_Database" localSheetId="6">#REF!</definedName>
    <definedName name="Excel_BuiltIn_Database" localSheetId="9">#REF!</definedName>
    <definedName name="Excel_BuiltIn_Database" localSheetId="12">#REF!</definedName>
    <definedName name="Excel_BuiltIn_Database">#REF!</definedName>
    <definedName name="Excel_BuiltIn_Extract">#REF!</definedName>
    <definedName name="Excel_BuiltIn_Print_Area" localSheetId="15">[117]CAP_120mm2!$B$3:$H$58</definedName>
    <definedName name="Excel_BuiltIn_Print_Area" localSheetId="6">[117]CAP_120mm2!$B$3:$H$58</definedName>
    <definedName name="Excel_BuiltIn_Print_Area" localSheetId="9">[117]CAP_120mm2!$B$3:$H$58</definedName>
    <definedName name="Excel_BuiltIn_Print_Area" localSheetId="12">[117]CAP_120mm2!$B$3:$H$58</definedName>
    <definedName name="Excel_BuiltIn_Print_Area">[118]CAP_120mm2!$B$3:$H$58</definedName>
    <definedName name="Excel_BuiltIn_Print_Area_1">'[41]Anexo F.3.1 '!#REF!</definedName>
    <definedName name="Excel_BuiltIn_Print_Area_10" localSheetId="15">#REF!</definedName>
    <definedName name="Excel_BuiltIn_Print_Area_10" localSheetId="6">#REF!</definedName>
    <definedName name="Excel_BuiltIn_Print_Area_10" localSheetId="9">#REF!</definedName>
    <definedName name="Excel_BuiltIn_Print_Area_10" localSheetId="12">#REF!</definedName>
    <definedName name="Excel_BuiltIn_Print_Area_10">#REF!</definedName>
    <definedName name="Excel_BuiltIn_Print_Area_11" localSheetId="15">#REF!</definedName>
    <definedName name="Excel_BuiltIn_Print_Area_11" localSheetId="6">#REF!</definedName>
    <definedName name="Excel_BuiltIn_Print_Area_11" localSheetId="9">#REF!</definedName>
    <definedName name="Excel_BuiltIn_Print_Area_11" localSheetId="12">#REF!</definedName>
    <definedName name="Excel_BuiltIn_Print_Area_11">#REF!</definedName>
    <definedName name="Excel_BuiltIn_Print_Area_18" localSheetId="15">#REF!</definedName>
    <definedName name="Excel_BuiltIn_Print_Area_18" localSheetId="6">#REF!</definedName>
    <definedName name="Excel_BuiltIn_Print_Area_18" localSheetId="9">#REF!</definedName>
    <definedName name="Excel_BuiltIn_Print_Area_18" localSheetId="12">#REF!</definedName>
    <definedName name="Excel_BuiltIn_Print_Area_18">#REF!</definedName>
    <definedName name="Excel_BuiltIn_Print_Area_19" localSheetId="15">#REF!</definedName>
    <definedName name="Excel_BuiltIn_Print_Area_19" localSheetId="6">#REF!</definedName>
    <definedName name="Excel_BuiltIn_Print_Area_19" localSheetId="9">#REF!</definedName>
    <definedName name="Excel_BuiltIn_Print_Area_19" localSheetId="12">#REF!</definedName>
    <definedName name="Excel_BuiltIn_Print_Area_19">#REF!</definedName>
    <definedName name="Excel_BuiltIn_Print_Area_2" localSheetId="15">#REF!</definedName>
    <definedName name="Excel_BuiltIn_Print_Area_2" localSheetId="6">#REF!</definedName>
    <definedName name="Excel_BuiltIn_Print_Area_2" localSheetId="9">#REF!</definedName>
    <definedName name="Excel_BuiltIn_Print_Area_2" localSheetId="12">#REF!</definedName>
    <definedName name="Excel_BuiltIn_Print_Area_2">#REF!</definedName>
    <definedName name="Excel_BuiltIn_Print_Area_21" localSheetId="15">#REF!</definedName>
    <definedName name="Excel_BuiltIn_Print_Area_21" localSheetId="6">#REF!</definedName>
    <definedName name="Excel_BuiltIn_Print_Area_21" localSheetId="9">#REF!</definedName>
    <definedName name="Excel_BuiltIn_Print_Area_21" localSheetId="12">#REF!</definedName>
    <definedName name="Excel_BuiltIn_Print_Area_21">#REF!</definedName>
    <definedName name="Excel_BuiltIn_Print_Area_22" localSheetId="15">#REF!</definedName>
    <definedName name="Excel_BuiltIn_Print_Area_22" localSheetId="6">#REF!</definedName>
    <definedName name="Excel_BuiltIn_Print_Area_22" localSheetId="9">#REF!</definedName>
    <definedName name="Excel_BuiltIn_Print_Area_22" localSheetId="12">#REF!</definedName>
    <definedName name="Excel_BuiltIn_Print_Area_22">#REF!</definedName>
    <definedName name="Excel_BuiltIn_Print_Area_3" localSheetId="15">#REF!</definedName>
    <definedName name="Excel_BuiltIn_Print_Area_3" localSheetId="6">#REF!</definedName>
    <definedName name="Excel_BuiltIn_Print_Area_3" localSheetId="9">#REF!</definedName>
    <definedName name="Excel_BuiltIn_Print_Area_3" localSheetId="12">#REF!</definedName>
    <definedName name="Excel_BuiltIn_Print_Area_3">#REF!</definedName>
    <definedName name="Excel_BuiltIn_Print_Area_4" localSheetId="15">#REF!</definedName>
    <definedName name="Excel_BuiltIn_Print_Area_4" localSheetId="6">#REF!</definedName>
    <definedName name="Excel_BuiltIn_Print_Area_4" localSheetId="9">#REF!</definedName>
    <definedName name="Excel_BuiltIn_Print_Area_4" localSheetId="12">#REF!</definedName>
    <definedName name="Excel_BuiltIn_Print_Area_4">#REF!</definedName>
    <definedName name="Excel_BuiltIn_Print_Area_5" localSheetId="15">#REF!</definedName>
    <definedName name="Excel_BuiltIn_Print_Area_5" localSheetId="6">#REF!</definedName>
    <definedName name="Excel_BuiltIn_Print_Area_5" localSheetId="9">#REF!</definedName>
    <definedName name="Excel_BuiltIn_Print_Area_5" localSheetId="12">#REF!</definedName>
    <definedName name="Excel_BuiltIn_Print_Area_5">#REF!</definedName>
    <definedName name="Excel_BuiltIn_Print_Area_6" localSheetId="15">#REF!</definedName>
    <definedName name="Excel_BuiltIn_Print_Area_6" localSheetId="6">#REF!</definedName>
    <definedName name="Excel_BuiltIn_Print_Area_6" localSheetId="9">#REF!</definedName>
    <definedName name="Excel_BuiltIn_Print_Area_6" localSheetId="12">#REF!</definedName>
    <definedName name="Excel_BuiltIn_Print_Area_6">#REF!</definedName>
    <definedName name="Excel_BuiltIn_Print_Area_8" localSheetId="15">#REF!,#REF!,#REF!</definedName>
    <definedName name="Excel_BuiltIn_Print_Area_8" localSheetId="6">#REF!,#REF!,#REF!</definedName>
    <definedName name="Excel_BuiltIn_Print_Area_8" localSheetId="9">#REF!,#REF!,#REF!</definedName>
    <definedName name="Excel_BuiltIn_Print_Area_8" localSheetId="12">#REF!,#REF!,#REF!</definedName>
    <definedName name="Excel_BuiltIn_Print_Area_8">#REF!,#REF!,#REF!</definedName>
    <definedName name="Excel_BuiltIn_Print_Titles_10" localSheetId="15">#REF!</definedName>
    <definedName name="Excel_BuiltIn_Print_Titles_10" localSheetId="6">#REF!</definedName>
    <definedName name="Excel_BuiltIn_Print_Titles_10" localSheetId="9">#REF!</definedName>
    <definedName name="Excel_BuiltIn_Print_Titles_10" localSheetId="12">#REF!</definedName>
    <definedName name="Excel_BuiltIn_Print_Titles_10">#REF!</definedName>
    <definedName name="Excel_BuiltIn_Print_Titles_11" localSheetId="15">#REF!</definedName>
    <definedName name="Excel_BuiltIn_Print_Titles_11" localSheetId="6">#REF!</definedName>
    <definedName name="Excel_BuiltIn_Print_Titles_11" localSheetId="9">#REF!</definedName>
    <definedName name="Excel_BuiltIn_Print_Titles_11" localSheetId="12">#REF!</definedName>
    <definedName name="Excel_BuiltIn_Print_Titles_11">#REF!</definedName>
    <definedName name="Excel_BuiltIn_Print_Titles_2" localSheetId="15">#REF!</definedName>
    <definedName name="Excel_BuiltIn_Print_Titles_2" localSheetId="6">#REF!</definedName>
    <definedName name="Excel_BuiltIn_Print_Titles_2" localSheetId="9">#REF!</definedName>
    <definedName name="Excel_BuiltIn_Print_Titles_2" localSheetId="12">#REF!</definedName>
    <definedName name="Excel_BuiltIn_Print_Titles_2">#REF!</definedName>
    <definedName name="Excel_BuiltIn_Print_Titles_21" localSheetId="15">#REF!</definedName>
    <definedName name="Excel_BuiltIn_Print_Titles_21" localSheetId="6">#REF!</definedName>
    <definedName name="Excel_BuiltIn_Print_Titles_21" localSheetId="9">#REF!</definedName>
    <definedName name="Excel_BuiltIn_Print_Titles_21" localSheetId="12">#REF!</definedName>
    <definedName name="Excel_BuiltIn_Print_Titles_21">#REF!</definedName>
    <definedName name="Excel_BuiltIn_Print_Titles_22" localSheetId="15">#REF!</definedName>
    <definedName name="Excel_BuiltIn_Print_Titles_22" localSheetId="6">#REF!</definedName>
    <definedName name="Excel_BuiltIn_Print_Titles_22" localSheetId="9">#REF!</definedName>
    <definedName name="Excel_BuiltIn_Print_Titles_22" localSheetId="12">#REF!</definedName>
    <definedName name="Excel_BuiltIn_Print_Titles_22">#REF!</definedName>
    <definedName name="Excel_BuiltIn_Print_Titles_3" localSheetId="15">#REF!</definedName>
    <definedName name="Excel_BuiltIn_Print_Titles_3" localSheetId="6">#REF!</definedName>
    <definedName name="Excel_BuiltIn_Print_Titles_3" localSheetId="9">#REF!</definedName>
    <definedName name="Excel_BuiltIn_Print_Titles_3" localSheetId="12">#REF!</definedName>
    <definedName name="Excel_BuiltIn_Print_Titles_3">#REF!</definedName>
    <definedName name="Excel_BuiltIn_Print_Titles_4" localSheetId="15">#REF!</definedName>
    <definedName name="Excel_BuiltIn_Print_Titles_4" localSheetId="6">#REF!</definedName>
    <definedName name="Excel_BuiltIn_Print_Titles_4" localSheetId="9">#REF!</definedName>
    <definedName name="Excel_BuiltIn_Print_Titles_4" localSheetId="12">#REF!</definedName>
    <definedName name="Excel_BuiltIn_Print_Titles_4">#REF!</definedName>
    <definedName name="EXCV_PAT">#REF!</definedName>
    <definedName name="EXCV_RET" localSheetId="15">[119]DATOS!$I$8:$P$9</definedName>
    <definedName name="EXCV_RET" localSheetId="6">[119]DATOS!$I$8:$P$9</definedName>
    <definedName name="EXCV_RET" localSheetId="9">[119]DATOS!$I$8:$P$9</definedName>
    <definedName name="EXCV_RET" localSheetId="12">[119]DATOS!$I$8:$P$9</definedName>
    <definedName name="EXCV_RET">#REF!</definedName>
    <definedName name="ExistenciaPosteMadera">'[93]CONTEO DE DATOS'!#REF!</definedName>
    <definedName name="ExistenPosteMadera">[93]CONFIGURACIÓN!#REF!</definedName>
    <definedName name="F.C." localSheetId="15">#REF!</definedName>
    <definedName name="F.C." localSheetId="6">#REF!</definedName>
    <definedName name="F.C." localSheetId="9">#REF!</definedName>
    <definedName name="F.C." localSheetId="12">#REF!</definedName>
    <definedName name="F.C.">#REF!</definedName>
    <definedName name="F.P." localSheetId="15">#REF!</definedName>
    <definedName name="F.P." localSheetId="6">#REF!</definedName>
    <definedName name="F.P." localSheetId="9">#REF!</definedName>
    <definedName name="F.P." localSheetId="12">#REF!</definedName>
    <definedName name="F.P.">#REF!</definedName>
    <definedName name="F_COND" localSheetId="15">[119]DATOS!$F$2</definedName>
    <definedName name="F_COND" localSheetId="6">[119]DATOS!$F$2</definedName>
    <definedName name="F_COND" localSheetId="9">[119]DATOS!$F$2</definedName>
    <definedName name="F_COND" localSheetId="12">[119]DATOS!$F$2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 localSheetId="15">#REF!</definedName>
    <definedName name="Fac_Desp_Costa_Sierra" localSheetId="6">#REF!</definedName>
    <definedName name="Fac_Desp_Costa_Sierra" localSheetId="9">'[88]DATOS DE CAMPO'!#REF!</definedName>
    <definedName name="Fac_Desp_Costa_Sierra" localSheetId="12">#REF!</definedName>
    <definedName name="Fac_Desp_Costa_Sierra">'[89]DATOS DE CAMPO'!#REF!</definedName>
    <definedName name="Fac_Desp_Selva" localSheetId="15">#REF!</definedName>
    <definedName name="Fac_Desp_Selva" localSheetId="6">#REF!</definedName>
    <definedName name="Fac_Desp_Selva" localSheetId="9">'[88]DATOS DE CAMPO'!#REF!</definedName>
    <definedName name="Fac_Desp_Selva" localSheetId="12">#REF!</definedName>
    <definedName name="Fac_Desp_Selva">'[89]DATOS DE CAMPO'!#REF!</definedName>
    <definedName name="Factor" localSheetId="15">#REF!</definedName>
    <definedName name="Factor" localSheetId="6">#REF!</definedName>
    <definedName name="Factor" localSheetId="9">#REF!</definedName>
    <definedName name="Factor" localSheetId="12">#REF!</definedName>
    <definedName name="Factor">#REF!</definedName>
    <definedName name="Factor_7">#REF!</definedName>
    <definedName name="Factor_I.U.">'[120]Estudio Suministros MEM'!$L$7:$O$22</definedName>
    <definedName name="factor_por_B">#REF!</definedName>
    <definedName name="FACTORDECARGA" localSheetId="15">#REF!</definedName>
    <definedName name="FACTORDECARGA" localSheetId="6">#REF!</definedName>
    <definedName name="FACTORDECARGA" localSheetId="9">#REF!</definedName>
    <definedName name="FACTORDECARGA" localSheetId="12">#REF!</definedName>
    <definedName name="FACTORDECARGA">#REF!</definedName>
    <definedName name="FactorDiferenNumEstrucVano">'[62]DATOS DE CAMPO'!$J$28</definedName>
    <definedName name="FactorPotencia">'[92]DATOS DE CAMPO  RP'!#REF!</definedName>
    <definedName name="FactorSobrecarga">'[92]DATOS DE CAMPO  RP'!#REF!</definedName>
    <definedName name="FACTURACION">[22]Pme!$A$1:$P$36</definedName>
    <definedName name="FACTURACIONES_SALDO_DE_OBRA_IPC_Lista">#REF!</definedName>
    <definedName name="fafdsaf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[93]CONFIGURACIÓN!#REF!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 localSheetId="15">#REF!</definedName>
    <definedName name="Fcarga" localSheetId="6">#REF!</definedName>
    <definedName name="Fcarga" localSheetId="9">#REF!</definedName>
    <definedName name="Fcarga" localSheetId="12">#REF!</definedName>
    <definedName name="Fcarga">#REF!</definedName>
    <definedName name="Fecha" localSheetId="15">#REF!</definedName>
    <definedName name="Fecha" localSheetId="6">#REF!</definedName>
    <definedName name="Fecha" localSheetId="9">#REF!</definedName>
    <definedName name="Fecha" localSheetId="12">#REF!</definedName>
    <definedName name="fecha" localSheetId="3">'[108]RES-GRAL'!$J$23</definedName>
    <definedName name="Fecha" localSheetId="0">#REF!</definedName>
    <definedName name="fecha">'[109]RES-GRAL'!$J$5</definedName>
    <definedName name="Fecha_7">#REF!</definedName>
    <definedName name="Fecha_costos">[121]Insumos!$K$1</definedName>
    <definedName name="FERR" localSheetId="15">'[99]CANT.UNITARIAS'!$F$7:$DA$106</definedName>
    <definedName name="FERR" localSheetId="6">'[99]CANT.UNITARIAS'!$F$7:$DA$106</definedName>
    <definedName name="FERR" localSheetId="9">'[99]CANT.UNITARIAS'!$F$7:$DA$106</definedName>
    <definedName name="FERR" localSheetId="12">'[99]CANT.UNITARIAS'!$F$7:$DA$106</definedName>
    <definedName name="FERR">'[100]CANT.UNITARIAS'!$F$7:$DA$106</definedName>
    <definedName name="FERRET1" localSheetId="15">#REF!</definedName>
    <definedName name="FERRET1" localSheetId="6">#REF!</definedName>
    <definedName name="FERRET1" localSheetId="9">#REF!</definedName>
    <definedName name="FERRET1" localSheetId="12">#REF!</definedName>
    <definedName name="FERRET1">#REF!</definedName>
    <definedName name="FF" localSheetId="15">#REF!</definedName>
    <definedName name="FF" localSheetId="6">#REF!</definedName>
    <definedName name="FF" localSheetId="9">#REF!</definedName>
    <definedName name="FF" localSheetId="12">#REF!</definedName>
    <definedName name="FF">#REF!</definedName>
    <definedName name="FFF" localSheetId="15">'[66]#¡REF'!#REF!</definedName>
    <definedName name="FFF" localSheetId="6">'[66]#¡REF'!#REF!</definedName>
    <definedName name="FFF" localSheetId="9">'[66]#¡REF'!#REF!</definedName>
    <definedName name="FFF" localSheetId="12">'[66]#¡REF'!#REF!</definedName>
    <definedName name="FFF">'[67]#¡REF'!#REF!</definedName>
    <definedName name="FFFFFF">[25]Hoja1!$A$1:$V$810</definedName>
    <definedName name="ffgg" hidden="1">[21]BDATOS!#REF!</definedName>
    <definedName name="Fierro">#REF!</definedName>
    <definedName name="Filtro">[59]Proyecto!$T$13</definedName>
    <definedName name="FJ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">'[104]Resumen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[69]impuesTos!$D$10</definedName>
    <definedName name="Flete.ferreteria">#REF!</definedName>
    <definedName name="Flete.PAT">#REF!</definedName>
    <definedName name="Flete.postes">#REF!</definedName>
    <definedName name="Flete.Torres">[70]Impuestos!$C$3</definedName>
    <definedName name="floridaad">#REF!</definedName>
    <definedName name="floridarp">#REF!</definedName>
    <definedName name="floridars">#REF!</definedName>
    <definedName name="fm" localSheetId="15">#REF!</definedName>
    <definedName name="fm" localSheetId="6">#REF!</definedName>
    <definedName name="fm" localSheetId="9">#REF!</definedName>
    <definedName name="fm" localSheetId="12">#REF!</definedName>
    <definedName name="fm">#REF!</definedName>
    <definedName name="fm_12" localSheetId="15">#REF!</definedName>
    <definedName name="fm_12" localSheetId="6">#REF!</definedName>
    <definedName name="fm_12" localSheetId="9">#REF!</definedName>
    <definedName name="fm_12" localSheetId="12">#REF!</definedName>
    <definedName name="fm_12">#REF!</definedName>
    <definedName name="fm_20" localSheetId="15">#REF!</definedName>
    <definedName name="fm_20" localSheetId="6">#REF!</definedName>
    <definedName name="fm_20" localSheetId="9">#REF!</definedName>
    <definedName name="fm_20" localSheetId="12">#REF!</definedName>
    <definedName name="fm_20">#REF!</definedName>
    <definedName name="fm_21" localSheetId="15">#REF!</definedName>
    <definedName name="fm_21" localSheetId="6">#REF!</definedName>
    <definedName name="fm_21" localSheetId="9">#REF!</definedName>
    <definedName name="fm_21" localSheetId="12">#REF!</definedName>
    <definedName name="fm_21">#REF!</definedName>
    <definedName name="FO">#REF!</definedName>
    <definedName name="FORM1">[22]Ifg!$B$1:$P$85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[1]A!$D$67:$D$68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 localSheetId="15">#REF!</definedName>
    <definedName name="Fperdidas" localSheetId="6">#REF!</definedName>
    <definedName name="Fperdidas" localSheetId="9">#REF!</definedName>
    <definedName name="Fperdidas" localSheetId="12">#REF!</definedName>
    <definedName name="Fperdidas">#REF!</definedName>
    <definedName name="FPET" localSheetId="15">#REF!</definedName>
    <definedName name="FPET" localSheetId="6">#REF!</definedName>
    <definedName name="FPET" localSheetId="9">#REF!</definedName>
    <definedName name="FPET" localSheetId="12">#REF!</definedName>
    <definedName name="FPET">#REF!</definedName>
    <definedName name="FPLP">#REF!</definedName>
    <definedName name="FPME" localSheetId="15">#REF!</definedName>
    <definedName name="FPME" localSheetId="6">#REF!</definedName>
    <definedName name="FPME" localSheetId="9">#REF!</definedName>
    <definedName name="FPME" localSheetId="12">#REF!</definedName>
    <definedName name="FPME">#REF!</definedName>
    <definedName name="FPP">#REF!</definedName>
    <definedName name="FPRP">#REF!</definedName>
    <definedName name="FPRS">#REF!</definedName>
    <definedName name="fr" localSheetId="15">[18]Datos!$D$9</definedName>
    <definedName name="fr" localSheetId="6">[18]Datos!$D$9</definedName>
    <definedName name="fr" localSheetId="9">[18]Datos!$D$9</definedName>
    <definedName name="fr" localSheetId="12">[18]Datos!$D$9</definedName>
    <definedName name="fr" localSheetId="0">[44]Datos!$D$9</definedName>
    <definedName name="FR">[122]DATOS!$C$23</definedName>
    <definedName name="franja" localSheetId="15">#REF!</definedName>
    <definedName name="franja" localSheetId="6">#REF!</definedName>
    <definedName name="franja" localSheetId="9">#REF!</definedName>
    <definedName name="franja" localSheetId="12">#REF!</definedName>
    <definedName name="franja">'[62]DATOS DE CAMPO'!$J$25</definedName>
    <definedName name="FS" localSheetId="15">#REF!</definedName>
    <definedName name="FS" localSheetId="6">#REF!</definedName>
    <definedName name="FS" localSheetId="9">#REF!</definedName>
    <definedName name="FS" localSheetId="12">#REF!</definedName>
    <definedName name="FS">#REF!</definedName>
    <definedName name="FUSIB">#REF!</definedName>
    <definedName name="Fusibles">#REF!</definedName>
    <definedName name="FV">#REF!</definedName>
    <definedName name="G" localSheetId="15">#REF!</definedName>
    <definedName name="G" localSheetId="6">#REF!</definedName>
    <definedName name="G" localSheetId="9">#REF!</definedName>
    <definedName name="G" localSheetId="12">#REF!</definedName>
    <definedName name="g">'[25]#¡REF'!$A$1:$V$810</definedName>
    <definedName name="GastosGenerales">'[98]Resumen General'!$M$44</definedName>
    <definedName name="GEN" hidden="1">#REF!</definedName>
    <definedName name="GenTransporte">#REF!</definedName>
    <definedName name="GESPUEST" localSheetId="15">#REF!</definedName>
    <definedName name="GESPUEST" localSheetId="6">#REF!</definedName>
    <definedName name="GESPUEST" localSheetId="9">#REF!</definedName>
    <definedName name="GESPUEST" localSheetId="12">#REF!</definedName>
    <definedName name="GESPUEST">#REF!</definedName>
    <definedName name="GESPUEST_12" localSheetId="15">#REF!</definedName>
    <definedName name="GESPUEST_12" localSheetId="6">#REF!</definedName>
    <definedName name="GESPUEST_12" localSheetId="9">#REF!</definedName>
    <definedName name="GESPUEST_12" localSheetId="12">#REF!</definedName>
    <definedName name="GESPUEST_12">#REF!</definedName>
    <definedName name="GESPUEST_20" localSheetId="15">#REF!</definedName>
    <definedName name="GESPUEST_20" localSheetId="6">#REF!</definedName>
    <definedName name="GESPUEST_20" localSheetId="9">#REF!</definedName>
    <definedName name="GESPUEST_20" localSheetId="12">#REF!</definedName>
    <definedName name="GESPUEST_20">#REF!</definedName>
    <definedName name="GESPUEST_21" localSheetId="15">#REF!</definedName>
    <definedName name="GESPUEST_21" localSheetId="6">#REF!</definedName>
    <definedName name="GESPUEST_21" localSheetId="9">#REF!</definedName>
    <definedName name="GESPUEST_21" localSheetId="12">#REF!</definedName>
    <definedName name="GESPUEST_21">#REF!</definedName>
    <definedName name="gg" localSheetId="15">'[10]#¡REF'!#REF!</definedName>
    <definedName name="gg" localSheetId="6">'[10]#¡REF'!#REF!</definedName>
    <definedName name="gg" localSheetId="9">'[10]#¡REF'!#REF!</definedName>
    <definedName name="gg" localSheetId="12">'[10]#¡REF'!#REF!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 localSheetId="15">[18]Datos!$D$6</definedName>
    <definedName name="ggd" localSheetId="6">[18]Datos!$D$6</definedName>
    <definedName name="ggd" localSheetId="9">[18]Datos!$D$6</definedName>
    <definedName name="ggd" localSheetId="12">[18]Datos!$D$6</definedName>
    <definedName name="ggd" localSheetId="0">[44]Datos!$D$6</definedName>
    <definedName name="ggd">[25]Hoja1!$D$6</definedName>
    <definedName name="ggg">'[123]Repr PP'!#REF!</definedName>
    <definedName name="GGGYU" localSheetId="0" hidden="1">#REF!</definedName>
    <definedName name="GGGYU" hidden="1">#REF!</definedName>
    <definedName name="ggi" localSheetId="15">[18]Datos!$D$7</definedName>
    <definedName name="ggi" localSheetId="6">[18]Datos!$D$7</definedName>
    <definedName name="ggi" localSheetId="9">[18]Datos!$D$7</definedName>
    <definedName name="ggi" localSheetId="12">[18]Datos!$D$7</definedName>
    <definedName name="ggi" localSheetId="0">[44]Datos!$D$7</definedName>
    <definedName name="ggi">[25]Hoja1!$D$7</definedName>
    <definedName name="GGUU" localSheetId="15">'[50]#¡REF'!#REF!</definedName>
    <definedName name="GGUU" localSheetId="6">'[50]#¡REF'!#REF!</definedName>
    <definedName name="GGUU" localSheetId="9">'[50]#¡REF'!#REF!</definedName>
    <definedName name="GGUU" localSheetId="12">'[50]#¡REF'!#REF!</definedName>
    <definedName name="GGUU">'[124]#¡REF'!#REF!</definedName>
    <definedName name="GMB" localSheetId="15" hidden="1">#REF!</definedName>
    <definedName name="GMB" localSheetId="6" hidden="1">#REF!</definedName>
    <definedName name="GMB" localSheetId="9" hidden="1">#REF!</definedName>
    <definedName name="GMB" localSheetId="12" hidden="1">#REF!</definedName>
    <definedName name="GMB" localSheetId="3" hidden="1">#REF!</definedName>
    <definedName name="GMB" localSheetId="0" hidden="1">#REF!</definedName>
    <definedName name="GMB" hidden="1">#REF!</definedName>
    <definedName name="GRAVA">[1]A!$D$58:$D$59</definedName>
    <definedName name="GRD">'[35]Unit-op-cartel'!#REF!</definedName>
    <definedName name="Grupo1" localSheetId="15">#REF!</definedName>
    <definedName name="Grupo1" localSheetId="6">#REF!</definedName>
    <definedName name="Grupo1" localSheetId="9">#REF!</definedName>
    <definedName name="Grupo1" localSheetId="12">#REF!</definedName>
    <definedName name="Grupo1">#REF!</definedName>
    <definedName name="Grupo1_12" localSheetId="15">#REF!</definedName>
    <definedName name="Grupo1_12" localSheetId="6">#REF!</definedName>
    <definedName name="Grupo1_12" localSheetId="9">#REF!</definedName>
    <definedName name="Grupo1_12" localSheetId="12">#REF!</definedName>
    <definedName name="Grupo1_12">#REF!</definedName>
    <definedName name="Grupo1_20" localSheetId="15">#REF!</definedName>
    <definedName name="Grupo1_20" localSheetId="6">#REF!</definedName>
    <definedName name="Grupo1_20" localSheetId="9">#REF!</definedName>
    <definedName name="Grupo1_20" localSheetId="12">#REF!</definedName>
    <definedName name="Grupo1_20">#REF!</definedName>
    <definedName name="Grupo1_21" localSheetId="15">#REF!</definedName>
    <definedName name="Grupo1_21" localSheetId="6">#REF!</definedName>
    <definedName name="Grupo1_21" localSheetId="9">#REF!</definedName>
    <definedName name="Grupo1_21" localSheetId="12">#REF!</definedName>
    <definedName name="Grupo1_21">#REF!</definedName>
    <definedName name="GRUPO13">#REF!</definedName>
    <definedName name="Grupo2" localSheetId="15">#REF!</definedName>
    <definedName name="Grupo2" localSheetId="6">#REF!</definedName>
    <definedName name="Grupo2" localSheetId="9">#REF!</definedName>
    <definedName name="Grupo2" localSheetId="12">#REF!</definedName>
    <definedName name="Grupo2">#REF!</definedName>
    <definedName name="GRUPO2_1" localSheetId="15">#REF!</definedName>
    <definedName name="GRUPO2_1" localSheetId="6">#REF!</definedName>
    <definedName name="GRUPO2_1" localSheetId="9">#REF!</definedName>
    <definedName name="GRUPO2_1" localSheetId="12">#REF!</definedName>
    <definedName name="GRUPO2_1">#REF!</definedName>
    <definedName name="Grupo2_12" localSheetId="15">#REF!</definedName>
    <definedName name="Grupo2_12" localSheetId="6">#REF!</definedName>
    <definedName name="Grupo2_12" localSheetId="9">#REF!</definedName>
    <definedName name="Grupo2_12" localSheetId="12">#REF!</definedName>
    <definedName name="Grupo2_12">#REF!</definedName>
    <definedName name="Grupo2_20" localSheetId="15">#REF!</definedName>
    <definedName name="Grupo2_20" localSheetId="6">#REF!</definedName>
    <definedName name="Grupo2_20" localSheetId="9">#REF!</definedName>
    <definedName name="Grupo2_20" localSheetId="12">#REF!</definedName>
    <definedName name="Grupo2_20">#REF!</definedName>
    <definedName name="Grupo2_21" localSheetId="15">#REF!</definedName>
    <definedName name="Grupo2_21" localSheetId="6">#REF!</definedName>
    <definedName name="Grupo2_21" localSheetId="9">#REF!</definedName>
    <definedName name="Grupo2_21" localSheetId="12">#REF!</definedName>
    <definedName name="Grupo2_21">#REF!</definedName>
    <definedName name="Grupo3" localSheetId="15">#REF!</definedName>
    <definedName name="Grupo3" localSheetId="6">#REF!</definedName>
    <definedName name="Grupo3" localSheetId="9">#REF!</definedName>
    <definedName name="Grupo3" localSheetId="12">#REF!</definedName>
    <definedName name="Grupo3">#REF!</definedName>
    <definedName name="Grupo3_12" localSheetId="15">#REF!</definedName>
    <definedName name="Grupo3_12" localSheetId="6">#REF!</definedName>
    <definedName name="Grupo3_12" localSheetId="9">#REF!</definedName>
    <definedName name="Grupo3_12" localSheetId="12">#REF!</definedName>
    <definedName name="Grupo3_12">#REF!</definedName>
    <definedName name="Grupo3_20" localSheetId="15">#REF!</definedName>
    <definedName name="Grupo3_20" localSheetId="6">#REF!</definedName>
    <definedName name="Grupo3_20" localSheetId="9">#REF!</definedName>
    <definedName name="Grupo3_20" localSheetId="12">#REF!</definedName>
    <definedName name="Grupo3_20">#REF!</definedName>
    <definedName name="Grupo3_21" localSheetId="15">#REF!</definedName>
    <definedName name="Grupo3_21" localSheetId="6">#REF!</definedName>
    <definedName name="Grupo3_21" localSheetId="9">#REF!</definedName>
    <definedName name="Grupo3_21" localSheetId="12">#REF!</definedName>
    <definedName name="Grupo3_21">#REF!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 localSheetId="15">[4]REV3!$A$33</definedName>
    <definedName name="H" localSheetId="6">[4]REV3!$A$33</definedName>
    <definedName name="H" localSheetId="9">[4]REV3!$A$33</definedName>
    <definedName name="H" localSheetId="12">[4]REV3!$A$33</definedName>
    <definedName name="H">[6]REV3!$A$33</definedName>
    <definedName name="HBT">'[63]Excav. Postes'!$AS$1</definedName>
    <definedName name="HEAD1">#REF!</definedName>
    <definedName name="HEAD2">#REF!</definedName>
    <definedName name="HERRAM">#REF!</definedName>
    <definedName name="HerramEquipos">#REF!</definedName>
    <definedName name="HGRTE">[22]Pme!$A$1:$K$66</definedName>
    <definedName name="HH" localSheetId="15">#REF!</definedName>
    <definedName name="HH" localSheetId="6">#REF!</definedName>
    <definedName name="HH" localSheetId="9">#REF!</definedName>
    <definedName name="HH" localSheetId="12">#REF!</definedName>
    <definedName name="HH">#REF!</definedName>
    <definedName name="HH_12" localSheetId="15">#REF!</definedName>
    <definedName name="HH_12" localSheetId="6">#REF!</definedName>
    <definedName name="HH_12" localSheetId="9">#REF!</definedName>
    <definedName name="HH_12" localSheetId="12">#REF!</definedName>
    <definedName name="HH_12">#REF!</definedName>
    <definedName name="HH_20" localSheetId="15">#REF!</definedName>
    <definedName name="HH_20" localSheetId="6">#REF!</definedName>
    <definedName name="HH_20" localSheetId="9">#REF!</definedName>
    <definedName name="HH_20" localSheetId="12">#REF!</definedName>
    <definedName name="HH_20">#REF!</definedName>
    <definedName name="HH_21" localSheetId="15">#REF!</definedName>
    <definedName name="HH_21" localSheetId="6">#REF!</definedName>
    <definedName name="HH_21" localSheetId="9">#REF!</definedName>
    <definedName name="HH_21" localSheetId="12">#REF!</definedName>
    <definedName name="HH_21">#REF!</definedName>
    <definedName name="HHC" localSheetId="15">#REF!</definedName>
    <definedName name="HHC" localSheetId="6">#REF!</definedName>
    <definedName name="HHC" localSheetId="9">#REF!</definedName>
    <definedName name="HHC" localSheetId="12">#REF!</definedName>
    <definedName name="HHC">#REF!</definedName>
    <definedName name="HHC_7">#REF!</definedName>
    <definedName name="hhh">#REF!</definedName>
    <definedName name="HHME" localSheetId="15">#REF!</definedName>
    <definedName name="HHME" localSheetId="6">#REF!</definedName>
    <definedName name="HHME" localSheetId="9">#REF!</definedName>
    <definedName name="HHME" localSheetId="12">#REF!</definedName>
    <definedName name="HHME">#REF!</definedName>
    <definedName name="HHME_7">#REF!</definedName>
    <definedName name="HHT" localSheetId="15">#REF!</definedName>
    <definedName name="HHT" localSheetId="6">#REF!</definedName>
    <definedName name="HHT" localSheetId="9">#REF!</definedName>
    <definedName name="HHT" localSheetId="12">#REF!</definedName>
    <definedName name="HHT">#REF!</definedName>
    <definedName name="HHT_7">#REF!</definedName>
    <definedName name="HIDRANDINA" localSheetId="15">#REF!</definedName>
    <definedName name="HIDRANDINA" localSheetId="6">#REF!</definedName>
    <definedName name="HIDRANDINA" localSheetId="9">#REF!</definedName>
    <definedName name="HIDRANDINA" localSheetId="12">#REF!</definedName>
    <definedName name="HIDRANDINA">#REF!</definedName>
    <definedName name="HIDRANDINA_1">#REF!</definedName>
    <definedName name="HIDRANDINA_7">#REF!</definedName>
    <definedName name="HMT">'[63]Excav. Postes'!$AS$2</definedName>
    <definedName name="Hoja_Val_Aranc" localSheetId="15">'[125]Aux. Disgregados'!$Z$46</definedName>
    <definedName name="Hoja_Val_Aranc" localSheetId="6">'[125]Aux. Disgregados'!$Z$46</definedName>
    <definedName name="Hoja_Val_Aranc" localSheetId="9">'[125]Aux. Disgregados'!$Z$46</definedName>
    <definedName name="Hoja_Val_Aranc" localSheetId="12">'[125]Aux. Disgregados'!$Z$46</definedName>
    <definedName name="Hoja_Val_Aranc">'[126]Aux. Disgregados'!$Z$46</definedName>
    <definedName name="hoja1" localSheetId="15">#REF!</definedName>
    <definedName name="hoja1" localSheetId="6">#REF!</definedName>
    <definedName name="hoja1" localSheetId="9">#REF!</definedName>
    <definedName name="hoja1" localSheetId="12">#REF!</definedName>
    <definedName name="hoja1">#REF!</definedName>
    <definedName name="hoja1_12" localSheetId="15">#REF!</definedName>
    <definedName name="hoja1_12" localSheetId="6">#REF!</definedName>
    <definedName name="hoja1_12" localSheetId="9">#REF!</definedName>
    <definedName name="hoja1_12" localSheetId="12">#REF!</definedName>
    <definedName name="hoja1_12">#REF!</definedName>
    <definedName name="hoja1_20" localSheetId="15">#REF!</definedName>
    <definedName name="hoja1_20" localSheetId="6">#REF!</definedName>
    <definedName name="hoja1_20" localSheetId="9">#REF!</definedName>
    <definedName name="hoja1_20" localSheetId="12">#REF!</definedName>
    <definedName name="hoja1_20">#REF!</definedName>
    <definedName name="hoja1_21" localSheetId="15">#REF!</definedName>
    <definedName name="hoja1_21" localSheetId="6">#REF!</definedName>
    <definedName name="hoja1_21" localSheetId="9">#REF!</definedName>
    <definedName name="hoja1_21" localSheetId="12">#REF!</definedName>
    <definedName name="hoja1_21">#REF!</definedName>
    <definedName name="HOLA">'[35]Unit-op-cartel'!#REF!</definedName>
    <definedName name="HORA">#REF!</definedName>
    <definedName name="Hormigon">#REF!</definedName>
    <definedName name="HU">[38]__REF!#REF!</definedName>
    <definedName name="i" localSheetId="5" hidden="1">{"vista1",#N/A,FALSE,"SE_Piura_Oeste";"vista2",#N/A,FALSE,"SE_Piura_Oeste";"vista3",#N/A,FALSE,"SE_Piura_Oeste";"vista4",#N/A,FALSE,"SE_Piura_Oeste";"vista5",#N/A,FALSE,"SE_Piura_Oeste"}</definedName>
    <definedName name="i" localSheetId="8" hidden="1">{"vista1",#N/A,FALSE,"SE_Piura_Oeste";"vista2",#N/A,FALSE,"SE_Piura_Oeste";"vista3",#N/A,FALSE,"SE_Piura_Oeste";"vista4",#N/A,FALSE,"SE_Piura_Oeste";"vista5",#N/A,FALSE,"SE_Piura_Oeste"}</definedName>
    <definedName name="i" localSheetId="14" hidden="1">{"vista1",#N/A,FALSE,"SE_Piura_Oeste";"vista2",#N/A,FALSE,"SE_Piura_Oeste";"vista3",#N/A,FALSE,"SE_Piura_Oeste";"vista4",#N/A,FALSE,"SE_Piura_Oeste";"vista5",#N/A,FALSE,"SE_Piura_Oeste"}</definedName>
    <definedName name="i" localSheetId="13" hidden="1">{"vista1",#N/A,FALSE,"SE_Piura_Oeste";"vista2",#N/A,FALSE,"SE_Piura_Oeste";"vista3",#N/A,FALSE,"SE_Piura_Oeste";"vista4",#N/A,FALSE,"SE_Piura_Oeste";"vista5",#N/A,FALSE,"SE_Piura_Oeste"}</definedName>
    <definedName name="i" localSheetId="4" hidden="1">{"vista1",#N/A,FALSE,"SE_Piura_Oeste";"vista2",#N/A,FALSE,"SE_Piura_Oeste";"vista3",#N/A,FALSE,"SE_Piura_Oeste";"vista4",#N/A,FALSE,"SE_Piura_Oeste";"vista5",#N/A,FALSE,"SE_Piura_Oeste"}</definedName>
    <definedName name="i" localSheetId="7" hidden="1">{"vista1",#N/A,FALSE,"SE_Piura_Oeste";"vista2",#N/A,FALSE,"SE_Piura_Oeste";"vista3",#N/A,FALSE,"SE_Piura_Oeste";"vista4",#N/A,FALSE,"SE_Piura_Oeste";"vista5",#N/A,FALSE,"SE_Piura_Oeste"}</definedName>
    <definedName name="I" localSheetId="0">'[127]#¡REF'!#REF!</definedName>
    <definedName name="i" hidden="1">{"vista1",#N/A,FALSE,"SE_Piura_Oeste";"vista2",#N/A,FALSE,"SE_Piura_Oeste";"vista3",#N/A,FALSE,"SE_Piura_Oeste";"vista4",#N/A,FALSE,"SE_Piura_Oeste";"vista5",#N/A,FALSE,"SE_Piura_Oeste"}</definedName>
    <definedName name="IB">#REF!</definedName>
    <definedName name="IBA">#REF!</definedName>
    <definedName name="IC">#REF!</definedName>
    <definedName name="IGV" localSheetId="15">'[128]Datos de Entrada'!$D$45</definedName>
    <definedName name="IGV" localSheetId="6">'[128]Datos de Entrada'!$D$45</definedName>
    <definedName name="IGV" localSheetId="9">'[128]Datos de Entrada'!$D$45</definedName>
    <definedName name="IGV" localSheetId="12">'[128]Datos de Entrada'!$D$45</definedName>
    <definedName name="IGV">'[129]Datos de Entrada'!$D$45</definedName>
    <definedName name="Imprimir_área_IM" localSheetId="15">#REF!</definedName>
    <definedName name="Imprimir_área_IM" localSheetId="6">#REF!</definedName>
    <definedName name="Imprimir_área_IM" localSheetId="9">#REF!</definedName>
    <definedName name="Imprimir_área_IM" localSheetId="12">#REF!</definedName>
    <definedName name="Imprimir_área_IM">#REF!</definedName>
    <definedName name="Inaccesibilidad" localSheetId="15">'[61]DATOS DE CAMPO'!$CK$29</definedName>
    <definedName name="Inaccesibilidad" localSheetId="6">'[61]DATOS DE CAMPO'!$CK$29</definedName>
    <definedName name="Inaccesibilidad" localSheetId="9">'[61]DATOS DE CAMPO'!$CK$29</definedName>
    <definedName name="Inaccesibilidad" localSheetId="12">'[61]DATOS DE CAMPO'!$CK$29</definedName>
    <definedName name="Inaccesibilidad">'[62]DATOS DE CAMPO'!$CK$29</definedName>
    <definedName name="InCD" localSheetId="15">[130]DATOS!$F$3</definedName>
    <definedName name="InCD" localSheetId="6">[130]DATOS!$F$3</definedName>
    <definedName name="InCD" localSheetId="9">[130]DATOS!$F$3</definedName>
    <definedName name="InCD" localSheetId="12">[130]DATOS!$F$3</definedName>
    <definedName name="InCD">[55]DATOS!$F$3</definedName>
    <definedName name="incid">'[58]#¡REF'!#REF!</definedName>
    <definedName name="incide">'[58]#¡REF'!#REF!</definedName>
    <definedName name="incidenc">'[58]#¡REF'!#REF!</definedName>
    <definedName name="INCIDENCIA">#REF!</definedName>
    <definedName name="ind">#REF!</definedName>
    <definedName name="ind.mes">#REF!</definedName>
    <definedName name="INDICE" localSheetId="15">#REF!</definedName>
    <definedName name="INDICE" localSheetId="6">#REF!</definedName>
    <definedName name="INDICE" localSheetId="9">#REF!</definedName>
    <definedName name="INDICE" localSheetId="12">#REF!</definedName>
    <definedName name="INDICE" localSheetId="0">#REF!</definedName>
    <definedName name="INDICE">#REF!</definedName>
    <definedName name="INDICE_1">#REF!</definedName>
    <definedName name="INDICE2">#REF!</definedName>
    <definedName name="indices">#REF!</definedName>
    <definedName name="INDICEUNIFICADO" localSheetId="15">#REF!</definedName>
    <definedName name="INDICEUNIFICADO" localSheetId="6">#REF!</definedName>
    <definedName name="INDICEUNIFICADO" localSheetId="9">#REF!</definedName>
    <definedName name="INDICEUNIFICADO" localSheetId="12">#REF!</definedName>
    <definedName name="INDICEUNIFICADO" localSheetId="3">#REF!</definedName>
    <definedName name="INDICEUNIFICADO" localSheetId="0">#REF!</definedName>
    <definedName name="INDICEUNIFICADO">#REF!</definedName>
    <definedName name="Ingenier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[97]DATOS!$C$9</definedName>
    <definedName name="INSUMO">#REF!</definedName>
    <definedName name="Insumos">'[120]HH  HM'!$B$5:$D$140</definedName>
    <definedName name="Inversion2">'[101]Costos Alt2'!$O$2:$T$53</definedName>
    <definedName name="Inversiones">#REF!</definedName>
    <definedName name="invllt" localSheetId="15">'[131]DATOS TECNICOS SE SANTUARIO'!#REF!</definedName>
    <definedName name="invllt" localSheetId="6">'[131]DATOS TECNICOS SE SANTUARIO'!#REF!</definedName>
    <definedName name="invllt" localSheetId="9">'[131]DATOS TECNICOS SE SANTUARIO'!#REF!</definedName>
    <definedName name="invllt" localSheetId="12">'[131]DATOS TECNICOS SE SANTUARIO'!#REF!</definedName>
    <definedName name="invllt">'[132]DATOS TECNICOS SE SANTUARIO'!#REF!</definedName>
    <definedName name="invllt_12" localSheetId="15">'[133]DATOS TECNICOS SE SANTUARIO'!#REF!</definedName>
    <definedName name="invllt_12" localSheetId="6">'[133]DATOS TECNICOS SE SANTUARIO'!#REF!</definedName>
    <definedName name="invllt_12" localSheetId="9">'[133]DATOS TECNICOS SE SANTUARIO'!#REF!</definedName>
    <definedName name="invllt_12" localSheetId="12">'[133]DATOS TECNICOS SE SANTUARIO'!#REF!</definedName>
    <definedName name="invllt_12">'[133]DATOS TECNICOS SE SANTUARIO'!#REF!</definedName>
    <definedName name="invllt_20" localSheetId="15">'[131]DATOS TECNICOS SE SANTUARIO'!#REF!</definedName>
    <definedName name="invllt_20" localSheetId="6">'[131]DATOS TECNICOS SE SANTUARIO'!#REF!</definedName>
    <definedName name="invllt_20" localSheetId="9">'[131]DATOS TECNICOS SE SANTUARIO'!#REF!</definedName>
    <definedName name="invllt_20" localSheetId="12">'[131]DATOS TECNICOS SE SANTUARIO'!#REF!</definedName>
    <definedName name="invllt_20">'[132]DATOS TECNICOS SE SANTUARIO'!#REF!</definedName>
    <definedName name="invllt_21">'[133]DATOS TECNICOS SE SANTUARIO'!#REF!</definedName>
    <definedName name="IO">#REF!</definedName>
    <definedName name="ioc">'[46]#¡REF'!#REF!</definedName>
    <definedName name="IPP">#REF!</definedName>
    <definedName name="ISET">[134]projectdata!$H$8</definedName>
    <definedName name="IsStudy">#REF!</definedName>
    <definedName name="ITAT" localSheetId="15">#REF!</definedName>
    <definedName name="ITAT" localSheetId="6">#REF!</definedName>
    <definedName name="ITAT" localSheetId="9">#REF!</definedName>
    <definedName name="ITAT" localSheetId="12">#REF!</definedName>
    <definedName name="ITAT">#REF!</definedName>
    <definedName name="ITEM">[135]METRADO!$AUM$3:$AUM$5</definedName>
    <definedName name="Item_Variable">[59]Proyecto!#REF!</definedName>
    <definedName name="ÍtemsCondicionados" localSheetId="15">'[136]Ratio Aproxsumaproducto'!$BU$1</definedName>
    <definedName name="ÍtemsCondicionados" localSheetId="6">'[136]Ratio Aproxsumaproducto'!$BU$1</definedName>
    <definedName name="ÍtemsCondicionados" localSheetId="9">'[136]Ratio Aproxsumaproducto'!$BU$1</definedName>
    <definedName name="ÍtemsCondicionados" localSheetId="12">'[136]Ratio Aproxsumaproducto'!$BU$1</definedName>
    <definedName name="ÍtemsCondicionados">[59]Proyecto!$T$14</definedName>
    <definedName name="ITMT" localSheetId="15">#REF!</definedName>
    <definedName name="ITMT" localSheetId="6">#REF!</definedName>
    <definedName name="ITMT" localSheetId="9">#REF!</definedName>
    <definedName name="ITMT" localSheetId="12">#REF!</definedName>
    <definedName name="ITMT">#REF!</definedName>
    <definedName name="IV">#REF!</definedName>
    <definedName name="iyuyi">'[102]#¡REF'!#REF!</definedName>
    <definedName name="JIMBE1" localSheetId="15">#REF!</definedName>
    <definedName name="JIMBE1" localSheetId="6">#REF!</definedName>
    <definedName name="JIMBE1" localSheetId="9">#REF!</definedName>
    <definedName name="JIMBE1" localSheetId="12">#REF!</definedName>
    <definedName name="JIMBE1">#REF!</definedName>
    <definedName name="JIMBE2" localSheetId="15">#REF!</definedName>
    <definedName name="JIMBE2" localSheetId="6">#REF!</definedName>
    <definedName name="JIMBE2" localSheetId="9">#REF!</definedName>
    <definedName name="JIMBE2" localSheetId="12">#REF!</definedName>
    <definedName name="JIMBE2">#REF!</definedName>
    <definedName name="jjj" hidden="1">[21]BDATOS!#REF!</definedName>
    <definedName name="jjjjjjjjjjjjjjjjj" hidden="1">#REF!</definedName>
    <definedName name="jkashfjkdsf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'[46]#¡REF'!#REF!</definedName>
    <definedName name="jueg">#REF!</definedName>
    <definedName name="k">'[42]#¡REF'!#REF!</definedName>
    <definedName name="K1X">[137]FP!$I$34:$R$35</definedName>
    <definedName name="keikoad">#REF!</definedName>
    <definedName name="keikorp">#REF!</definedName>
    <definedName name="keikors">#REF!</definedName>
    <definedName name="KK" localSheetId="15">[115]CALCULO!#REF!</definedName>
    <definedName name="KK" localSheetId="6">[115]CALCULO!#REF!</definedName>
    <definedName name="KK" localSheetId="9">[115]CALCULO!#REF!</definedName>
    <definedName name="KK" localSheetId="12">[115]CALCULO!#REF!</definedName>
    <definedName name="KK">[105]CALCULO!#REF!</definedName>
    <definedName name="KKKKK">'[48]#¡REF'!#REF!</definedName>
    <definedName name="KKLKLÑKÑKÑ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 localSheetId="15">'[125]Aux. Disgregados'!$AB$46</definedName>
    <definedName name="KLP" localSheetId="6">'[125]Aux. Disgregados'!$AB$46</definedName>
    <definedName name="KLP" localSheetId="9">'[125]Aux. Disgregados'!$AB$46</definedName>
    <definedName name="KLP" localSheetId="12">'[125]Aux. Disgregados'!$AB$46</definedName>
    <definedName name="KLP">'[126]Aux. Disgregados'!$AB$46</definedName>
    <definedName name="KLP_ABRIL">#REF!</definedName>
    <definedName name="KLP_MARZO">#REF!</definedName>
    <definedName name="KM" localSheetId="15">#REF!</definedName>
    <definedName name="KM" localSheetId="6">#REF!</definedName>
    <definedName name="KM" localSheetId="9">#REF!</definedName>
    <definedName name="KM" localSheetId="12">#REF!</definedName>
    <definedName name="KM">#REF!</definedName>
    <definedName name="km_LP">'[104]LP MONT'!$DL$340</definedName>
    <definedName name="KRP_ABRIL">#REF!</definedName>
    <definedName name="KRP_MARZO">#REF!</definedName>
    <definedName name="KRS_ABRIL">#REF!</definedName>
    <definedName name="KRS_MARZO">#REF!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vantamiento_topo_expediente_servid" localSheetId="15">'[125]Aux. Disgregados'!$P$46</definedName>
    <definedName name="levantamiento_topo_expediente_servid" localSheetId="6">'[125]Aux. Disgregados'!$P$46</definedName>
    <definedName name="levantamiento_topo_expediente_servid" localSheetId="9">'[125]Aux. Disgregados'!$P$46</definedName>
    <definedName name="levantamiento_topo_expediente_servid" localSheetId="12">'[125]Aux. Disgregados'!$P$46</definedName>
    <definedName name="levantamiento_topo_expediente_servid">'[126]Aux. Disgregados'!$P$46</definedName>
    <definedName name="LINEA_60kV">#REF!</definedName>
    <definedName name="Líneas">#REF!</definedName>
    <definedName name="List_Mon_RS" localSheetId="0">#REF!</definedName>
    <definedName name="List_Mon_RS">[109]Resúmen_RS!$B$5:$B$165</definedName>
    <definedName name="List_Res_dger" localSheetId="3">[108]Resúmen!$D$8:$D$653</definedName>
    <definedName name="List_Res_dger" localSheetId="0">#REF!</definedName>
    <definedName name="List_Res_dger">[109]Resúmen!$D$8:$D$653</definedName>
    <definedName name="Lista">'[138]PRECIOS ELECTR'!$A$3:$A$288</definedName>
    <definedName name="Lista_Mon_LP" localSheetId="0">#REF!</definedName>
    <definedName name="Lista_Mon_LP">'[109]Resúmen_LP-RP'!$B$6:$B$402</definedName>
    <definedName name="LISTA1">#REF!</definedName>
    <definedName name="listademodulos" localSheetId="15">#REF!</definedName>
    <definedName name="listademodulos" localSheetId="6">#REF!</definedName>
    <definedName name="listademodulos" localSheetId="9">#REF!</definedName>
    <definedName name="listademodulos" localSheetId="12">#REF!</definedName>
    <definedName name="listademodulos">#REF!</definedName>
    <definedName name="LISTADO" localSheetId="15">#REF!</definedName>
    <definedName name="LISTADO" localSheetId="6">#REF!</definedName>
    <definedName name="LISTADO" localSheetId="9">#REF!</definedName>
    <definedName name="LISTADO" localSheetId="12">#REF!</definedName>
    <definedName name="LISTADO">#REF!</definedName>
    <definedName name="LISTADO_7">#REF!</definedName>
    <definedName name="ListaSuministros" localSheetId="15">'[139]SUMINISTRO RP'!#REF!</definedName>
    <definedName name="ListaSuministros" localSheetId="6">'[139]SUMINISTRO RP'!#REF!</definedName>
    <definedName name="ListaSuministros" localSheetId="9">'[139]SUMINISTRO RP'!#REF!</definedName>
    <definedName name="ListaSuministros" localSheetId="12">'[139]SUMINISTRO RP'!#REF!</definedName>
    <definedName name="ListaSuministros">#REF!</definedName>
    <definedName name="Listón_Madera">[93]CONFIGURACIÓN!#REF!</definedName>
    <definedName name="LKM" localSheetId="15">#REF!</definedName>
    <definedName name="LKM" localSheetId="6">#REF!</definedName>
    <definedName name="LKM" localSheetId="9">#REF!</definedName>
    <definedName name="LKM" localSheetId="12">#REF!</definedName>
    <definedName name="LKM">#REF!</definedName>
    <definedName name="LLL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 localSheetId="15">'[125]Aux. Disgregados'!$AA$46</definedName>
    <definedName name="LOC" localSheetId="6">'[125]Aux. Disgregados'!$AA$46</definedName>
    <definedName name="LOC" localSheetId="9">'[125]Aux. Disgregados'!$AA$46</definedName>
    <definedName name="LOC" localSheetId="12">'[125]Aux. Disgregados'!$AA$46</definedName>
    <definedName name="LOC">'[126]Aux. Disgregados'!$AA$46</definedName>
    <definedName name="Loc_RP">'[104]RP MONT'!$DL$341</definedName>
    <definedName name="Loc_RS">'[104]RS MONT'!$DL$199</definedName>
    <definedName name="LOCAL" localSheetId="15">[103]Presupuesto!#REF!</definedName>
    <definedName name="LOCAL" localSheetId="6">[103]Presupuesto!#REF!</definedName>
    <definedName name="LOCAL" localSheetId="9">[103]Presupuesto!#REF!</definedName>
    <definedName name="LOCAL" localSheetId="12">[103]Presupuesto!#REF!</definedName>
    <definedName name="LOCAL">[103]Presupuesto!#REF!</definedName>
    <definedName name="LOCALID">#REF!</definedName>
    <definedName name="Localidad">#REF!</definedName>
    <definedName name="localidades" localSheetId="15">'[140]Aux. Disgregados'!$F$46</definedName>
    <definedName name="localidades" localSheetId="6">'[140]Aux. Disgregados'!$F$46</definedName>
    <definedName name="localidades" localSheetId="9">'[140]Aux. Disgregados'!$F$46</definedName>
    <definedName name="localidades" localSheetId="12">'[140]Aux. Disgregados'!$F$46</definedName>
    <definedName name="localidades" localSheetId="0">'[141]Aux. Disgregados'!$F$46</definedName>
    <definedName name="LOCALIDADES">#REF!</definedName>
    <definedName name="LOCALIDADES_RS">#REF!</definedName>
    <definedName name="LOLP">'[49]#¡REF'!#REF!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 localSheetId="15">[119]BD_LP!$E$1:$DE$218</definedName>
    <definedName name="LP_ARMADOS" localSheetId="6">[119]BD_LP!$E$1:$DE$218</definedName>
    <definedName name="LP_ARMADOS" localSheetId="9">[119]BD_LP!$E$1:$DE$218</definedName>
    <definedName name="LP_ARMADOS" localSheetId="12">[119]BD_LP!$E$1:$DE$218</definedName>
    <definedName name="LP_ARMADOS">#REF!</definedName>
    <definedName name="LP_RP" localSheetId="15">#REF!</definedName>
    <definedName name="LP_RP" localSheetId="6">#REF!</definedName>
    <definedName name="LP_RP" localSheetId="9">#REF!</definedName>
    <definedName name="LP_RP" localSheetId="12">#REF!</definedName>
    <definedName name="LP_RP">'[62]DATOS DE CAMPO'!#REF!</definedName>
    <definedName name="LPRN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 localSheetId="15">#REF!</definedName>
    <definedName name="lsst1" localSheetId="6">#REF!</definedName>
    <definedName name="lsst1" localSheetId="9">#REF!</definedName>
    <definedName name="lsst1" localSheetId="12">#REF!</definedName>
    <definedName name="lsst1">#REF!</definedName>
    <definedName name="lsst2" localSheetId="15">#REF!</definedName>
    <definedName name="lsst2" localSheetId="6">#REF!</definedName>
    <definedName name="lsst2" localSheetId="9">#REF!</definedName>
    <definedName name="lsst2" localSheetId="12">#REF!</definedName>
    <definedName name="lsst2">#REF!</definedName>
    <definedName name="Luis">'[142]CAP-120mm2'!$B$3:$H$58</definedName>
    <definedName name="LUM">#REF!</definedName>
    <definedName name="LUM_70" localSheetId="15">#REF!</definedName>
    <definedName name="LUM_70" localSheetId="6">#REF!</definedName>
    <definedName name="LUM_70" localSheetId="9">#REF!</definedName>
    <definedName name="LUM_70" localSheetId="12">#REF!</definedName>
    <definedName name="LUM_70">#REF!</definedName>
    <definedName name="LUMINARIA">#REF!</definedName>
    <definedName name="M" localSheetId="15">'[140]Aux. Disgregados'!#REF!</definedName>
    <definedName name="M" localSheetId="6">'[140]Aux. Disgregados'!#REF!</definedName>
    <definedName name="M" localSheetId="9">'[140]Aux. Disgregados'!#REF!</definedName>
    <definedName name="M" localSheetId="12">'[140]Aux. Disgregados'!#REF!</definedName>
    <definedName name="M">'[141]Aux.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'[143]FORMA-LS3'!$A$1:$M$53</definedName>
    <definedName name="MARI1">'[143]FORMA-LS1-LS2'!$A$17:$Q$83</definedName>
    <definedName name="MARI2">'[143]FORMA- RE1'!$A$3:$H$52</definedName>
    <definedName name="MARI3">'[143]FORMA-RL1'!$B$1:$L$46</definedName>
    <definedName name="MARI4">'[143]FORMA-SE2'!$M$5</definedName>
    <definedName name="MARI5">'[143]FORMA-SE2'!#REF!</definedName>
    <definedName name="MARI7">'[143]FORMA-SE2'!#REF!</definedName>
    <definedName name="MARI8">'[143]FORMA-LS1-LS2'!$A$98:$Q$170</definedName>
    <definedName name="marlenne">'[76]#¡REF'!#REF!</definedName>
    <definedName name="MARQ">#REF!</definedName>
    <definedName name="Materiales">#REF!</definedName>
    <definedName name="Matriz" localSheetId="15">#REF!</definedName>
    <definedName name="Matriz" localSheetId="6">#REF!</definedName>
    <definedName name="Matriz" localSheetId="9">#REF!</definedName>
    <definedName name="Matriz" localSheetId="12">#REF!</definedName>
    <definedName name="Matriz">#REF!</definedName>
    <definedName name="matriz1">[144]RESUMEN!$G$35:$I$48</definedName>
    <definedName name="matriz2">[144]RESUMEN!$G$20:$J$33</definedName>
    <definedName name="matriz3">[144]RESUMEN!$G$11:$I$18</definedName>
    <definedName name="Max">'[145]Dos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[25]Hoja1!$G$6</definedName>
    <definedName name="MC" localSheetId="15">#REF!</definedName>
    <definedName name="MC" localSheetId="6">#REF!</definedName>
    <definedName name="MC" localSheetId="9">#REF!</definedName>
    <definedName name="MC" localSheetId="12">#REF!</definedName>
    <definedName name="MC">'[146]DATOS DE CAMPO'!#REF!</definedName>
    <definedName name="MD" localSheetId="15">#REF!</definedName>
    <definedName name="MD" localSheetId="6">#REF!</definedName>
    <definedName name="MD" localSheetId="9">#REF!</definedName>
    <definedName name="MD" localSheetId="12">#REF!</definedName>
    <definedName name="MD">'[146]DATOS DE CAMPO'!#REF!</definedName>
    <definedName name="Medidor">#REF!</definedName>
    <definedName name="Medidores">#REF!</definedName>
    <definedName name="MELE">#REF!</definedName>
    <definedName name="meses" localSheetId="15">'[140]Aux. Disgregados'!#REF!</definedName>
    <definedName name="meses" localSheetId="6">'[140]Aux. Disgregados'!#REF!</definedName>
    <definedName name="meses" localSheetId="9">'[140]Aux. Disgregados'!#REF!</definedName>
    <definedName name="meses" localSheetId="12">'[140]Aux. Disgregados'!#REF!</definedName>
    <definedName name="meses">'[141]Aux. Disgregados'!#REF!</definedName>
    <definedName name="meses_EstudioIngeniería" localSheetId="15">'[125]Aux. Disgregados'!$I$46</definedName>
    <definedName name="meses_EstudioIngeniería" localSheetId="6">'[125]Aux. Disgregados'!$I$46</definedName>
    <definedName name="meses_EstudioIngeniería" localSheetId="9">'[125]Aux. Disgregados'!$I$46</definedName>
    <definedName name="meses_EstudioIngeniería" localSheetId="12">'[125]Aux. Disgregados'!$I$46</definedName>
    <definedName name="meses_EstudioIngeniería">'[126]Aux. Disgregados'!$I$46</definedName>
    <definedName name="meses_obra" localSheetId="15">'[125]Aux. Disgregados'!$E$46</definedName>
    <definedName name="meses_obra" localSheetId="6">'[125]Aux. Disgregados'!$E$46</definedName>
    <definedName name="meses_obra" localSheetId="9">'[125]Aux. Disgregados'!$E$46</definedName>
    <definedName name="meses_obra" localSheetId="12">'[125]Aux. Disgregados'!$E$46</definedName>
    <definedName name="meses_obra">'[126]Aux. Disgregados'!$E$46</definedName>
    <definedName name="MEST">#REF!</definedName>
    <definedName name="mesval">[25]Hoja1!$D$4</definedName>
    <definedName name="MET" localSheetId="15">#REF!</definedName>
    <definedName name="MET" localSheetId="6">#REF!</definedName>
    <definedName name="MET" localSheetId="9">#REF!</definedName>
    <definedName name="MET" localSheetId="12">#REF!</definedName>
    <definedName name="MET">#REF!</definedName>
    <definedName name="MET_7">#REF!</definedName>
    <definedName name="MET_MONT">'[77]Metrado y Presupuesto'!$S$583:$DW$682</definedName>
    <definedName name="MET1_7">#REF!</definedName>
    <definedName name="MET2_7">#REF!</definedName>
    <definedName name="METRA">#REF!</definedName>
    <definedName name="METRAD">[71]DB!$A$3:$AU$697</definedName>
    <definedName name="METRADO" localSheetId="15">#REF!</definedName>
    <definedName name="METRADO" localSheetId="6">#REF!</definedName>
    <definedName name="METRADO" localSheetId="9">#REF!</definedName>
    <definedName name="METRADO" localSheetId="12">#REF!</definedName>
    <definedName name="METRADO">#REF!</definedName>
    <definedName name="METRADO_7">#REF!</definedName>
    <definedName name="METRADO_MONTAJE">'[147]Metrado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 localSheetId="15">'[148]Analisis de la T.C. - 2.2'!$AB$6</definedName>
    <definedName name="Min" localSheetId="6">'[148]Analisis de la T.C. - 2.2'!$AB$6</definedName>
    <definedName name="Min" localSheetId="9">'[148]Analisis de la T.C. - 2.2'!$AB$6</definedName>
    <definedName name="Min" localSheetId="12">'[148]Analisis de la T.C. - 2.2'!$AB$6</definedName>
    <definedName name="Min">'[149]Analisis de la T.C. - 2.2'!$AB$6</definedName>
    <definedName name="mmm">#REF!</definedName>
    <definedName name="mmmm" localSheetId="0" hidden="1">#REF!</definedName>
    <definedName name="mmmm" hidden="1">#REF!</definedName>
    <definedName name="MNP" localSheetId="15">'[2]#¡REF'!#REF!</definedName>
    <definedName name="MNP" localSheetId="6">'[2]#¡REF'!#REF!</definedName>
    <definedName name="MNP" localSheetId="9">'[57]#¡REF'!#REF!</definedName>
    <definedName name="MNP" localSheetId="12">'[2]#¡REF'!#REF!</definedName>
    <definedName name="MNP" localSheetId="0">'[58]#¡REF'!#REF!</definedName>
    <definedName name="MNP">'[2]#¡REF'!#REF!</definedName>
    <definedName name="MNP_1">'[2]#¡REF'!#REF!</definedName>
    <definedName name="MNP_13">'[57]#¡REF'!#REF!</definedName>
    <definedName name="MO">#REF!</definedName>
    <definedName name="Moneda" localSheetId="15">#REF!</definedName>
    <definedName name="Moneda" localSheetId="6">#REF!</definedName>
    <definedName name="Moneda" localSheetId="9">#REF!</definedName>
    <definedName name="Moneda" localSheetId="12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 localSheetId="15">'[125]Aux. Disgregados'!$L$46</definedName>
    <definedName name="monitoreo_inspec_EstudioIngeniería" localSheetId="6">'[125]Aux. Disgregados'!$L$46</definedName>
    <definedName name="monitoreo_inspec_EstudioIngeniería" localSheetId="9">'[125]Aux. Disgregados'!$L$46</definedName>
    <definedName name="monitoreo_inspec_EstudioIngeniería" localSheetId="12">'[125]Aux. Disgregados'!$L$46</definedName>
    <definedName name="monitoreo_inspec_EstudioIngeniería">'[126]Aux. Disgregados'!$L$46</definedName>
    <definedName name="monlrp">#REF!</definedName>
    <definedName name="MONOFASICO" localSheetId="15">#REF!</definedName>
    <definedName name="MONOFASICO" localSheetId="6">#REF!</definedName>
    <definedName name="MONOFASICO" localSheetId="9">#REF!</definedName>
    <definedName name="MONOFASICO" localSheetId="12">#REF!</definedName>
    <definedName name="MONOFASICO">#REF!</definedName>
    <definedName name="monrs">#REF!</definedName>
    <definedName name="MONTAJE" localSheetId="15">#REF!</definedName>
    <definedName name="MONTAJE" localSheetId="6">#REF!</definedName>
    <definedName name="MONTAJE" localSheetId="9">#REF!</definedName>
    <definedName name="MONTAJE" localSheetId="12">#REF!</definedName>
    <definedName name="MONTAJE">#REF!</definedName>
    <definedName name="MontajeBT">#REF!</definedName>
    <definedName name="MontajeMT">#REF!</definedName>
    <definedName name="MONTLP">#REF!</definedName>
    <definedName name="Monto" localSheetId="15">'[140]Aux. Disgregados'!$D$28</definedName>
    <definedName name="Monto" localSheetId="6">'[140]Aux. Disgregados'!$D$28</definedName>
    <definedName name="Monto" localSheetId="9">'[140]Aux. Disgregados'!$D$28</definedName>
    <definedName name="Monto" localSheetId="12">'[140]Aux. Disgregados'!$D$28</definedName>
    <definedName name="Monto">'[141]Aux. Disgregados'!$D$28</definedName>
    <definedName name="MONTRP">#REF!</definedName>
    <definedName name="MONTRS">'[63]MONT RS'!$A$9:$BU$142</definedName>
    <definedName name="MSAN">#REF!</definedName>
    <definedName name="mtab48p">'[47]ANALISIS  COSTOS UNIT.'!#REF!</definedName>
    <definedName name="mtabtaa">'[47]ANALISIS  COSTOS UNIT.'!#REF!</definedName>
    <definedName name="Murete" localSheetId="15">#REF!</definedName>
    <definedName name="Murete" localSheetId="6">#REF!</definedName>
    <definedName name="Murete" localSheetId="9">#REF!</definedName>
    <definedName name="Murete" localSheetId="12">#REF!</definedName>
    <definedName name="Murete">#REF!</definedName>
    <definedName name="MuyConcentrado" localSheetId="15">#REF!</definedName>
    <definedName name="MuyConcentrado" localSheetId="6">#REF!</definedName>
    <definedName name="MuyConcentrado" localSheetId="9">#REF!</definedName>
    <definedName name="MuyConcentrado" localSheetId="12">#REF!</definedName>
    <definedName name="MuyConcentrado">'[92]DATOS DE CAMPO  RS'!#REF!</definedName>
    <definedName name="MuyDisperso" localSheetId="15">#REF!</definedName>
    <definedName name="MuyDisperso" localSheetId="6">#REF!</definedName>
    <definedName name="MuyDisperso" localSheetId="9">#REF!</definedName>
    <definedName name="MuyDisperso" localSheetId="12">#REF!</definedName>
    <definedName name="MuyDisperso">'[92]DATOS DE CAMPO  RS'!#REF!</definedName>
    <definedName name="Name_Documento">'[150]RESUMEN GRAL'!$B$1</definedName>
    <definedName name="name_proy" localSheetId="3">'[108]RES-GRAL'!$F$22</definedName>
    <definedName name="name_proy" localSheetId="0">'[151]RES-GRAL'!$F$4</definedName>
    <definedName name="name_proy">'[109]RES-GRAL'!$F$4</definedName>
    <definedName name="ncon" localSheetId="15">[18]Datos!$D$3</definedName>
    <definedName name="ncon" localSheetId="6">[18]Datos!$D$3</definedName>
    <definedName name="ncon" localSheetId="9">[18]Datos!$D$3</definedName>
    <definedName name="ncon" localSheetId="12">[18]Datos!$D$3</definedName>
    <definedName name="ncon" localSheetId="0">[44]Datos!$D$3</definedName>
    <definedName name="ncon">[25]Hoja1!$D$3</definedName>
    <definedName name="ncont" localSheetId="15">[18]Datos!$D$4</definedName>
    <definedName name="ncont" localSheetId="6">[18]Datos!$D$4</definedName>
    <definedName name="ncont" localSheetId="9">[18]Datos!$D$4</definedName>
    <definedName name="ncont" localSheetId="12">[18]Datos!$D$4</definedName>
    <definedName name="ncont" localSheetId="0">[44]Datos!$D$4</definedName>
    <definedName name="ncont">[25]Hoja1!$D$4</definedName>
    <definedName name="Neutro">[93]CONFIGURACIÓN!#REF!</definedName>
    <definedName name="NHBGYT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NDSNDSN">'[152]Precios Estruc.'!$A$1:$E$339</definedName>
    <definedName name="no">'[48]#¡REF'!#REF!</definedName>
    <definedName name="Nº_CONEC.">#REF!</definedName>
    <definedName name="NoBT5" localSheetId="15">#REF!</definedName>
    <definedName name="NoBT5" localSheetId="6">#REF!</definedName>
    <definedName name="NoBT5" localSheetId="9">#REF!</definedName>
    <definedName name="NoBT5" localSheetId="12">#REF!</definedName>
    <definedName name="NoBT5">#REF!</definedName>
    <definedName name="Nombre">[59]Redes!#REF!</definedName>
    <definedName name="Nombre_Proyecto" localSheetId="15">'[140]Aux. Disgregados'!$D$46</definedName>
    <definedName name="Nombre_Proyecto" localSheetId="6">'[140]Aux. Disgregados'!$D$46</definedName>
    <definedName name="Nombre_Proyecto" localSheetId="9">'[140]Aux. Disgregados'!$D$46</definedName>
    <definedName name="Nombre_Proyecto" localSheetId="12">'[140]Aux. Disgregados'!$D$46</definedName>
    <definedName name="Nombre_Proyecto">'[141]Aux. Disgregados'!$D$46</definedName>
    <definedName name="NOMBRE1" localSheetId="15">#REF!</definedName>
    <definedName name="NOMBRE1" localSheetId="6">#REF!</definedName>
    <definedName name="NOMBRE1" localSheetId="9">#REF!</definedName>
    <definedName name="NOMBRE1" localSheetId="12">#REF!</definedName>
    <definedName name="NOMBRE1">#REF!</definedName>
    <definedName name="NOMBRE2" localSheetId="15">#REF!</definedName>
    <definedName name="NOMBRE2" localSheetId="6">#REF!</definedName>
    <definedName name="NOMBRE2" localSheetId="9">#REF!</definedName>
    <definedName name="NOMBRE2" localSheetId="12">#REF!</definedName>
    <definedName name="NOMBRE2">#REF!</definedName>
    <definedName name="NOMBRE2_1" localSheetId="15">#REF!</definedName>
    <definedName name="NOMBRE2_1" localSheetId="6">#REF!</definedName>
    <definedName name="NOMBRE2_1" localSheetId="9">#REF!</definedName>
    <definedName name="NOMBRE2_1" localSheetId="12">#REF!</definedName>
    <definedName name="NOMBRE2_1">#REF!</definedName>
    <definedName name="NOMBRE3" localSheetId="15">#REF!</definedName>
    <definedName name="NOMBRE3" localSheetId="6">#REF!</definedName>
    <definedName name="NOMBRE3" localSheetId="9">#REF!</definedName>
    <definedName name="NOMBRE3" localSheetId="12">#REF!</definedName>
    <definedName name="NOMBRE3">#REF!</definedName>
    <definedName name="npro" localSheetId="15">[18]Datos!$D$2</definedName>
    <definedName name="npro" localSheetId="6">[18]Datos!$D$2</definedName>
    <definedName name="npro" localSheetId="9">[18]Datos!$D$2</definedName>
    <definedName name="npro" localSheetId="12">[18]Datos!$D$2</definedName>
    <definedName name="npro" localSheetId="0">[44]Datos!$D$2</definedName>
    <definedName name="npro">[25]Hoja1!$D$2</definedName>
    <definedName name="numval">[25]Hoja1!$D$3</definedName>
    <definedName name="NUNLOC">#REF!</definedName>
    <definedName name="NVal">#REF!</definedName>
    <definedName name="NYY">[153]DATOS!$K$35:$O$45</definedName>
    <definedName name="Ñ">'[114]#¡REF'!#REF!</definedName>
    <definedName name="ññ" localSheetId="5" hidden="1">{"vista1",#N/A,FALSE,"SE_Zapallal"}</definedName>
    <definedName name="ññ" localSheetId="8" hidden="1">{"vista1",#N/A,FALSE,"SE_Zapallal"}</definedName>
    <definedName name="ññ" localSheetId="14" hidden="1">{"vista1",#N/A,FALSE,"SE_Zapallal"}</definedName>
    <definedName name="ññ" localSheetId="13" hidden="1">{"vista1",#N/A,FALSE,"SE_Zapallal"}</definedName>
    <definedName name="ññ" localSheetId="4" hidden="1">{"vista1",#N/A,FALSE,"SE_Zapallal"}</definedName>
    <definedName name="ññ" localSheetId="7" hidden="1">{"vista1",#N/A,FALSE,"SE_Zapallal"}</definedName>
    <definedName name="ññ" hidden="1">{"vista1",#N/A,FALSE,"SE_Zapallal"}</definedName>
    <definedName name="o" localSheetId="5" hidden="1">{"vista1",#N/A,FALSE,"SE_Ica";"vista2",#N/A,FALSE,"SE_Ica";"vista3",#N/A,FALSE,"SE_Ica"}</definedName>
    <definedName name="o" localSheetId="8" hidden="1">{"vista1",#N/A,FALSE,"SE_Ica";"vista2",#N/A,FALSE,"SE_Ica";"vista3",#N/A,FALSE,"SE_Ica"}</definedName>
    <definedName name="o" localSheetId="14" hidden="1">{"vista1",#N/A,FALSE,"SE_Ica";"vista2",#N/A,FALSE,"SE_Ica";"vista3",#N/A,FALSE,"SE_Ica"}</definedName>
    <definedName name="o" localSheetId="13" hidden="1">{"vista1",#N/A,FALSE,"SE_Ica";"vista2",#N/A,FALSE,"SE_Ica";"vista3",#N/A,FALSE,"SE_Ica"}</definedName>
    <definedName name="o" localSheetId="4" hidden="1">{"vista1",#N/A,FALSE,"SE_Ica";"vista2",#N/A,FALSE,"SE_Ica";"vista3",#N/A,FALSE,"SE_Ica"}</definedName>
    <definedName name="o" localSheetId="7" hidden="1">{"vista1",#N/A,FALSE,"SE_Ica";"vista2",#N/A,FALSE,"SE_Ica";"vista3",#N/A,FALSE,"SE_Ica"}</definedName>
    <definedName name="o" hidden="1">{"vista1",#N/A,FALSE,"SE_Ica";"vista2",#N/A,FALSE,"SE_Ica";"vista3",#N/A,FALSE,"SE_Ica"}</definedName>
    <definedName name="OBRA">[97]DATOS!$C$3</definedName>
    <definedName name="OCIVIL" localSheetId="15">[90]CIVIL!$A$47:$BQ$150</definedName>
    <definedName name="OCIVIL" localSheetId="6">[90]CIVIL!$A$47:$BQ$150</definedName>
    <definedName name="OCIVIL" localSheetId="9">[90]CIVIL!$A$47:$BQ$150</definedName>
    <definedName name="OCIVIL" localSheetId="12">[90]CIVIL!$A$47:$BQ$150</definedName>
    <definedName name="OCIVIL">[91]CIVIL!$A$47:$BQ$150</definedName>
    <definedName name="Ocultar_LP">'[154]SUMI LP'!#REF!</definedName>
    <definedName name="Ocultar_RP">'[155]SUMI RP'!$I$288:$DD$290</definedName>
    <definedName name="Ocultar_RS">'[155]SUMI RS'!$I$139:$DD$141</definedName>
    <definedName name="Ocultar_Sum_LP">'[59]SUMI LP'!#REF!</definedName>
    <definedName name="OLE_LINK1">#REF!</definedName>
    <definedName name="olivosad">#REF!</definedName>
    <definedName name="olivosrp">#REF!</definedName>
    <definedName name="olivosrs">#REF!</definedName>
    <definedName name="OO">'[36]#¡REF'!#REF!</definedName>
    <definedName name="OOCC">#REF!</definedName>
    <definedName name="OOOOOOOOOOOOOOOOO">'[48]#¡REF'!#REF!</definedName>
    <definedName name="ope" localSheetId="15">[156]Hoja4!#REF!</definedName>
    <definedName name="ope" localSheetId="6">[156]Hoja4!#REF!</definedName>
    <definedName name="ope" localSheetId="9">[157]Hoja4!#REF!</definedName>
    <definedName name="ope" localSheetId="12">[156]Hoja4!#REF!</definedName>
    <definedName name="ope">[156]Hoja4!#REF!</definedName>
    <definedName name="ope_1">[156]Hoja4!#REF!</definedName>
    <definedName name="ope_13">[158]Hoja4!#REF!</definedName>
    <definedName name="os">#REF!</definedName>
    <definedName name="otro">'[58]#¡REF'!#REF!</definedName>
    <definedName name="OTROS">[1]A!$D$64:$D$65</definedName>
    <definedName name="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5" hidden="1">{"vista1",#N/A,FALSE,"SE_Guadalupe";"vista2",#N/A,FALSE,"SE_Guadalupe";"vista3",#N/A,FALSE,"SE_Guadalupe"}</definedName>
    <definedName name="p" localSheetId="8" hidden="1">{"vista1",#N/A,FALSE,"SE_Guadalupe";"vista2",#N/A,FALSE,"SE_Guadalupe";"vista3",#N/A,FALSE,"SE_Guadalupe"}</definedName>
    <definedName name="p" localSheetId="14" hidden="1">{"vista1",#N/A,FALSE,"SE_Guadalupe";"vista2",#N/A,FALSE,"SE_Guadalupe";"vista3",#N/A,FALSE,"SE_Guadalupe"}</definedName>
    <definedName name="p" localSheetId="13" hidden="1">{"vista1",#N/A,FALSE,"SE_Guadalupe";"vista2",#N/A,FALSE,"SE_Guadalupe";"vista3",#N/A,FALSE,"SE_Guadalupe"}</definedName>
    <definedName name="p" localSheetId="4" hidden="1">{"vista1",#N/A,FALSE,"SE_Guadalupe";"vista2",#N/A,FALSE,"SE_Guadalupe";"vista3",#N/A,FALSE,"SE_Guadalupe"}</definedName>
    <definedName name="p" localSheetId="7" hidden="1">{"vista1",#N/A,FALSE,"SE_Guadalupe";"vista2",#N/A,FALSE,"SE_Guadalupe";"vista3",#N/A,FALSE,"SE_Guadalupe"}</definedName>
    <definedName name="p" localSheetId="0">#REF!</definedName>
    <definedName name="p" hidden="1">{"vista1",#N/A,FALSE,"SE_Guadalupe";"vista2",#N/A,FALSE,"SE_Guadalupe";"vista3",#N/A,FALSE,"SE_Guadalupe"}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 localSheetId="15">#REF!</definedName>
    <definedName name="PA1_0" localSheetId="6">#REF!</definedName>
    <definedName name="PA1_0" localSheetId="9">#REF!</definedName>
    <definedName name="PA1_0" localSheetId="12">#REF!</definedName>
    <definedName name="PA1_0">#REF!</definedName>
    <definedName name="PA1_0_M" localSheetId="15">#REF!</definedName>
    <definedName name="PA1_0_M" localSheetId="6">#REF!</definedName>
    <definedName name="PA1_0_M" localSheetId="9">#REF!</definedName>
    <definedName name="PA1_0_M" localSheetId="12">#REF!</definedName>
    <definedName name="PA1_0_M">#REF!</definedName>
    <definedName name="PA1_1N" localSheetId="15">#REF!</definedName>
    <definedName name="PA1_1N" localSheetId="6">#REF!</definedName>
    <definedName name="PA1_1N" localSheetId="9">#REF!</definedName>
    <definedName name="PA1_1N" localSheetId="12">#REF!</definedName>
    <definedName name="PA1_1N">#REF!</definedName>
    <definedName name="PA1_1N_M" localSheetId="15">#REF!</definedName>
    <definedName name="PA1_1N_M" localSheetId="6">#REF!</definedName>
    <definedName name="PA1_1N_M" localSheetId="9">#REF!</definedName>
    <definedName name="PA1_1N_M" localSheetId="12">#REF!</definedName>
    <definedName name="PA1_1N_M">#REF!</definedName>
    <definedName name="PA1_1NT" localSheetId="15">#REF!</definedName>
    <definedName name="PA1_1NT" localSheetId="6">#REF!</definedName>
    <definedName name="PA1_1NT" localSheetId="9">#REF!</definedName>
    <definedName name="PA1_1NT" localSheetId="12">#REF!</definedName>
    <definedName name="PA1_1NT">#REF!</definedName>
    <definedName name="PA1_1NT_M" localSheetId="15">#REF!</definedName>
    <definedName name="PA1_1NT_M" localSheetId="6">#REF!</definedName>
    <definedName name="PA1_1NT_M" localSheetId="9">#REF!</definedName>
    <definedName name="PA1_1NT_M" localSheetId="12">#REF!</definedName>
    <definedName name="PA1_1NT_M">#REF!</definedName>
    <definedName name="PA1_2" localSheetId="15">#REF!</definedName>
    <definedName name="PA1_2" localSheetId="6">#REF!</definedName>
    <definedName name="PA1_2" localSheetId="9">#REF!</definedName>
    <definedName name="PA1_2" localSheetId="12">#REF!</definedName>
    <definedName name="PA1_2">#REF!</definedName>
    <definedName name="PA1_2N" localSheetId="15">#REF!</definedName>
    <definedName name="PA1_2N" localSheetId="6">#REF!</definedName>
    <definedName name="PA1_2N" localSheetId="9">#REF!</definedName>
    <definedName name="PA1_2N" localSheetId="12">#REF!</definedName>
    <definedName name="PA1_2N">#REF!</definedName>
    <definedName name="PA1_3" localSheetId="15">#REF!</definedName>
    <definedName name="PA1_3" localSheetId="6">#REF!</definedName>
    <definedName name="PA1_3" localSheetId="9">#REF!</definedName>
    <definedName name="PA1_3" localSheetId="12">#REF!</definedName>
    <definedName name="PA1_3">#REF!</definedName>
    <definedName name="PA1_3N" localSheetId="15">#REF!</definedName>
    <definedName name="PA1_3N" localSheetId="6">#REF!</definedName>
    <definedName name="PA1_3N" localSheetId="9">#REF!</definedName>
    <definedName name="PA1_3N" localSheetId="12">#REF!</definedName>
    <definedName name="PA1_3N">#REF!</definedName>
    <definedName name="PA1_3NT" localSheetId="15">#REF!</definedName>
    <definedName name="PA1_3NT" localSheetId="6">#REF!</definedName>
    <definedName name="PA1_3NT" localSheetId="9">#REF!</definedName>
    <definedName name="PA1_3NT" localSheetId="12">#REF!</definedName>
    <definedName name="PA1_3NT">#REF!</definedName>
    <definedName name="PA2_0" localSheetId="15">#REF!</definedName>
    <definedName name="PA2_0" localSheetId="6">#REF!</definedName>
    <definedName name="PA2_0" localSheetId="9">#REF!</definedName>
    <definedName name="PA2_0" localSheetId="12">#REF!</definedName>
    <definedName name="PA2_0">#REF!</definedName>
    <definedName name="PA2_0_M" localSheetId="15">#REF!</definedName>
    <definedName name="PA2_0_M" localSheetId="6">#REF!</definedName>
    <definedName name="PA2_0_M" localSheetId="9">#REF!</definedName>
    <definedName name="PA2_0_M" localSheetId="12">#REF!</definedName>
    <definedName name="PA2_0_M">#REF!</definedName>
    <definedName name="PA2_1N" localSheetId="15">#REF!</definedName>
    <definedName name="PA2_1N" localSheetId="6">#REF!</definedName>
    <definedName name="PA2_1N" localSheetId="9">#REF!</definedName>
    <definedName name="PA2_1N" localSheetId="12">#REF!</definedName>
    <definedName name="PA2_1N">#REF!</definedName>
    <definedName name="PA2_1N_M" localSheetId="15">#REF!</definedName>
    <definedName name="PA2_1N_M" localSheetId="6">#REF!</definedName>
    <definedName name="PA2_1N_M" localSheetId="9">#REF!</definedName>
    <definedName name="PA2_1N_M" localSheetId="12">#REF!</definedName>
    <definedName name="PA2_1N_M">#REF!</definedName>
    <definedName name="PA2_1NT" localSheetId="15">#REF!</definedName>
    <definedName name="PA2_1NT" localSheetId="6">#REF!</definedName>
    <definedName name="PA2_1NT" localSheetId="9">#REF!</definedName>
    <definedName name="PA2_1NT" localSheetId="12">#REF!</definedName>
    <definedName name="PA2_1NT">#REF!</definedName>
    <definedName name="PA2_1NT_M" localSheetId="15">#REF!</definedName>
    <definedName name="PA2_1NT_M" localSheetId="6">#REF!</definedName>
    <definedName name="PA2_1NT_M" localSheetId="9">#REF!</definedName>
    <definedName name="PA2_1NT_M" localSheetId="12">#REF!</definedName>
    <definedName name="PA2_1NT_M">#REF!</definedName>
    <definedName name="PA2_2" localSheetId="15">#REF!</definedName>
    <definedName name="PA2_2" localSheetId="6">#REF!</definedName>
    <definedName name="PA2_2" localSheetId="9">#REF!</definedName>
    <definedName name="PA2_2" localSheetId="12">#REF!</definedName>
    <definedName name="PA2_2">#REF!</definedName>
    <definedName name="PA2_2N" localSheetId="15">#REF!</definedName>
    <definedName name="PA2_2N" localSheetId="6">#REF!</definedName>
    <definedName name="PA2_2N" localSheetId="9">#REF!</definedName>
    <definedName name="PA2_2N" localSheetId="12">#REF!</definedName>
    <definedName name="PA2_2N">#REF!</definedName>
    <definedName name="PA2_3" localSheetId="15">#REF!</definedName>
    <definedName name="PA2_3" localSheetId="6">#REF!</definedName>
    <definedName name="PA2_3" localSheetId="9">#REF!</definedName>
    <definedName name="PA2_3" localSheetId="12">#REF!</definedName>
    <definedName name="PA2_3">#REF!</definedName>
    <definedName name="PA2_3N" localSheetId="15">#REF!</definedName>
    <definedName name="PA2_3N" localSheetId="6">#REF!</definedName>
    <definedName name="PA2_3N" localSheetId="9">#REF!</definedName>
    <definedName name="PA2_3N" localSheetId="12">#REF!</definedName>
    <definedName name="PA2_3N">#REF!</definedName>
    <definedName name="PA2_3NT" localSheetId="15">#REF!</definedName>
    <definedName name="PA2_3NT" localSheetId="6">#REF!</definedName>
    <definedName name="PA2_3NT" localSheetId="9">#REF!</definedName>
    <definedName name="PA2_3NT" localSheetId="12">#REF!</definedName>
    <definedName name="PA2_3NT">#REF!</definedName>
    <definedName name="PA3_0" localSheetId="15">#REF!</definedName>
    <definedName name="PA3_0" localSheetId="6">#REF!</definedName>
    <definedName name="PA3_0" localSheetId="9">#REF!</definedName>
    <definedName name="PA3_0" localSheetId="12">#REF!</definedName>
    <definedName name="PA3_0">#REF!</definedName>
    <definedName name="PA3_0_M" localSheetId="15">#REF!</definedName>
    <definedName name="PA3_0_M" localSheetId="6">#REF!</definedName>
    <definedName name="PA3_0_M" localSheetId="9">#REF!</definedName>
    <definedName name="PA3_0_M" localSheetId="12">#REF!</definedName>
    <definedName name="PA3_0_M">#REF!</definedName>
    <definedName name="PA3_1N" localSheetId="15">#REF!</definedName>
    <definedName name="PA3_1N" localSheetId="6">#REF!</definedName>
    <definedName name="PA3_1N" localSheetId="9">#REF!</definedName>
    <definedName name="PA3_1N" localSheetId="12">#REF!</definedName>
    <definedName name="PA3_1N">#REF!</definedName>
    <definedName name="PA3_1N_M" localSheetId="15">#REF!</definedName>
    <definedName name="PA3_1N_M" localSheetId="6">#REF!</definedName>
    <definedName name="PA3_1N_M" localSheetId="9">#REF!</definedName>
    <definedName name="PA3_1N_M" localSheetId="12">#REF!</definedName>
    <definedName name="PA3_1N_M">#REF!</definedName>
    <definedName name="PA3_1NT" localSheetId="15">#REF!</definedName>
    <definedName name="PA3_1NT" localSheetId="6">#REF!</definedName>
    <definedName name="PA3_1NT" localSheetId="9">#REF!</definedName>
    <definedName name="PA3_1NT" localSheetId="12">#REF!</definedName>
    <definedName name="PA3_1NT">#REF!</definedName>
    <definedName name="PA3_1NT_M" localSheetId="15">#REF!</definedName>
    <definedName name="PA3_1NT_M" localSheetId="6">#REF!</definedName>
    <definedName name="PA3_1NT_M" localSheetId="9">#REF!</definedName>
    <definedName name="PA3_1NT_M" localSheetId="12">#REF!</definedName>
    <definedName name="PA3_1NT_M">#REF!</definedName>
    <definedName name="PA3_2" localSheetId="15">#REF!</definedName>
    <definedName name="PA3_2" localSheetId="6">#REF!</definedName>
    <definedName name="PA3_2" localSheetId="9">#REF!</definedName>
    <definedName name="PA3_2" localSheetId="12">#REF!</definedName>
    <definedName name="PA3_2">#REF!</definedName>
    <definedName name="PA3_2N" localSheetId="15">#REF!</definedName>
    <definedName name="PA3_2N" localSheetId="6">#REF!</definedName>
    <definedName name="PA3_2N" localSheetId="9">#REF!</definedName>
    <definedName name="PA3_2N" localSheetId="12">#REF!</definedName>
    <definedName name="PA3_2N">#REF!</definedName>
    <definedName name="PA3_3" localSheetId="15">#REF!</definedName>
    <definedName name="PA3_3" localSheetId="6">#REF!</definedName>
    <definedName name="PA3_3" localSheetId="9">#REF!</definedName>
    <definedName name="PA3_3" localSheetId="12">#REF!</definedName>
    <definedName name="PA3_3">#REF!</definedName>
    <definedName name="PA3_3N" localSheetId="15">#REF!</definedName>
    <definedName name="PA3_3N" localSheetId="6">#REF!</definedName>
    <definedName name="PA3_3N" localSheetId="9">#REF!</definedName>
    <definedName name="PA3_3N" localSheetId="12">#REF!</definedName>
    <definedName name="PA3_3N">#REF!</definedName>
    <definedName name="PA3_3NT" localSheetId="15">#REF!</definedName>
    <definedName name="PA3_3NT" localSheetId="6">#REF!</definedName>
    <definedName name="PA3_3NT" localSheetId="9">#REF!</definedName>
    <definedName name="PA3_3NT" localSheetId="12">#REF!</definedName>
    <definedName name="PA3_3NT">#REF!</definedName>
    <definedName name="paat_1" localSheetId="15">#REF!</definedName>
    <definedName name="paat_1" localSheetId="6">#REF!</definedName>
    <definedName name="paat_1" localSheetId="9">#REF!</definedName>
    <definedName name="paat_1" localSheetId="12">#REF!</definedName>
    <definedName name="paat_1">#REF!</definedName>
    <definedName name="paat_1_1">#REF!</definedName>
    <definedName name="PAAT_1_M" localSheetId="15">#REF!</definedName>
    <definedName name="PAAT_1_M" localSheetId="6">#REF!</definedName>
    <definedName name="PAAT_1_M" localSheetId="9">#REF!</definedName>
    <definedName name="PAAT_1_M" localSheetId="12">#REF!</definedName>
    <definedName name="PAAT_1_M">#REF!</definedName>
    <definedName name="PAAT_1_M_1">#REF!</definedName>
    <definedName name="Pagina">#REF!</definedName>
    <definedName name="paramateriales">#REF!</definedName>
    <definedName name="Pararrayo" localSheetId="15">'[61]DATOS DE CAMPO'!#REF!</definedName>
    <definedName name="Pararrayo" localSheetId="6">'[61]DATOS DE CAMPO'!#REF!</definedName>
    <definedName name="Pararrayo" localSheetId="9">'[61]DATOS DE CAMPO'!#REF!</definedName>
    <definedName name="Pararrayo" localSheetId="12">'[61]DATOS DE CAMPO'!#REF!</definedName>
    <definedName name="Pararrayo">[93]CONFIGURACIÓN!#REF!</definedName>
    <definedName name="PARED">#REF!</definedName>
    <definedName name="PART">#REF!</definedName>
    <definedName name="PARTA">#REF!</definedName>
    <definedName name="PARTE">#REF!</definedName>
    <definedName name="PARTIDA" localSheetId="15">#REF!</definedName>
    <definedName name="PARTIDA" localSheetId="6">#REF!</definedName>
    <definedName name="PARTIDA" localSheetId="9">#REF!</definedName>
    <definedName name="PARTIDA" localSheetId="12">#REF!</definedName>
    <definedName name="PARTIDA" localSheetId="0">#REF!</definedName>
    <definedName name="PARTIDA">#REF!</definedName>
    <definedName name="PARTIDA_1">#REF!</definedName>
    <definedName name="PARTIDA2">#REF!</definedName>
    <definedName name="PARTS">#REF!</definedName>
    <definedName name="PAST_C" localSheetId="15">#REF!</definedName>
    <definedName name="PAST_C" localSheetId="6">#REF!</definedName>
    <definedName name="PAST_C" localSheetId="9">#REF!</definedName>
    <definedName name="PAST_C" localSheetId="12">#REF!</definedName>
    <definedName name="PAST_C">#REF!</definedName>
    <definedName name="PAST_C_1">#REF!</definedName>
    <definedName name="PAST_C_BT" localSheetId="15">#REF!</definedName>
    <definedName name="PAST_C_BT" localSheetId="6">#REF!</definedName>
    <definedName name="PAST_C_BT" localSheetId="9">#REF!</definedName>
    <definedName name="PAST_C_BT" localSheetId="12">#REF!</definedName>
    <definedName name="PAST_C_BT">#REF!</definedName>
    <definedName name="PAST_C_MT" localSheetId="15">#REF!</definedName>
    <definedName name="PAST_C_MT" localSheetId="6">#REF!</definedName>
    <definedName name="PAST_C_MT" localSheetId="9">#REF!</definedName>
    <definedName name="PAST_C_MT" localSheetId="12">#REF!</definedName>
    <definedName name="PAST_C_MT">#REF!</definedName>
    <definedName name="PAST_M" localSheetId="15">#REF!</definedName>
    <definedName name="PAST_M" localSheetId="6">#REF!</definedName>
    <definedName name="PAST_M" localSheetId="9">#REF!</definedName>
    <definedName name="PAST_M" localSheetId="12">#REF!</definedName>
    <definedName name="PAST_M">#REF!</definedName>
    <definedName name="PAST_M_1">#REF!</definedName>
    <definedName name="PAST_M_BT" localSheetId="15">#REF!</definedName>
    <definedName name="PAST_M_BT" localSheetId="6">#REF!</definedName>
    <definedName name="PAST_M_BT" localSheetId="9">#REF!</definedName>
    <definedName name="PAST_M_BT" localSheetId="12">#REF!</definedName>
    <definedName name="PAST_M_BT">#REF!</definedName>
    <definedName name="PAST_M_MT" localSheetId="15">#REF!</definedName>
    <definedName name="PAST_M_MT" localSheetId="6">#REF!</definedName>
    <definedName name="PAST_M_MT" localSheetId="9">#REF!</definedName>
    <definedName name="PAST_M_MT" localSheetId="12">#REF!</definedName>
    <definedName name="PAST_M_MT">#REF!</definedName>
    <definedName name="PAT" localSheetId="15">#REF!</definedName>
    <definedName name="PAT" localSheetId="6">#REF!</definedName>
    <definedName name="PAT" localSheetId="9">#REF!</definedName>
    <definedName name="PAT" localSheetId="12">#REF!</definedName>
    <definedName name="PAT">#REF!</definedName>
    <definedName name="PAT_1" localSheetId="15">#REF!</definedName>
    <definedName name="PAT_1" localSheetId="6">#REF!</definedName>
    <definedName name="PAT_1" localSheetId="9">#REF!</definedName>
    <definedName name="PAT_1" localSheetId="12">#REF!</definedName>
    <definedName name="PAT_1">#REF!</definedName>
    <definedName name="PAT_1_7">#REF!</definedName>
    <definedName name="PAT_1_M" localSheetId="15">#REF!</definedName>
    <definedName name="PAT_1_M" localSheetId="6">#REF!</definedName>
    <definedName name="PAT_1_M" localSheetId="9">#REF!</definedName>
    <definedName name="PAT_1_M" localSheetId="12">#REF!</definedName>
    <definedName name="PAT_1_M">#REF!</definedName>
    <definedName name="PAT_1_M_7">#REF!</definedName>
    <definedName name="PAT_2" localSheetId="15">#REF!</definedName>
    <definedName name="PAT_2" localSheetId="6">#REF!</definedName>
    <definedName name="PAT_2" localSheetId="9">#REF!</definedName>
    <definedName name="PAT_2" localSheetId="12">#REF!</definedName>
    <definedName name="PAT_2">#REF!</definedName>
    <definedName name="PAT_2_7">#REF!</definedName>
    <definedName name="PAT_2_M" localSheetId="15">#REF!</definedName>
    <definedName name="PAT_2_M" localSheetId="6">#REF!</definedName>
    <definedName name="PAT_2_M" localSheetId="9">#REF!</definedName>
    <definedName name="PAT_2_M" localSheetId="12">#REF!</definedName>
    <definedName name="PAT_2_M">#REF!</definedName>
    <definedName name="PAT_2_M_7">#REF!</definedName>
    <definedName name="PAT_2E" localSheetId="15">#REF!</definedName>
    <definedName name="PAT_2E" localSheetId="6">#REF!</definedName>
    <definedName name="PAT_2E" localSheetId="9">#REF!</definedName>
    <definedName name="PAT_2E" localSheetId="12">#REF!</definedName>
    <definedName name="PAT_2E">#REF!</definedName>
    <definedName name="PAT_2E_7">#REF!</definedName>
    <definedName name="PAT_2M" localSheetId="15">#REF!</definedName>
    <definedName name="PAT_2M" localSheetId="6">#REF!</definedName>
    <definedName name="PAT_2M" localSheetId="9">#REF!</definedName>
    <definedName name="PAT_2M" localSheetId="12">#REF!</definedName>
    <definedName name="PAT_2M">#REF!</definedName>
    <definedName name="PAT_2M_1">#REF!</definedName>
    <definedName name="pat_3" localSheetId="15">#REF!</definedName>
    <definedName name="pat_3" localSheetId="6">#REF!</definedName>
    <definedName name="pat_3" localSheetId="9">#REF!</definedName>
    <definedName name="pat_3" localSheetId="12">#REF!</definedName>
    <definedName name="pat_3">#REF!</definedName>
    <definedName name="pat_3_1">#REF!</definedName>
    <definedName name="PAT_3_M" localSheetId="15">#REF!</definedName>
    <definedName name="PAT_3_M" localSheetId="6">#REF!</definedName>
    <definedName name="PAT_3_M" localSheetId="9">#REF!</definedName>
    <definedName name="PAT_3_M" localSheetId="12">#REF!</definedName>
    <definedName name="PAT_3_M">#REF!</definedName>
    <definedName name="PAT_3_M_1">#REF!</definedName>
    <definedName name="PAT_C" localSheetId="15">#REF!</definedName>
    <definedName name="PAT_C" localSheetId="6">#REF!</definedName>
    <definedName name="PAT_C" localSheetId="9">#REF!</definedName>
    <definedName name="PAT_C" localSheetId="12">#REF!</definedName>
    <definedName name="PAT_C">#REF!</definedName>
    <definedName name="PAT_LP">#REF!</definedName>
    <definedName name="PAT_M" localSheetId="15">#REF!</definedName>
    <definedName name="PAT_M" localSheetId="6">#REF!</definedName>
    <definedName name="PAT_M" localSheetId="9">#REF!</definedName>
    <definedName name="PAT_M" localSheetId="12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'[63]BASE-RS'!$EP$38:$EY$465</definedName>
    <definedName name="PB" localSheetId="15">#REF!</definedName>
    <definedName name="PB" localSheetId="6">#REF!</definedName>
    <definedName name="PB" localSheetId="9">#REF!</definedName>
    <definedName name="PB" localSheetId="12">#REF!</definedName>
    <definedName name="PB">#REF!</definedName>
    <definedName name="PB_2" localSheetId="15">#REF!</definedName>
    <definedName name="PB_2" localSheetId="6">#REF!</definedName>
    <definedName name="PB_2" localSheetId="9">#REF!</definedName>
    <definedName name="PB_2" localSheetId="12">#REF!</definedName>
    <definedName name="PB_2">#REF!</definedName>
    <definedName name="PB_25" localSheetId="15">[83]ENTR_F!$D$11:$BH$31</definedName>
    <definedName name="PB_25" localSheetId="6">[83]ENTR_F!$D$11:$BH$31</definedName>
    <definedName name="PB_25" localSheetId="9">[83]ENTR_F!$D$11:$BH$31</definedName>
    <definedName name="PB_25" localSheetId="12">[83]ENTR_F!$D$11:$BH$31</definedName>
    <definedName name="PB_25">[84]ENTR_F!$D$11:$BH$31</definedName>
    <definedName name="PB_3" localSheetId="15">#REF!</definedName>
    <definedName name="PB_3" localSheetId="6">#REF!</definedName>
    <definedName name="PB_3" localSheetId="9">#REF!</definedName>
    <definedName name="PB_3" localSheetId="12">#REF!</definedName>
    <definedName name="PB_3">#REF!</definedName>
    <definedName name="PB_7" localSheetId="15">'[83]3_1'!$C$7:$BG$33</definedName>
    <definedName name="PB_7" localSheetId="6">'[83]3_1'!$C$7:$BG$33</definedName>
    <definedName name="PB_7" localSheetId="9">'[83]3_1'!$C$7:$BG$33</definedName>
    <definedName name="PB_7" localSheetId="12">'[83]3_1'!$C$7:$BG$33</definedName>
    <definedName name="PB_7">'[84]3_1'!$C$7:$BG$33</definedName>
    <definedName name="PB_8" localSheetId="15">#REF!</definedName>
    <definedName name="PB_8" localSheetId="6">#REF!</definedName>
    <definedName name="PB_8" localSheetId="9">#REF!</definedName>
    <definedName name="PB_8" localSheetId="12">#REF!</definedName>
    <definedName name="PB_8">#REF!</definedName>
    <definedName name="PBCD" localSheetId="15">[18]Datos!$D$16</definedName>
    <definedName name="PBCD" localSheetId="6">[18]Datos!$D$16</definedName>
    <definedName name="PBCD" localSheetId="9">[18]Datos!$D$16</definedName>
    <definedName name="PBCD" localSheetId="12">[18]Datos!$D$16</definedName>
    <definedName name="PBCD" localSheetId="0">[44]Datos!$D$16</definedName>
    <definedName name="PBCD">[25]Hoja1!$D$16</definedName>
    <definedName name="PBI">#REF!</definedName>
    <definedName name="PBLP" localSheetId="15">[18]Datos!$D$12</definedName>
    <definedName name="PBLP" localSheetId="6">[18]Datos!$D$12</definedName>
    <definedName name="PBLP" localSheetId="9">[18]Datos!$D$12</definedName>
    <definedName name="PBLP" localSheetId="12">[18]Datos!$D$12</definedName>
    <definedName name="PBLP" localSheetId="0">[44]Datos!$D$12</definedName>
    <definedName name="PBLP">[25]Hoja1!$D$12</definedName>
    <definedName name="PBRP" localSheetId="15">[18]Datos!$D$13</definedName>
    <definedName name="PBRP" localSheetId="6">[18]Datos!$D$13</definedName>
    <definedName name="PBRP" localSheetId="9">[18]Datos!$D$13</definedName>
    <definedName name="PBRP" localSheetId="12">[18]Datos!$D$13</definedName>
    <definedName name="PBRP" localSheetId="0">[44]Datos!$D$13</definedName>
    <definedName name="PBRP">[25]Hoja1!$D$13</definedName>
    <definedName name="PBRS" localSheetId="15">[18]Datos!$D$15</definedName>
    <definedName name="PBRS" localSheetId="6">[18]Datos!$D$15</definedName>
    <definedName name="PBRS" localSheetId="9">[18]Datos!$D$15</definedName>
    <definedName name="PBRS" localSheetId="12">[18]Datos!$D$15</definedName>
    <definedName name="PBRS" localSheetId="0">[44]Datos!$D$15</definedName>
    <definedName name="PBRS">[25]Hoja1!$D$15</definedName>
    <definedName name="Pbs1a">[25]Hoja1!$E$10</definedName>
    <definedName name="Pbs1b">[25]Hoja1!$E$14</definedName>
    <definedName name="Pbs1c">[25]Hoja1!$E$18</definedName>
    <definedName name="PBSE" localSheetId="15">[18]Datos!$D$14</definedName>
    <definedName name="PBSE" localSheetId="6">[18]Datos!$D$14</definedName>
    <definedName name="PBSE" localSheetId="9">[18]Datos!$D$14</definedName>
    <definedName name="PBSE" localSheetId="12">[18]Datos!$D$14</definedName>
    <definedName name="PBSE" localSheetId="0">[44]Datos!$D$14</definedName>
    <definedName name="PBSE">[25]Hoja1!$D$14</definedName>
    <definedName name="PCCD" localSheetId="15">[18]Datos!$D$23</definedName>
    <definedName name="PCCD" localSheetId="6">[18]Datos!$D$23</definedName>
    <definedName name="PCCD" localSheetId="9">[18]Datos!$D$23</definedName>
    <definedName name="PCCD" localSheetId="12">[18]Datos!$D$23</definedName>
    <definedName name="PCCD" localSheetId="0">[44]Datos!$D$23</definedName>
    <definedName name="PCCD">[25]Hoja1!$D$23</definedName>
    <definedName name="PCLP" localSheetId="15">[18]Datos!$D$19</definedName>
    <definedName name="PCLP" localSheetId="6">[18]Datos!$D$19</definedName>
    <definedName name="PCLP" localSheetId="9">[18]Datos!$D$19</definedName>
    <definedName name="PCLP" localSheetId="12">[18]Datos!$D$19</definedName>
    <definedName name="PCLP" localSheetId="0">[44]Datos!$D$19</definedName>
    <definedName name="PCLP">[25]Hoja1!$D$19</definedName>
    <definedName name="PCRP" localSheetId="15">[18]Datos!$D$20</definedName>
    <definedName name="PCRP" localSheetId="6">[18]Datos!$D$20</definedName>
    <definedName name="PCRP" localSheetId="9">[18]Datos!$D$20</definedName>
    <definedName name="PCRP" localSheetId="12">[18]Datos!$D$20</definedName>
    <definedName name="PCRP" localSheetId="0">[44]Datos!$D$20</definedName>
    <definedName name="PCRP">[25]Hoja1!$D$20</definedName>
    <definedName name="PCRS" localSheetId="15">[18]Datos!$D$22</definedName>
    <definedName name="PCRS" localSheetId="6">[18]Datos!$D$22</definedName>
    <definedName name="PCRS" localSheetId="9">[18]Datos!$D$22</definedName>
    <definedName name="PCRS" localSheetId="12">[18]Datos!$D$22</definedName>
    <definedName name="PCRS" localSheetId="0">[44]Datos!$D$22</definedName>
    <definedName name="PCRS">[25]Hoja1!$D$22</definedName>
    <definedName name="Pcs1a">[25]Hoja1!$E$11</definedName>
    <definedName name="Pcs1b">[25]Hoja1!$E$15</definedName>
    <definedName name="Pcs1c">[25]Hoja1!$E$19</definedName>
    <definedName name="PCSE" localSheetId="15">[18]Datos!$D$21</definedName>
    <definedName name="PCSE" localSheetId="6">[18]Datos!$D$21</definedName>
    <definedName name="PCSE" localSheetId="9">[18]Datos!$D$21</definedName>
    <definedName name="PCSE" localSheetId="12">[18]Datos!$D$21</definedName>
    <definedName name="PCSE" localSheetId="0">[44]Datos!$D$21</definedName>
    <definedName name="PCSE">[25]Hoja1!$D$21</definedName>
    <definedName name="PEL" localSheetId="15">#REF!</definedName>
    <definedName name="PEL" localSheetId="6">#REF!</definedName>
    <definedName name="PEL" localSheetId="9">#REF!</definedName>
    <definedName name="PEL" localSheetId="12">#REF!</definedName>
    <definedName name="PEL">#REF!</definedName>
    <definedName name="Perdidas">'[92]DATOS DE CAMPO  RP'!#REF!</definedName>
    <definedName name="Perforadora">#REF!</definedName>
    <definedName name="Peso" localSheetId="15">#REF!</definedName>
    <definedName name="Peso" localSheetId="6">#REF!</definedName>
    <definedName name="Peso" localSheetId="9">#REF!</definedName>
    <definedName name="Peso" localSheetId="12">#REF!</definedName>
    <definedName name="Peso">#REF!</definedName>
    <definedName name="Peso_7">#REF!</definedName>
    <definedName name="phibe2">'[159]Base de Datos'!$H$21</definedName>
    <definedName name="phibe3">'[159]Base de Datos'!$H$22</definedName>
    <definedName name="phibi2">'[159]Base de Datos'!$L$21</definedName>
    <definedName name="phibi3">'[159]Base de Datos'!$L$22</definedName>
    <definedName name="phipe2">'[159]Base de Datos'!$D$21</definedName>
    <definedName name="phipe3">'[159]Base de Datos'!$D$22</definedName>
    <definedName name="phipi2">'[159]Base de Datos'!$J$21</definedName>
    <definedName name="phipi3">'[159]Base de Datos'!$J$22</definedName>
    <definedName name="PJE.RAMIREZ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 localSheetId="15">'[125]Aux. Disgregados'!$H$46</definedName>
    <definedName name="Plan_consumidores" localSheetId="6">'[125]Aux. Disgregados'!$H$46</definedName>
    <definedName name="Plan_consumidores" localSheetId="9">'[125]Aux. Disgregados'!$H$46</definedName>
    <definedName name="Plan_consumidores" localSheetId="12">'[125]Aux. Disgregados'!$H$46</definedName>
    <definedName name="Plan_consumidores">'[126]Aux. Disgregados'!$H$46</definedName>
    <definedName name="PLANI">#REF!</definedName>
    <definedName name="PLANIL">[71]DB!$C$3:$AU$697</definedName>
    <definedName name="PLANILLA">[79]PLANILLA_M!$A$12:$BX$248</definedName>
    <definedName name="PLANILLA_DESMONTAJE_MT">'[77]Planilla - Desmontaje'!$A$14:$BY$445</definedName>
    <definedName name="PLANILLA_MONTAJE_MT">'[77]Planilla - Montaje'!$A$15:$IV$704</definedName>
    <definedName name="PLANILLAS">#REF!</definedName>
    <definedName name="PLANILLAS1">#REF!</definedName>
    <definedName name="plazo_expediente_servid" localSheetId="15">'[125]Aux. Disgregados'!$O$46</definedName>
    <definedName name="plazo_expediente_servid" localSheetId="6">'[125]Aux. Disgregados'!$O$46</definedName>
    <definedName name="plazo_expediente_servid" localSheetId="9">'[125]Aux. Disgregados'!$O$46</definedName>
    <definedName name="plazo_expediente_servid" localSheetId="12">'[125]Aux. Disgregados'!$O$46</definedName>
    <definedName name="plazo_expediente_servid">'[126]Aux. Disgregados'!$O$46</definedName>
    <definedName name="Pliego1">[101]AnexoVI!$A$1:$C$45</definedName>
    <definedName name="PME" localSheetId="15">#REF!</definedName>
    <definedName name="PME" localSheetId="6">#REF!</definedName>
    <definedName name="PME" localSheetId="9">#REF!</definedName>
    <definedName name="PME" localSheetId="12">#REF!</definedName>
    <definedName name="PME">#REF!</definedName>
    <definedName name="PN" localSheetId="5" hidden="1">{"vista1",#N/A,FALSE,"SE_Paramonga_Nueva";"vista2",#N/A,FALSE,"SE_Paramonga_Nueva";"vista3",#N/A,FALSE,"SE_Paramonga_Nueva"}</definedName>
    <definedName name="PN" localSheetId="8" hidden="1">{"vista1",#N/A,FALSE,"SE_Paramonga_Nueva";"vista2",#N/A,FALSE,"SE_Paramonga_Nueva";"vista3",#N/A,FALSE,"SE_Paramonga_Nueva"}</definedName>
    <definedName name="PN" localSheetId="14" hidden="1">{"vista1",#N/A,FALSE,"SE_Paramonga_Nueva";"vista2",#N/A,FALSE,"SE_Paramonga_Nueva";"vista3",#N/A,FALSE,"SE_Paramonga_Nueva"}</definedName>
    <definedName name="PN" localSheetId="13" hidden="1">{"vista1",#N/A,FALSE,"SE_Paramonga_Nueva";"vista2",#N/A,FALSE,"SE_Paramonga_Nueva";"vista3",#N/A,FALSE,"SE_Paramonga_Nueva"}</definedName>
    <definedName name="PN" localSheetId="4" hidden="1">{"vista1",#N/A,FALSE,"SE_Paramonga_Nueva";"vista2",#N/A,FALSE,"SE_Paramonga_Nueva";"vista3",#N/A,FALSE,"SE_Paramonga_Nueva"}</definedName>
    <definedName name="PN" localSheetId="7" hidden="1">{"vista1",#N/A,FALSE,"SE_Paramonga_Nueva";"vista2",#N/A,FALSE,"SE_Paramonga_Nueva";"vista3",#N/A,FALSE,"SE_Paramonga_Nueva"}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'[93]CONTEO DE DATOS'!#REF!</definedName>
    <definedName name="PORCENTAJE_ROCA" localSheetId="15">[119]DATOS!$I$24:$J$38</definedName>
    <definedName name="PORCENTAJE_ROCA" localSheetId="6">[119]DATOS!$I$24:$J$38</definedName>
    <definedName name="PORCENTAJE_ROCA" localSheetId="9">[119]DATOS!$I$24:$J$38</definedName>
    <definedName name="PORCENTAJE_ROCA" localSheetId="12">[119]DATOS!$I$24:$J$38</definedName>
    <definedName name="PORCENTAJE_ROCA">#REF!</definedName>
    <definedName name="PorcentajeCEdelTotalCargas" localSheetId="15">'[87]DATOS DE CAMPO'!#REF!</definedName>
    <definedName name="PorcentajeCEdelTotalCargas" localSheetId="6">'[87]DATOS DE CAMPO'!#REF!</definedName>
    <definedName name="PorcentajeCEdelTotalCargas" localSheetId="9">'[88]DATOS DE CAMPO'!#REF!</definedName>
    <definedName name="PorcentajeCEdelTotalCargas" localSheetId="12">'[87]DATOS DE CAMPO'!#REF!</definedName>
    <definedName name="PorcentajeCEdelTotalCargas">'[89]DATOS DE CAMPO'!#REF!</definedName>
    <definedName name="PORTALINEA" localSheetId="15">#REF!</definedName>
    <definedName name="PORTALINEA" localSheetId="6">#REF!</definedName>
    <definedName name="PORTALINEA" localSheetId="9">#REF!</definedName>
    <definedName name="PORTALINEA" localSheetId="12">#REF!</definedName>
    <definedName name="PORTALINEA">#REF!</definedName>
    <definedName name="PORTALINEA_12P" localSheetId="15">#REF!</definedName>
    <definedName name="PORTALINEA_12P" localSheetId="6">#REF!</definedName>
    <definedName name="PORTALINEA_12P" localSheetId="9">#REF!</definedName>
    <definedName name="PORTALINEA_12P" localSheetId="12">#REF!</definedName>
    <definedName name="PORTALINEA_12P">#REF!</definedName>
    <definedName name="PORTALINEA_8E" localSheetId="15">#REF!</definedName>
    <definedName name="PORTALINEA_8E" localSheetId="6">#REF!</definedName>
    <definedName name="PORTALINEA_8E" localSheetId="9">#REF!</definedName>
    <definedName name="PORTALINEA_8E" localSheetId="12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 localSheetId="15">#REF!</definedName>
    <definedName name="POSTE" localSheetId="6">#REF!</definedName>
    <definedName name="POSTE" localSheetId="9">#REF!</definedName>
    <definedName name="POSTE" localSheetId="12">#REF!</definedName>
    <definedName name="Poste">[93]CONFIGURACIÓN!#REF!</definedName>
    <definedName name="Poste_Concreto">[93]CONFIGURACIÓN!#REF!</definedName>
    <definedName name="Poste_de_8m_ó_9m">[59]Proyecto!#REF!</definedName>
    <definedName name="Poste_mad">#REF!</definedName>
    <definedName name="Poste_mat">#REF!</definedName>
    <definedName name="Poste11_12_Inacc">'[62]DATOS DE CAMPO'!$CJ$30</definedName>
    <definedName name="Poste200_6_Inacc">'[62]DATOS DE CAMPO'!$CI$30</definedName>
    <definedName name="PosteBajaMedia">#REF!</definedName>
    <definedName name="POSTECODIGO">#REF!</definedName>
    <definedName name="PosteMaderaConcreto">#REF!</definedName>
    <definedName name="POSTES" localSheetId="15">#REF!</definedName>
    <definedName name="POSTES" localSheetId="6">#REF!</definedName>
    <definedName name="POSTES" localSheetId="9">#REF!</definedName>
    <definedName name="POSTES" localSheetId="12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 localSheetId="15">'[160]DATOS DE CAMPO'!#REF!</definedName>
    <definedName name="Postes12mts40pies_en_SE1Ø2Ø" localSheetId="6">'[160]DATOS DE CAMPO'!#REF!</definedName>
    <definedName name="Postes12mts40pies_en_SE1Ø2Ø" localSheetId="9">'[160]DATOS DE CAMPO'!#REF!</definedName>
    <definedName name="Postes12mts40pies_en_SE1Ø2Ø" localSheetId="12">'[160]DATOS DE CAMPO'!#REF!</definedName>
    <definedName name="Postes12mts40pies_en_SE1Ø2Ø">'[161]DATOS DE CAMPO'!#REF!</definedName>
    <definedName name="PostesBT">[59]Proyecto!#REF!</definedName>
    <definedName name="POSTESLP">#REF!</definedName>
    <definedName name="PostesMT">[59]Proyecto!#REF!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'[162]Macro Postes y Accesorios'!$A$2:$A$207</definedName>
    <definedName name="P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[163]AreaLaguna!#REF!</definedName>
    <definedName name="PR3_0" localSheetId="15">#REF!</definedName>
    <definedName name="PR3_0" localSheetId="6">#REF!</definedName>
    <definedName name="PR3_0" localSheetId="9">#REF!</definedName>
    <definedName name="PR3_0" localSheetId="12">#REF!</definedName>
    <definedName name="PR3_0">#REF!</definedName>
    <definedName name="PR3_0_M" localSheetId="15">#REF!</definedName>
    <definedName name="PR3_0_M" localSheetId="6">#REF!</definedName>
    <definedName name="PR3_0_M" localSheetId="9">#REF!</definedName>
    <definedName name="PR3_0_M" localSheetId="12">#REF!</definedName>
    <definedName name="PR3_0_M">#REF!</definedName>
    <definedName name="PR3_1N" localSheetId="15">#REF!</definedName>
    <definedName name="PR3_1N" localSheetId="6">#REF!</definedName>
    <definedName name="PR3_1N" localSheetId="9">#REF!</definedName>
    <definedName name="PR3_1N" localSheetId="12">#REF!</definedName>
    <definedName name="PR3_1N">#REF!</definedName>
    <definedName name="PR3_1N_M" localSheetId="15">#REF!</definedName>
    <definedName name="PR3_1N_M" localSheetId="6">#REF!</definedName>
    <definedName name="PR3_1N_M" localSheetId="9">#REF!</definedName>
    <definedName name="PR3_1N_M" localSheetId="12">#REF!</definedName>
    <definedName name="PR3_1N_M">#REF!</definedName>
    <definedName name="PR3_1NT" localSheetId="15">#REF!</definedName>
    <definedName name="PR3_1NT" localSheetId="6">#REF!</definedName>
    <definedName name="PR3_1NT" localSheetId="9">#REF!</definedName>
    <definedName name="PR3_1NT" localSheetId="12">#REF!</definedName>
    <definedName name="PR3_1NT">#REF!</definedName>
    <definedName name="PR3_1NT_M" localSheetId="15">#REF!</definedName>
    <definedName name="PR3_1NT_M" localSheetId="6">#REF!</definedName>
    <definedName name="PR3_1NT_M" localSheetId="9">#REF!</definedName>
    <definedName name="PR3_1NT_M" localSheetId="12">#REF!</definedName>
    <definedName name="PR3_1NT_M">#REF!</definedName>
    <definedName name="PR3_2" localSheetId="15">#REF!</definedName>
    <definedName name="PR3_2" localSheetId="6">#REF!</definedName>
    <definedName name="PR3_2" localSheetId="9">#REF!</definedName>
    <definedName name="PR3_2" localSheetId="12">#REF!</definedName>
    <definedName name="PR3_2">#REF!</definedName>
    <definedName name="PR3_2N" localSheetId="15">#REF!</definedName>
    <definedName name="PR3_2N" localSheetId="6">#REF!</definedName>
    <definedName name="PR3_2N" localSheetId="9">#REF!</definedName>
    <definedName name="PR3_2N" localSheetId="12">#REF!</definedName>
    <definedName name="PR3_2N">#REF!</definedName>
    <definedName name="PR3_3" localSheetId="15">#REF!</definedName>
    <definedName name="PR3_3" localSheetId="6">#REF!</definedName>
    <definedName name="PR3_3" localSheetId="9">#REF!</definedName>
    <definedName name="PR3_3" localSheetId="12">#REF!</definedName>
    <definedName name="PR3_3">#REF!</definedName>
    <definedName name="PR3_3N" localSheetId="15">#REF!</definedName>
    <definedName name="PR3_3N" localSheetId="6">#REF!</definedName>
    <definedName name="PR3_3N" localSheetId="9">#REF!</definedName>
    <definedName name="PR3_3N" localSheetId="12">#REF!</definedName>
    <definedName name="PR3_3N">#REF!</definedName>
    <definedName name="PR3_3NT" localSheetId="15">#REF!</definedName>
    <definedName name="PR3_3NT" localSheetId="6">#REF!</definedName>
    <definedName name="PR3_3NT" localSheetId="9">#REF!</definedName>
    <definedName name="PR3_3NT" localSheetId="12">#REF!</definedName>
    <definedName name="PR3_3NT">#REF!</definedName>
    <definedName name="PRECIOS">#REF!</definedName>
    <definedName name="PRECIOS_TRANS">#REF!</definedName>
    <definedName name="PRECIOS2">#REF!</definedName>
    <definedName name="Precisión">'[93]RESUMEN DE PARTIDAS'!#REF!</definedName>
    <definedName name="Precisión_km">'[121]Ratio Redes'!$T$1</definedName>
    <definedName name="PrecisíónVano">#REF!</definedName>
    <definedName name="PRESUIGV">[97]DATOS!$C$12</definedName>
    <definedName name="PRIMERA" localSheetId="15">#REF!</definedName>
    <definedName name="PRIMERA" localSheetId="6">#REF!</definedName>
    <definedName name="PRIMERA" localSheetId="9">#REF!</definedName>
    <definedName name="PRIMERA" localSheetId="12">#REF!</definedName>
    <definedName name="PRIMERA">#REF!</definedName>
    <definedName name="PRIMERO">'[11]FORMA-LS1-LS2'!$A$17:$Q$83</definedName>
    <definedName name="Prin">#N/A</definedName>
    <definedName name="PRINT_AREA" localSheetId="15">#N/A</definedName>
    <definedName name="PRINT_AREA" localSheetId="6">#N/A</definedName>
    <definedName name="PRINT_AREA" localSheetId="9">#N/A</definedName>
    <definedName name="PRINT_AREA" localSheetId="12">#N/A</definedName>
    <definedName name="Print_Area">#REF!</definedName>
    <definedName name="Print_Area_3" localSheetId="15">#REF!</definedName>
    <definedName name="Print_Area_3" localSheetId="6">#REF!</definedName>
    <definedName name="Print_Area_3" localSheetId="9">#REF!</definedName>
    <definedName name="Print_Area_3" localSheetId="12">#REF!</definedName>
    <definedName name="Print_Area_3">#REF!</definedName>
    <definedName name="Print_Area_MI" localSheetId="15">'[164]MALLA DE TIERRA'!$B$1:$E$49</definedName>
    <definedName name="Print_Area_MI" localSheetId="6">#REF!</definedName>
    <definedName name="Print_Area_MI" localSheetId="9">#REF!</definedName>
    <definedName name="Print_Area_MI" localSheetId="12">'[164]MALLA DE TIERRA'!$B$1:$E$49</definedName>
    <definedName name="Print_Area_MI">#REF!</definedName>
    <definedName name="Print_Area_MI_1">'[164]MALLA DE TIERRA'!$B$1:$E$49</definedName>
    <definedName name="PRINT_AREA_MI_12">[165]CAP_120mm2!$B$3:$H$58</definedName>
    <definedName name="PRINT_AREA_MI_20" localSheetId="15">[117]CAP_120mm2!$B$3:$H$58</definedName>
    <definedName name="PRINT_AREA_MI_20" localSheetId="6">[117]CAP_120mm2!$B$3:$H$58</definedName>
    <definedName name="PRINT_AREA_MI_20" localSheetId="9">[117]CAP_120mm2!$B$3:$H$58</definedName>
    <definedName name="PRINT_AREA_MI_20" localSheetId="12">[117]CAP_120mm2!$B$3:$H$58</definedName>
    <definedName name="PRINT_AREA_MI_20">[118]CAP_120mm2!$B$3:$H$58</definedName>
    <definedName name="PRINT_AREA_MI_21">[165]CAP_120mm2!$B$3:$H$58</definedName>
    <definedName name="PRINT_AREA_MI_5" localSheetId="15">#REF!</definedName>
    <definedName name="PRINT_AREA_MI_5" localSheetId="6">#REF!</definedName>
    <definedName name="PRINT_AREA_MI_5" localSheetId="9">#REF!</definedName>
    <definedName name="PRINT_AREA_MI_5" localSheetId="12">#REF!</definedName>
    <definedName name="PRINT_AREA_MI_5">#REF!</definedName>
    <definedName name="PRINT_AREA_MI_6" localSheetId="15">#REF!</definedName>
    <definedName name="PRINT_AREA_MI_6" localSheetId="6">#REF!</definedName>
    <definedName name="PRINT_AREA_MI_6" localSheetId="9">#REF!</definedName>
    <definedName name="PRINT_AREA_MI_6" localSheetId="12">#REF!</definedName>
    <definedName name="PRINT_AREA_MI_6">#REF!</definedName>
    <definedName name="Print_Mem">#N/A</definedName>
    <definedName name="PRINT_TITLES">#N/A</definedName>
    <definedName name="Prisma">#REF!</definedName>
    <definedName name="PROCMAN2" localSheetId="15">'[131]PROC MANT LT 1'!#REF!</definedName>
    <definedName name="PROCMAN2" localSheetId="6">'[131]PROC MANT LT 1'!#REF!</definedName>
    <definedName name="PROCMAN2" localSheetId="9">'[131]PROC MANT LT 1'!#REF!</definedName>
    <definedName name="PROCMAN2" localSheetId="12">'[131]PROC MANT LT 1'!#REF!</definedName>
    <definedName name="PROCMAN2">'[132]PROC MANT LT 1'!#REF!</definedName>
    <definedName name="PROCMAN2_12" localSheetId="15">'[133]PROC MANT LT 1'!#REF!</definedName>
    <definedName name="PROCMAN2_12" localSheetId="6">'[133]PROC MANT LT 1'!#REF!</definedName>
    <definedName name="PROCMAN2_12" localSheetId="9">'[133]PROC MANT LT 1'!#REF!</definedName>
    <definedName name="PROCMAN2_12" localSheetId="12">'[133]PROC MANT LT 1'!#REF!</definedName>
    <definedName name="PROCMAN2_12">'[133]PROC MANT LT 1'!#REF!</definedName>
    <definedName name="PROCMAN2_20" localSheetId="15">'[131]PROC MANT LT 1'!#REF!</definedName>
    <definedName name="PROCMAN2_20" localSheetId="6">'[131]PROC MANT LT 1'!#REF!</definedName>
    <definedName name="PROCMAN2_20" localSheetId="9">'[131]PROC MANT LT 1'!#REF!</definedName>
    <definedName name="PROCMAN2_20" localSheetId="12">'[131]PROC MANT LT 1'!#REF!</definedName>
    <definedName name="PROCMAN2_20">'[132]PROC MANT LT 1'!#REF!</definedName>
    <definedName name="PROCMAN2_21" localSheetId="15">'[133]PROC MANT LT 1'!#REF!</definedName>
    <definedName name="PROCMAN2_21" localSheetId="6">'[133]PROC MANT LT 1'!#REF!</definedName>
    <definedName name="PROCMAN2_21" localSheetId="9">'[133]PROC MANT LT 1'!#REF!</definedName>
    <definedName name="PROCMAN2_21" localSheetId="12">'[133]PROC MANT LT 1'!#REF!</definedName>
    <definedName name="PROCMAN2_21">'[133]PROC MANT LT 1'!#REF!</definedName>
    <definedName name="PROG_E1" localSheetId="15">#REF!</definedName>
    <definedName name="PROG_E1" localSheetId="6">#REF!</definedName>
    <definedName name="PROG_E1" localSheetId="9">#REF!</definedName>
    <definedName name="PROG_E1" localSheetId="12">#REF!</definedName>
    <definedName name="PROG_E1">#REF!</definedName>
    <definedName name="Prom" localSheetId="15">'[148]Analisis de la T.C. - 2.2'!$AC$6</definedName>
    <definedName name="Prom" localSheetId="6">'[148]Analisis de la T.C. - 2.2'!$AC$6</definedName>
    <definedName name="Prom" localSheetId="9">'[148]Analisis de la T.C. - 2.2'!$AC$6</definedName>
    <definedName name="Prom" localSheetId="12">'[148]Analisis de la T.C. - 2.2'!$AC$6</definedName>
    <definedName name="Prom">'[149]Analisis de la T.C. - 2.2'!$AC$6</definedName>
    <definedName name="PROV">[166]CENSO93!$C$2</definedName>
    <definedName name="Proyecto" localSheetId="15">#REF!</definedName>
    <definedName name="Proyecto" localSheetId="6">#REF!</definedName>
    <definedName name="Proyecto" localSheetId="9">#REF!</definedName>
    <definedName name="Proyecto" localSheetId="12">#REF!</definedName>
    <definedName name="PROYECTO">[97]DATOS!$C$5</definedName>
    <definedName name="Proyectos">[59]Proyecto!$B$83:$E$99</definedName>
    <definedName name="ProyectosDesactualizados">'[154]Ratio Aproxsumaproducto'!$BV$4</definedName>
    <definedName name="ProyectosProcesados">'[154]Ratio Aproxsumaproducto'!#REF!</definedName>
    <definedName name="PRV_3" localSheetId="15">#REF!</definedName>
    <definedName name="PRV_3" localSheetId="6">#REF!</definedName>
    <definedName name="PRV_3" localSheetId="9">#REF!</definedName>
    <definedName name="PRV_3" localSheetId="12">#REF!</definedName>
    <definedName name="PRV_3">#REF!</definedName>
    <definedName name="PRV_3_1">#REF!</definedName>
    <definedName name="PS1_0" localSheetId="15">#REF!</definedName>
    <definedName name="PS1_0" localSheetId="6">#REF!</definedName>
    <definedName name="PS1_0" localSheetId="9">#REF!</definedName>
    <definedName name="PS1_0" localSheetId="12">#REF!</definedName>
    <definedName name="PS1_0">#REF!</definedName>
    <definedName name="PS1_0_M" localSheetId="15">#REF!</definedName>
    <definedName name="PS1_0_M" localSheetId="6">#REF!</definedName>
    <definedName name="PS1_0_M" localSheetId="9">#REF!</definedName>
    <definedName name="PS1_0_M" localSheetId="12">#REF!</definedName>
    <definedName name="PS1_0_M">#REF!</definedName>
    <definedName name="PS1_1N" localSheetId="15">#REF!</definedName>
    <definedName name="PS1_1N" localSheetId="6">#REF!</definedName>
    <definedName name="PS1_1N" localSheetId="9">#REF!</definedName>
    <definedName name="PS1_1N" localSheetId="12">#REF!</definedName>
    <definedName name="PS1_1N">#REF!</definedName>
    <definedName name="PS1_1N_M" localSheetId="15">#REF!</definedName>
    <definedName name="PS1_1N_M" localSheetId="6">#REF!</definedName>
    <definedName name="PS1_1N_M" localSheetId="9">#REF!</definedName>
    <definedName name="PS1_1N_M" localSheetId="12">#REF!</definedName>
    <definedName name="PS1_1N_M">#REF!</definedName>
    <definedName name="PS1_1N_T" localSheetId="15">#REF!</definedName>
    <definedName name="PS1_1N_T" localSheetId="6">#REF!</definedName>
    <definedName name="PS1_1N_T" localSheetId="9">#REF!</definedName>
    <definedName name="PS1_1N_T" localSheetId="12">#REF!</definedName>
    <definedName name="PS1_1N_T">#REF!</definedName>
    <definedName name="PS1_1N_T_1">#REF!</definedName>
    <definedName name="PS1_1NT" localSheetId="15">#REF!</definedName>
    <definedName name="PS1_1NT" localSheetId="6">#REF!</definedName>
    <definedName name="PS1_1NT" localSheetId="9">#REF!</definedName>
    <definedName name="PS1_1NT" localSheetId="12">#REF!</definedName>
    <definedName name="PS1_1NT">#REF!</definedName>
    <definedName name="PS1_1NT_M" localSheetId="15">#REF!</definedName>
    <definedName name="PS1_1NT_M" localSheetId="6">#REF!</definedName>
    <definedName name="PS1_1NT_M" localSheetId="9">#REF!</definedName>
    <definedName name="PS1_1NT_M" localSheetId="12">#REF!</definedName>
    <definedName name="PS1_1NT_M">#REF!</definedName>
    <definedName name="PS1_2" localSheetId="15">#REF!</definedName>
    <definedName name="PS1_2" localSheetId="6">#REF!</definedName>
    <definedName name="PS1_2" localSheetId="9">#REF!</definedName>
    <definedName name="PS1_2" localSheetId="12">#REF!</definedName>
    <definedName name="PS1_2">#REF!</definedName>
    <definedName name="PS1_2N" localSheetId="15">#REF!</definedName>
    <definedName name="PS1_2N" localSheetId="6">#REF!</definedName>
    <definedName name="PS1_2N" localSheetId="9">#REF!</definedName>
    <definedName name="PS1_2N" localSheetId="12">#REF!</definedName>
    <definedName name="PS1_2N">#REF!</definedName>
    <definedName name="PS1_3" localSheetId="15">#REF!</definedName>
    <definedName name="PS1_3" localSheetId="6">#REF!</definedName>
    <definedName name="PS1_3" localSheetId="9">#REF!</definedName>
    <definedName name="PS1_3" localSheetId="12">#REF!</definedName>
    <definedName name="PS1_3">#REF!</definedName>
    <definedName name="PS1_3N" localSheetId="15">#REF!</definedName>
    <definedName name="PS1_3N" localSheetId="6">#REF!</definedName>
    <definedName name="PS1_3N" localSheetId="9">#REF!</definedName>
    <definedName name="PS1_3N" localSheetId="12">#REF!</definedName>
    <definedName name="PS1_3N">#REF!</definedName>
    <definedName name="PS1_3NT" localSheetId="15">#REF!</definedName>
    <definedName name="PS1_3NT" localSheetId="6">#REF!</definedName>
    <definedName name="PS1_3NT" localSheetId="9">#REF!</definedName>
    <definedName name="PS1_3NT" localSheetId="12">#REF!</definedName>
    <definedName name="PS1_3NT">#REF!</definedName>
    <definedName name="PSEC_0" localSheetId="15">#REF!</definedName>
    <definedName name="PSEC_0" localSheetId="6">#REF!</definedName>
    <definedName name="PSEC_0" localSheetId="9">#REF!</definedName>
    <definedName name="PSEC_0" localSheetId="12">#REF!</definedName>
    <definedName name="PSEC_0">#REF!</definedName>
    <definedName name="PSEC_0_M" localSheetId="15">#REF!</definedName>
    <definedName name="PSEC_0_M" localSheetId="6">#REF!</definedName>
    <definedName name="PSEC_0_M" localSheetId="9">#REF!</definedName>
    <definedName name="PSEC_0_M" localSheetId="12">#REF!</definedName>
    <definedName name="PSEC_0_M">#REF!</definedName>
    <definedName name="PSEC_0_M_7">#REF!</definedName>
    <definedName name="PSEC_0P" localSheetId="15">#REF!</definedName>
    <definedName name="PSEC_0P" localSheetId="6">#REF!</definedName>
    <definedName name="PSEC_0P" localSheetId="9">#REF!</definedName>
    <definedName name="PSEC_0P" localSheetId="12">#REF!</definedName>
    <definedName name="PSEC_0P">#REF!</definedName>
    <definedName name="PSEC_0P_M" localSheetId="15">#REF!</definedName>
    <definedName name="PSEC_0P_M" localSheetId="6">#REF!</definedName>
    <definedName name="PSEC_0P_M" localSheetId="9">#REF!</definedName>
    <definedName name="PSEC_0P_M" localSheetId="12">#REF!</definedName>
    <definedName name="PSEC_0P_M">#REF!</definedName>
    <definedName name="PSEC_0P_M_7">#REF!</definedName>
    <definedName name="PSEC_1N" localSheetId="15">#REF!</definedName>
    <definedName name="PSEC_1N" localSheetId="6">#REF!</definedName>
    <definedName name="PSEC_1N" localSheetId="9">#REF!</definedName>
    <definedName name="PSEC_1N" localSheetId="12">#REF!</definedName>
    <definedName name="PSEC_1N">#REF!</definedName>
    <definedName name="PSEC_1N_M" localSheetId="15">#REF!</definedName>
    <definedName name="PSEC_1N_M" localSheetId="6">#REF!</definedName>
    <definedName name="PSEC_1N_M" localSheetId="9">#REF!</definedName>
    <definedName name="PSEC_1N_M" localSheetId="12">#REF!</definedName>
    <definedName name="PSEC_1N_M">#REF!</definedName>
    <definedName name="PSEC_1N_M_7">#REF!</definedName>
    <definedName name="PSEC_1NP" localSheetId="15">#REF!</definedName>
    <definedName name="PSEC_1NP" localSheetId="6">#REF!</definedName>
    <definedName name="PSEC_1NP" localSheetId="9">#REF!</definedName>
    <definedName name="PSEC_1NP" localSheetId="12">#REF!</definedName>
    <definedName name="PSEC_1NP">#REF!</definedName>
    <definedName name="PSEC_2" localSheetId="15">#REF!</definedName>
    <definedName name="PSEC_2" localSheetId="6">#REF!</definedName>
    <definedName name="PSEC_2" localSheetId="9">#REF!</definedName>
    <definedName name="PSEC_2" localSheetId="12">#REF!</definedName>
    <definedName name="PSEC_2">#REF!</definedName>
    <definedName name="PSEC_2N" localSheetId="15">#REF!</definedName>
    <definedName name="PSEC_2N" localSheetId="6">#REF!</definedName>
    <definedName name="PSEC_2N" localSheetId="9">#REF!</definedName>
    <definedName name="PSEC_2N" localSheetId="12">#REF!</definedName>
    <definedName name="PSEC_2N">#REF!</definedName>
    <definedName name="PSEC_2NP" localSheetId="15">#REF!</definedName>
    <definedName name="PSEC_2NP" localSheetId="6">#REF!</definedName>
    <definedName name="PSEC_2NP" localSheetId="9">#REF!</definedName>
    <definedName name="PSEC_2NP" localSheetId="12">#REF!</definedName>
    <definedName name="PSEC_2NP">#REF!</definedName>
    <definedName name="PSEC_2P" localSheetId="15">#REF!</definedName>
    <definedName name="PSEC_2P" localSheetId="6">#REF!</definedName>
    <definedName name="PSEC_2P" localSheetId="9">#REF!</definedName>
    <definedName name="PSEC_2P" localSheetId="12">#REF!</definedName>
    <definedName name="PSEC_2P">#REF!</definedName>
    <definedName name="PSEC_3" localSheetId="15">#REF!</definedName>
    <definedName name="PSEC_3" localSheetId="6">#REF!</definedName>
    <definedName name="PSEC_3" localSheetId="9">#REF!</definedName>
    <definedName name="PSEC_3" localSheetId="12">#REF!</definedName>
    <definedName name="PSEC_3">#REF!</definedName>
    <definedName name="PSEC_3N" localSheetId="15">#REF!</definedName>
    <definedName name="PSEC_3N" localSheetId="6">#REF!</definedName>
    <definedName name="PSEC_3N" localSheetId="9">#REF!</definedName>
    <definedName name="PSEC_3N" localSheetId="12">#REF!</definedName>
    <definedName name="PSEC_3N">#REF!</definedName>
    <definedName name="PSEC_3NP" localSheetId="15">#REF!</definedName>
    <definedName name="PSEC_3NP" localSheetId="6">#REF!</definedName>
    <definedName name="PSEC_3NP" localSheetId="9">#REF!</definedName>
    <definedName name="PSEC_3NP" localSheetId="12">#REF!</definedName>
    <definedName name="PSEC_3NP">#REF!</definedName>
    <definedName name="PSEC_3P" localSheetId="15">#REF!</definedName>
    <definedName name="PSEC_3P" localSheetId="6">#REF!</definedName>
    <definedName name="PSEC_3P" localSheetId="9">#REF!</definedName>
    <definedName name="PSEC_3P" localSheetId="12">#REF!</definedName>
    <definedName name="PSEC_3P">#REF!</definedName>
    <definedName name="PSER_0" localSheetId="15">#REF!</definedName>
    <definedName name="PSER_0" localSheetId="6">#REF!</definedName>
    <definedName name="PSER_0" localSheetId="9">#REF!</definedName>
    <definedName name="PSER_0" localSheetId="12">#REF!</definedName>
    <definedName name="PSER_0">#REF!</definedName>
    <definedName name="PSER_0_M" localSheetId="15">#REF!</definedName>
    <definedName name="PSER_0_M" localSheetId="6">#REF!</definedName>
    <definedName name="PSER_0_M" localSheetId="9">#REF!</definedName>
    <definedName name="PSER_0_M" localSheetId="12">#REF!</definedName>
    <definedName name="PSER_0_M">#REF!</definedName>
    <definedName name="PSER_0_M_7">#REF!</definedName>
    <definedName name="PSER_0P" localSheetId="15">#REF!</definedName>
    <definedName name="PSER_0P" localSheetId="6">#REF!</definedName>
    <definedName name="PSER_0P" localSheetId="9">#REF!</definedName>
    <definedName name="PSER_0P" localSheetId="12">#REF!</definedName>
    <definedName name="PSER_0P">#REF!</definedName>
    <definedName name="PSER_0P_M" localSheetId="15">#REF!</definedName>
    <definedName name="PSER_0P_M" localSheetId="6">#REF!</definedName>
    <definedName name="PSER_0P_M" localSheetId="9">#REF!</definedName>
    <definedName name="PSER_0P_M" localSheetId="12">#REF!</definedName>
    <definedName name="PSER_0P_M">#REF!</definedName>
    <definedName name="PSER_0P_M_7">#REF!</definedName>
    <definedName name="PSV_2" localSheetId="15">#REF!</definedName>
    <definedName name="PSV_2" localSheetId="6">#REF!</definedName>
    <definedName name="PSV_2" localSheetId="9">#REF!</definedName>
    <definedName name="PSV_2" localSheetId="12">#REF!</definedName>
    <definedName name="PSV_2">#REF!</definedName>
    <definedName name="PSV_2N" localSheetId="15">#REF!</definedName>
    <definedName name="PSV_2N" localSheetId="6">#REF!</definedName>
    <definedName name="PSV_2N" localSheetId="9">#REF!</definedName>
    <definedName name="PSV_2N" localSheetId="12">#REF!</definedName>
    <definedName name="PSV_2N">#REF!</definedName>
    <definedName name="PSV_3" localSheetId="15">#REF!</definedName>
    <definedName name="PSV_3" localSheetId="6">#REF!</definedName>
    <definedName name="PSV_3" localSheetId="9">#REF!</definedName>
    <definedName name="PSV_3" localSheetId="12">#REF!</definedName>
    <definedName name="PSV_3">#REF!</definedName>
    <definedName name="PSV_3N" localSheetId="15">#REF!</definedName>
    <definedName name="PSV_3N" localSheetId="6">#REF!</definedName>
    <definedName name="PSV_3N" localSheetId="9">#REF!</definedName>
    <definedName name="PSV_3N" localSheetId="12">#REF!</definedName>
    <definedName name="PSV_3N">#REF!</definedName>
    <definedName name="PSVE_2" localSheetId="15">#REF!</definedName>
    <definedName name="PSVE_2" localSheetId="6">#REF!</definedName>
    <definedName name="PSVE_2" localSheetId="9">#REF!</definedName>
    <definedName name="PSVE_2" localSheetId="12">#REF!</definedName>
    <definedName name="PSVE_2">#REF!</definedName>
    <definedName name="PSVE_2_1">#REF!</definedName>
    <definedName name="PSVE_3" localSheetId="15">#REF!</definedName>
    <definedName name="PSVE_3" localSheetId="6">#REF!</definedName>
    <definedName name="PSVE_3" localSheetId="9">#REF!</definedName>
    <definedName name="PSVE_3" localSheetId="12">#REF!</definedName>
    <definedName name="PSVE_3">#REF!</definedName>
    <definedName name="PSVE_3_1">#REF!</definedName>
    <definedName name="PT" localSheetId="15">#REF!</definedName>
    <definedName name="PT" localSheetId="6">#REF!</definedName>
    <definedName name="PT" localSheetId="9">#REF!</definedName>
    <definedName name="PT" localSheetId="12">#REF!</definedName>
    <definedName name="PT">#REF!</definedName>
    <definedName name="PTH_2" localSheetId="15">#REF!</definedName>
    <definedName name="PTH_2" localSheetId="6">#REF!</definedName>
    <definedName name="PTH_2" localSheetId="9">#REF!</definedName>
    <definedName name="PTH_2" localSheetId="12">#REF!</definedName>
    <definedName name="PTH_2">#REF!</definedName>
    <definedName name="PTH_2N" localSheetId="15">#REF!</definedName>
    <definedName name="PTH_2N" localSheetId="6">#REF!</definedName>
    <definedName name="PTH_2N" localSheetId="9">#REF!</definedName>
    <definedName name="PTH_2N" localSheetId="12">#REF!</definedName>
    <definedName name="PTH_2N">#REF!</definedName>
    <definedName name="PTH_3" localSheetId="15">#REF!</definedName>
    <definedName name="PTH_3" localSheetId="6">#REF!</definedName>
    <definedName name="PTH_3" localSheetId="9">#REF!</definedName>
    <definedName name="PTH_3" localSheetId="12">#REF!</definedName>
    <definedName name="PTH_3">#REF!</definedName>
    <definedName name="PTH_3N" localSheetId="15">#REF!</definedName>
    <definedName name="PTH_3N" localSheetId="6">#REF!</definedName>
    <definedName name="PTH_3N" localSheetId="9">#REF!</definedName>
    <definedName name="PTH_3N" localSheetId="12">#REF!</definedName>
    <definedName name="PTH_3N">#REF!</definedName>
    <definedName name="PTH_3NT" localSheetId="15">#REF!</definedName>
    <definedName name="PTH_3NT" localSheetId="6">#REF!</definedName>
    <definedName name="PTH_3NT" localSheetId="9">#REF!</definedName>
    <definedName name="PTH_3NT" localSheetId="12">#REF!</definedName>
    <definedName name="PTH_3NT">#REF!</definedName>
    <definedName name="ptofuerza4">'[47]ANALISIS  COSTOS UNIT.'!#REF!</definedName>
    <definedName name="ptoluztecho">'[47]ANALISIS  COSTOS UNIT.'!#REF!</definedName>
    <definedName name="ptotelef">'[47]ANALISIS  COSTOS UNIT.'!#REF!</definedName>
    <definedName name="ptotomadoble">'[47]ANALISIS  COSTOS UNIT.'!#REF!</definedName>
    <definedName name="ptotomadoblet">'[47]ANALISIS  COSTOS UNIT.'!#REF!</definedName>
    <definedName name="PTV_0" localSheetId="15">#REF!</definedName>
    <definedName name="PTV_0" localSheetId="6">#REF!</definedName>
    <definedName name="PTV_0" localSheetId="9">#REF!</definedName>
    <definedName name="PTV_0" localSheetId="12">#REF!</definedName>
    <definedName name="PTV_0">#REF!</definedName>
    <definedName name="PTV_0_M" localSheetId="15">#REF!</definedName>
    <definedName name="PTV_0_M" localSheetId="6">#REF!</definedName>
    <definedName name="PTV_0_M" localSheetId="9">#REF!</definedName>
    <definedName name="PTV_0_M" localSheetId="12">#REF!</definedName>
    <definedName name="PTV_0_M">#REF!</definedName>
    <definedName name="PTV_1N" localSheetId="15">#REF!</definedName>
    <definedName name="PTV_1N" localSheetId="6">#REF!</definedName>
    <definedName name="PTV_1N" localSheetId="9">#REF!</definedName>
    <definedName name="PTV_1N" localSheetId="12">#REF!</definedName>
    <definedName name="PTV_1N">#REF!</definedName>
    <definedName name="PTV_1N_M" localSheetId="15">#REF!</definedName>
    <definedName name="PTV_1N_M" localSheetId="6">#REF!</definedName>
    <definedName name="PTV_1N_M" localSheetId="9">#REF!</definedName>
    <definedName name="PTV_1N_M" localSheetId="12">#REF!</definedName>
    <definedName name="PTV_1N_M">#REF!</definedName>
    <definedName name="PTV_1NT" localSheetId="15">#REF!</definedName>
    <definedName name="PTV_1NT" localSheetId="6">#REF!</definedName>
    <definedName name="PTV_1NT" localSheetId="9">#REF!</definedName>
    <definedName name="PTV_1NT" localSheetId="12">#REF!</definedName>
    <definedName name="PTV_1NT">#REF!</definedName>
    <definedName name="PTV_1NT_M" localSheetId="15">#REF!</definedName>
    <definedName name="PTV_1NT_M" localSheetId="6">#REF!</definedName>
    <definedName name="PTV_1NT_M" localSheetId="9">#REF!</definedName>
    <definedName name="PTV_1NT_M" localSheetId="12">#REF!</definedName>
    <definedName name="PTV_1NT_M">#REF!</definedName>
    <definedName name="PTV_2" localSheetId="15">#REF!</definedName>
    <definedName name="PTV_2" localSheetId="6">#REF!</definedName>
    <definedName name="PTV_2" localSheetId="9">#REF!</definedName>
    <definedName name="PTV_2" localSheetId="12">#REF!</definedName>
    <definedName name="PTV_2">#REF!</definedName>
    <definedName name="PTV_2N" localSheetId="15">#REF!</definedName>
    <definedName name="PTV_2N" localSheetId="6">#REF!</definedName>
    <definedName name="PTV_2N" localSheetId="9">#REF!</definedName>
    <definedName name="PTV_2N" localSheetId="12">#REF!</definedName>
    <definedName name="PTV_2N">#REF!</definedName>
    <definedName name="PTV_3" localSheetId="15">#REF!</definedName>
    <definedName name="PTV_3" localSheetId="6">#REF!</definedName>
    <definedName name="PTV_3" localSheetId="9">#REF!</definedName>
    <definedName name="PTV_3" localSheetId="12">#REF!</definedName>
    <definedName name="PTV_3">#REF!</definedName>
    <definedName name="PTV_3N" localSheetId="15">#REF!</definedName>
    <definedName name="PTV_3N" localSheetId="6">#REF!</definedName>
    <definedName name="PTV_3N" localSheetId="9">#REF!</definedName>
    <definedName name="PTV_3N" localSheetId="12">#REF!</definedName>
    <definedName name="PTV_3N">#REF!</definedName>
    <definedName name="PTV_3NT" localSheetId="15">#REF!</definedName>
    <definedName name="PTV_3NT" localSheetId="6">#REF!</definedName>
    <definedName name="PTV_3NT" localSheetId="9">#REF!</definedName>
    <definedName name="PTV_3NT" localSheetId="12">#REF!</definedName>
    <definedName name="PTV_3NT">#REF!</definedName>
    <definedName name="PU">[1]A!$D$11:$D$53</definedName>
    <definedName name="PUDolares">#REF!</definedName>
    <definedName name="Q" localSheetId="15">'[58]1'!#REF!</definedName>
    <definedName name="Q" localSheetId="6">'[58]1'!#REF!</definedName>
    <definedName name="Q" localSheetId="9">'[58]1'!#REF!</definedName>
    <definedName name="Q" localSheetId="12">'[58]1'!#REF!</definedName>
    <definedName name="Q" localSheetId="0">'[58]1'!#REF!</definedName>
    <definedName name="Q">'[36]#¡REF'!#REF!</definedName>
    <definedName name="qq" localSheetId="5" hidden="1">{"vista 1",#N/A,FALSE,"CMP";"vista 2",#N/A,FALSE,"CMP"}</definedName>
    <definedName name="qq" localSheetId="8" hidden="1">{"vista 1",#N/A,FALSE,"CMP";"vista 2",#N/A,FALSE,"CMP"}</definedName>
    <definedName name="qq" localSheetId="14" hidden="1">{"vista 1",#N/A,FALSE,"CMP";"vista 2",#N/A,FALSE,"CMP"}</definedName>
    <definedName name="qq" localSheetId="13" hidden="1">{"vista 1",#N/A,FALSE,"CMP";"vista 2",#N/A,FALSE,"CMP"}</definedName>
    <definedName name="qq" localSheetId="4" hidden="1">{"vista 1",#N/A,FALSE,"CMP";"vista 2",#N/A,FALSE,"CMP"}</definedName>
    <definedName name="qq" localSheetId="7" hidden="1">{"vista 1",#N/A,FALSE,"CMP";"vista 2",#N/A,FALSE,"CMP"}</definedName>
    <definedName name="qq" hidden="1">{"vista 1",#N/A,FALSE,"CMP";"vista 2",#N/A,FALSE,"CMP"}</definedName>
    <definedName name="QQQ" localSheetId="15">'[66]#¡REF'!#REF!</definedName>
    <definedName name="QQQ" localSheetId="6">'[66]#¡REF'!#REF!</definedName>
    <definedName name="QQQ" localSheetId="9">'[66]#¡REF'!#REF!</definedName>
    <definedName name="QQQ" localSheetId="12">'[66]#¡REF'!#REF!</definedName>
    <definedName name="QQQ" localSheetId="0">'[34]#¡REF'!#REF!</definedName>
    <definedName name="QQQ">'[36]#¡REF'!#REF!</definedName>
    <definedName name="QQQQ" localSheetId="15">#REF!</definedName>
    <definedName name="QQQQ" localSheetId="6">#REF!</definedName>
    <definedName name="QQQQ" localSheetId="9">#REF!</definedName>
    <definedName name="QQQQ" localSheetId="12">#REF!</definedName>
    <definedName name="QQQQ">#REF!</definedName>
    <definedName name="QQQQQ">'[36]#¡REF'!#REF!</definedName>
    <definedName name="qqqqqq">#REF!</definedName>
    <definedName name="QQQQQQQQQQQQQQQQ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'[49]#¡REF'!#REF!</definedName>
    <definedName name="QQSSQ">'[49]#¡REF'!#REF!</definedName>
    <definedName name="QSQDA">'[49]#¡REF'!#REF!</definedName>
    <definedName name="QSQSAAS">'[49]#¡REF'!#REF!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'[167]#¡REF'!#REF!</definedName>
    <definedName name="QWEQW">#REF!</definedName>
    <definedName name="QW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 localSheetId="15">'[87]DATOS DE CAMPO'!#REF!</definedName>
    <definedName name="RadioAccion" localSheetId="6">'[87]DATOS DE CAMPO'!#REF!</definedName>
    <definedName name="RadioAccion" localSheetId="9">'[88]DATOS DE CAMPO'!#REF!</definedName>
    <definedName name="RadioAccion" localSheetId="12">'[87]DATOS DE CAMPO'!#REF!</definedName>
    <definedName name="RadioAccion">'[89]DATOS DE CAMPO'!#REF!</definedName>
    <definedName name="RadioDeAccion">'[92]DATOS DE CAMPO  RP'!#REF!</definedName>
    <definedName name="Ramal1" localSheetId="15">#REF!</definedName>
    <definedName name="Ramal1" localSheetId="6">#REF!</definedName>
    <definedName name="Ramal1" localSheetId="9">#REF!</definedName>
    <definedName name="Ramal1" localSheetId="12">#REF!</definedName>
    <definedName name="Ramal1">#REF!</definedName>
    <definedName name="Ramal1_12" localSheetId="15">#REF!</definedName>
    <definedName name="Ramal1_12" localSheetId="6">#REF!</definedName>
    <definedName name="Ramal1_12" localSheetId="9">#REF!</definedName>
    <definedName name="Ramal1_12" localSheetId="12">#REF!</definedName>
    <definedName name="Ramal1_12">#REF!</definedName>
    <definedName name="Ramal1_20" localSheetId="15">#REF!</definedName>
    <definedName name="Ramal1_20" localSheetId="6">#REF!</definedName>
    <definedName name="Ramal1_20" localSheetId="9">#REF!</definedName>
    <definedName name="Ramal1_20" localSheetId="12">#REF!</definedName>
    <definedName name="Ramal1_20">#REF!</definedName>
    <definedName name="Ramal1_21" localSheetId="15">#REF!</definedName>
    <definedName name="Ramal1_21" localSheetId="6">#REF!</definedName>
    <definedName name="Ramal1_21" localSheetId="9">#REF!</definedName>
    <definedName name="Ramal1_21" localSheetId="12">#REF!</definedName>
    <definedName name="Ramal1_21">#REF!</definedName>
    <definedName name="Ramal2" localSheetId="15">#REF!</definedName>
    <definedName name="Ramal2" localSheetId="6">#REF!</definedName>
    <definedName name="Ramal2" localSheetId="9">#REF!</definedName>
    <definedName name="Ramal2" localSheetId="12">#REF!</definedName>
    <definedName name="Ramal2">#REF!</definedName>
    <definedName name="RAMAL2_1" localSheetId="15">#REF!</definedName>
    <definedName name="RAMAL2_1" localSheetId="6">#REF!</definedName>
    <definedName name="RAMAL2_1" localSheetId="9">#REF!</definedName>
    <definedName name="RAMAL2_1" localSheetId="12">#REF!</definedName>
    <definedName name="RAMAL2_1">#REF!</definedName>
    <definedName name="Ramal2_12" localSheetId="15">#REF!</definedName>
    <definedName name="Ramal2_12" localSheetId="6">#REF!</definedName>
    <definedName name="Ramal2_12" localSheetId="9">#REF!</definedName>
    <definedName name="Ramal2_12" localSheetId="12">#REF!</definedName>
    <definedName name="Ramal2_12">#REF!</definedName>
    <definedName name="Ramal2_20" localSheetId="15">#REF!</definedName>
    <definedName name="Ramal2_20" localSheetId="6">#REF!</definedName>
    <definedName name="Ramal2_20" localSheetId="9">#REF!</definedName>
    <definedName name="Ramal2_20" localSheetId="12">#REF!</definedName>
    <definedName name="Ramal2_20">#REF!</definedName>
    <definedName name="Ramal2_21" localSheetId="15">#REF!</definedName>
    <definedName name="Ramal2_21" localSheetId="6">#REF!</definedName>
    <definedName name="Ramal2_21" localSheetId="9">#REF!</definedName>
    <definedName name="Ramal2_21" localSheetId="12">#REF!</definedName>
    <definedName name="Ramal2_21">#REF!</definedName>
    <definedName name="Ramal3" localSheetId="15">#REF!</definedName>
    <definedName name="Ramal3" localSheetId="6">#REF!</definedName>
    <definedName name="Ramal3" localSheetId="9">#REF!</definedName>
    <definedName name="Ramal3" localSheetId="12">#REF!</definedName>
    <definedName name="Ramal3">#REF!</definedName>
    <definedName name="Ramal3_12" localSheetId="15">#REF!</definedName>
    <definedName name="Ramal3_12" localSheetId="6">#REF!</definedName>
    <definedName name="Ramal3_12" localSheetId="9">#REF!</definedName>
    <definedName name="Ramal3_12" localSheetId="12">#REF!</definedName>
    <definedName name="Ramal3_12">#REF!</definedName>
    <definedName name="Ramal3_20" localSheetId="15">#REF!</definedName>
    <definedName name="Ramal3_20" localSheetId="6">#REF!</definedName>
    <definedName name="Ramal3_20" localSheetId="9">#REF!</definedName>
    <definedName name="Ramal3_20" localSheetId="12">#REF!</definedName>
    <definedName name="Ramal3_20">#REF!</definedName>
    <definedName name="Ramal3_21" localSheetId="15">#REF!</definedName>
    <definedName name="Ramal3_21" localSheetId="6">#REF!</definedName>
    <definedName name="Ramal3_21" localSheetId="9">#REF!</definedName>
    <definedName name="Ramal3_21" localSheetId="12">#REF!</definedName>
    <definedName name="Ramal3_21">#REF!</definedName>
    <definedName name="rangodemetrado">#REF!</definedName>
    <definedName name="raphael">'[76]#¡REF'!#REF!</definedName>
    <definedName name="RARQ">#REF!</definedName>
    <definedName name="re">'[167]#¡REF'!#REF!</definedName>
    <definedName name="RECURSOS">[168]RECURSOS!$A$4:$D$77</definedName>
    <definedName name="RED_SECUNDARIA_DEL_CENTRO_POBLADO_MARAY">#REF!</definedName>
    <definedName name="Redes">[59]Redes!$A$4:$BX$132</definedName>
    <definedName name="Region" localSheetId="15">#REF!</definedName>
    <definedName name="Region" localSheetId="6">#REF!</definedName>
    <definedName name="Region" localSheetId="9">#REF!</definedName>
    <definedName name="Region" localSheetId="12">#REF!</definedName>
    <definedName name="Region">'[62]DATOS DE CAMPO'!$I$33</definedName>
    <definedName name="RegiónGeográfica">#REF!</definedName>
    <definedName name="Regulador">[59]Redes!#REF!</definedName>
    <definedName name="RELE">#REF!</definedName>
    <definedName name="Rell_11cac" localSheetId="15">#REF!</definedName>
    <definedName name="Rell_11cac" localSheetId="6">#REF!</definedName>
    <definedName name="Rell_11cac" localSheetId="9">'[88]DATOS DE CAMPO'!#REF!</definedName>
    <definedName name="Rell_11cac" localSheetId="12">#REF!</definedName>
    <definedName name="Rell_11cac">'[89]DATOS DE CAMPO'!#REF!</definedName>
    <definedName name="Rell_12cac" localSheetId="15">#REF!</definedName>
    <definedName name="Rell_12cac" localSheetId="6">#REF!</definedName>
    <definedName name="Rell_12cac" localSheetId="9">#REF!</definedName>
    <definedName name="Rell_12cac" localSheetId="12">#REF!</definedName>
    <definedName name="Rell_12cac">#REF!</definedName>
    <definedName name="Rell_cemen_I_p11" localSheetId="15">#REF!</definedName>
    <definedName name="Rell_cemen_I_p11" localSheetId="6">#REF!</definedName>
    <definedName name="Rell_cemen_I_p11" localSheetId="9">#REF!</definedName>
    <definedName name="Rell_cemen_I_p11" localSheetId="12">#REF!</definedName>
    <definedName name="Rell_cemen_I_p11">'[92]DATOS DE CAMPO  LP'!#REF!</definedName>
    <definedName name="Rell_cemen_I_p12" localSheetId="15">#REF!</definedName>
    <definedName name="Rell_cemen_I_p12" localSheetId="6">#REF!</definedName>
    <definedName name="Rell_cemen_I_p12" localSheetId="9">#REF!</definedName>
    <definedName name="Rell_cemen_I_p12" localSheetId="12">#REF!</definedName>
    <definedName name="Rell_cemen_I_p12">'[92]DATOS DE CAMPO  LP'!#REF!</definedName>
    <definedName name="Rell_cemen_II_p11" localSheetId="15">#REF!</definedName>
    <definedName name="Rell_cemen_II_p11" localSheetId="6">#REF!</definedName>
    <definedName name="Rell_cemen_II_p11" localSheetId="9">#REF!</definedName>
    <definedName name="Rell_cemen_II_p11" localSheetId="12">#REF!</definedName>
    <definedName name="Rell_cemen_II_p11">'[92]DATOS DE CAMPO  LP'!#REF!</definedName>
    <definedName name="Rell_cemen_II_p12" localSheetId="15">#REF!</definedName>
    <definedName name="Rell_cemen_II_p12" localSheetId="6">#REF!</definedName>
    <definedName name="Rell_cemen_II_p12" localSheetId="9">#REF!</definedName>
    <definedName name="Rell_cemen_II_p12" localSheetId="12">#REF!</definedName>
    <definedName name="Rell_cemen_II_p12">'[92]DATOS DE CAMPO  LP'!#REF!</definedName>
    <definedName name="Rell_cemen_III_p11" localSheetId="15">#REF!</definedName>
    <definedName name="Rell_cemen_III_p11" localSheetId="6">#REF!</definedName>
    <definedName name="Rell_cemen_III_p11" localSheetId="9">#REF!</definedName>
    <definedName name="Rell_cemen_III_p11" localSheetId="12">#REF!</definedName>
    <definedName name="Rell_cemen_III_p11">'[169]DATOS DE CAMPO'!#REF!</definedName>
    <definedName name="Rell_cemen_III_p12" localSheetId="15">#REF!</definedName>
    <definedName name="Rell_cemen_III_p12" localSheetId="6">#REF!</definedName>
    <definedName name="Rell_cemen_III_p12" localSheetId="9">#REF!</definedName>
    <definedName name="Rell_cemen_III_p12" localSheetId="12">#REF!</definedName>
    <definedName name="Rell_cemen_III_p12">'[169]DATOS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[116]Datos_Proyectos!#REF!</definedName>
    <definedName name="Rell_I_11_5D_cemento">[116]Datos_Proyectos!#REF!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[59]Proyecto!#REF!</definedName>
    <definedName name="Rell_I_13_300">#REF!</definedName>
    <definedName name="Rell_I_13_300_cemento">#REF!</definedName>
    <definedName name="Rell_I_13_300_Secc">[116]Datos_Proyectos!#REF!</definedName>
    <definedName name="Rell_I_13_300_Secc_cemento">[116]Datos_Proyectos!#REF!</definedName>
    <definedName name="Rell_I_13_400">#REF!</definedName>
    <definedName name="Rell_I_13_400_cemento">#REF!</definedName>
    <definedName name="Rell_I_13_400_Secc">[116]Datos_Proyectos!#REF!</definedName>
    <definedName name="Rell_I_13_400_Secc_cemento">[116]Datos_Proyectos!#REF!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 localSheetId="15">#REF!</definedName>
    <definedName name="Rell_I_p11" localSheetId="6">#REF!</definedName>
    <definedName name="Rell_I_p11" localSheetId="9">#REF!</definedName>
    <definedName name="Rell_I_p11" localSheetId="12">#REF!</definedName>
    <definedName name="Rell_I_p11">'[92]DATOS DE CAMPO  LP'!#REF!</definedName>
    <definedName name="Rell_I_p12" localSheetId="15">#REF!</definedName>
    <definedName name="Rell_I_p12" localSheetId="6">#REF!</definedName>
    <definedName name="Rell_I_p12" localSheetId="9">#REF!</definedName>
    <definedName name="Rell_I_p12" localSheetId="12">#REF!</definedName>
    <definedName name="Rell_I_p12">'[92]DATOS DE CAMPO  LP'!#REF!</definedName>
    <definedName name="Rell_I_pat1" localSheetId="15">#REF!</definedName>
    <definedName name="Rell_I_pat1" localSheetId="6">#REF!</definedName>
    <definedName name="Rell_I_pat1" localSheetId="9">#REF!</definedName>
    <definedName name="Rell_I_pat1" localSheetId="12">#REF!</definedName>
    <definedName name="Rell_I_pat1">'[62]DATOS DE CAMPO'!$P$4</definedName>
    <definedName name="Rell_I_pat1c" localSheetId="15">#REF!</definedName>
    <definedName name="Rell_I_pat1c" localSheetId="6">#REF!</definedName>
    <definedName name="Rell_I_pat1c" localSheetId="9">#REF!</definedName>
    <definedName name="Rell_I_pat1c" localSheetId="12">#REF!</definedName>
    <definedName name="Rell_I_pat1c">'[62]DATOS DE CAMPO'!$P$13</definedName>
    <definedName name="Rell_I_ri" localSheetId="15">#REF!</definedName>
    <definedName name="Rell_I_ri" localSheetId="6">#REF!</definedName>
    <definedName name="Rell_I_ri" localSheetId="9">#REF!</definedName>
    <definedName name="Rell_I_ri" localSheetId="12">#REF!</definedName>
    <definedName name="Rell_I_ri">'[62]DATOS DE CAMPO'!$J$4</definedName>
    <definedName name="Rell_I_rv" localSheetId="15">#REF!</definedName>
    <definedName name="Rell_I_rv" localSheetId="6">#REF!</definedName>
    <definedName name="Rell_I_rv" localSheetId="9">#REF!</definedName>
    <definedName name="Rell_I_rv" localSheetId="12">#REF!</definedName>
    <definedName name="Rell_I_rv">'[62]DATOS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[116]Datos_Proyectos!#REF!</definedName>
    <definedName name="Rell_II_11_5D_cemento">[116]Datos_Proyectos!#REF!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[59]Proyecto!#REF!</definedName>
    <definedName name="Rell_II_13_300">#REF!</definedName>
    <definedName name="Rell_II_13_300_cemento">#REF!</definedName>
    <definedName name="Rell_II_13_300_Secc">[116]Datos_Proyectos!#REF!</definedName>
    <definedName name="Rell_II_13_300_Secc_cemento">[116]Datos_Proyectos!#REF!</definedName>
    <definedName name="Rell_II_13_400">#REF!</definedName>
    <definedName name="Rell_II_13_400_cemento">#REF!</definedName>
    <definedName name="Rell_II_13_400_Secc">[116]Datos_Proyectos!#REF!</definedName>
    <definedName name="Rell_II_13_400_Secc_cemento">[116]Datos_Proyectos!#REF!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 localSheetId="15">#REF!</definedName>
    <definedName name="Rell_II_p11" localSheetId="6">#REF!</definedName>
    <definedName name="Rell_II_p11" localSheetId="9">#REF!</definedName>
    <definedName name="Rell_II_p11" localSheetId="12">#REF!</definedName>
    <definedName name="Rell_II_p11">'[92]DATOS DE CAMPO  LP'!#REF!</definedName>
    <definedName name="Rell_II_p12" localSheetId="15">#REF!</definedName>
    <definedName name="Rell_II_p12" localSheetId="6">#REF!</definedName>
    <definedName name="Rell_II_p12" localSheetId="9">#REF!</definedName>
    <definedName name="Rell_II_p12" localSheetId="12">#REF!</definedName>
    <definedName name="Rell_II_p12">'[92]DATOS DE CAMPO  LP'!#REF!</definedName>
    <definedName name="Rell_II_pat1" localSheetId="15">#REF!</definedName>
    <definedName name="Rell_II_pat1" localSheetId="6">#REF!</definedName>
    <definedName name="Rell_II_pat1" localSheetId="9">#REF!</definedName>
    <definedName name="Rell_II_pat1" localSheetId="12">#REF!</definedName>
    <definedName name="Rell_II_pat1">'[62]DATOS DE CAMPO'!$P$7</definedName>
    <definedName name="Rell_II_pat1c" localSheetId="15">#REF!</definedName>
    <definedName name="Rell_II_pat1c" localSheetId="6">#REF!</definedName>
    <definedName name="Rell_II_pat1c" localSheetId="9">#REF!</definedName>
    <definedName name="Rell_II_pat1c" localSheetId="12">#REF!</definedName>
    <definedName name="Rell_II_pat1c">'[62]DATOS DE CAMPO'!$P$16</definedName>
    <definedName name="Rell_II_ri" localSheetId="15">#REF!</definedName>
    <definedName name="Rell_II_ri" localSheetId="6">#REF!</definedName>
    <definedName name="Rell_II_ri" localSheetId="9">#REF!</definedName>
    <definedName name="Rell_II_ri" localSheetId="12">#REF!</definedName>
    <definedName name="Rell_II_ri">'[62]DATOS DE CAMPO'!$J$7</definedName>
    <definedName name="Rell_II_rv" localSheetId="15">#REF!</definedName>
    <definedName name="Rell_II_rv" localSheetId="6">#REF!</definedName>
    <definedName name="Rell_II_rv" localSheetId="9">#REF!</definedName>
    <definedName name="Rell_II_rv" localSheetId="12">#REF!</definedName>
    <definedName name="Rell_II_rv">'[62]DATOS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[116]Datos_Proyectos!#REF!</definedName>
    <definedName name="Rell_III_11_5D_cemento">[116]Datos_Proyectos!#REF!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[59]Proyecto!#REF!</definedName>
    <definedName name="Rell_III_13_300">#REF!</definedName>
    <definedName name="Rell_III_13_300_cemento">#REF!</definedName>
    <definedName name="Rell_III_13_300_Secc">[116]Datos_Proyectos!#REF!</definedName>
    <definedName name="Rell_III_13_300_Secc_cemento">[116]Datos_Proyectos!#REF!</definedName>
    <definedName name="Rell_III_13_400">#REF!</definedName>
    <definedName name="Rell_III_13_400_cemento">#REF!</definedName>
    <definedName name="Rell_III_13_400_Secc">[116]Datos_Proyectos!#REF!</definedName>
    <definedName name="Rell_III_13_400_Secc_cemento">[116]Datos_Proyectos!#REF!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 localSheetId="15">#REF!</definedName>
    <definedName name="Rell_III_p11" localSheetId="6">#REF!</definedName>
    <definedName name="Rell_III_p11" localSheetId="9">#REF!</definedName>
    <definedName name="Rell_III_p11" localSheetId="12">#REF!</definedName>
    <definedName name="Rell_III_p11">'[92]DATOS DE CAMPO  LP'!#REF!</definedName>
    <definedName name="Rell_III_p12" localSheetId="15">#REF!</definedName>
    <definedName name="Rell_III_p12" localSheetId="6">#REF!</definedName>
    <definedName name="Rell_III_p12" localSheetId="9">#REF!</definedName>
    <definedName name="Rell_III_p12" localSheetId="12">#REF!</definedName>
    <definedName name="Rell_III_p12">'[92]DATOS DE CAMPO  LP'!#REF!</definedName>
    <definedName name="Rell_III_pat1" localSheetId="15">#REF!</definedName>
    <definedName name="Rell_III_pat1" localSheetId="6">#REF!</definedName>
    <definedName name="Rell_III_pat1" localSheetId="9">#REF!</definedName>
    <definedName name="Rell_III_pat1" localSheetId="12">#REF!</definedName>
    <definedName name="Rell_III_pat1">'[62]DATOS DE CAMPO'!$P$10</definedName>
    <definedName name="Rell_III_pat1c" localSheetId="15">#REF!</definedName>
    <definedName name="Rell_III_pat1c" localSheetId="6">#REF!</definedName>
    <definedName name="Rell_III_pat1c" localSheetId="9">#REF!</definedName>
    <definedName name="Rell_III_pat1c" localSheetId="12">#REF!</definedName>
    <definedName name="Rell_III_pat1c">'[62]DATOS DE CAMPO'!$P$19</definedName>
    <definedName name="Rell_III_ri" localSheetId="15">#REF!</definedName>
    <definedName name="Rell_III_ri" localSheetId="6">#REF!</definedName>
    <definedName name="Rell_III_ri" localSheetId="9">#REF!</definedName>
    <definedName name="Rell_III_ri" localSheetId="12">#REF!</definedName>
    <definedName name="Rell_III_ri">'[62]DATOS DE CAMPO'!$J$10</definedName>
    <definedName name="Rell_III_rv" localSheetId="15">#REF!</definedName>
    <definedName name="Rell_III_rv" localSheetId="6">#REF!</definedName>
    <definedName name="Rell_III_rv" localSheetId="9">#REF!</definedName>
    <definedName name="Rell_III_rv" localSheetId="12">#REF!</definedName>
    <definedName name="Rell_III_rv">'[62]DATOS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 localSheetId="15">#REF!</definedName>
    <definedName name="Rell_ret" localSheetId="6">#REF!</definedName>
    <definedName name="Rell_ret" localSheetId="9">'[88]DATOS DE CAMPO'!#REF!</definedName>
    <definedName name="Rell_ret" localSheetId="12">#REF!</definedName>
    <definedName name="Rell_ret">'[89]DATOS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[60]Datos_Proyectos!#REF!</definedName>
    <definedName name="Relleno_retenida">'[94]Ratio Redes'!#REF!</definedName>
    <definedName name="REPORTE">[1]A!$D$9</definedName>
    <definedName name="RES" localSheetId="15">'[10]#¡REF'!#REF!</definedName>
    <definedName name="RES" localSheetId="6">'[10]#¡REF'!#REF!</definedName>
    <definedName name="RES" localSheetId="9">'[10]#¡REF'!#REF!</definedName>
    <definedName name="RES" localSheetId="12">'[10]#¡REF'!#REF!</definedName>
    <definedName name="RES">'[14]#¡REF'!#REF!</definedName>
    <definedName name="RES_1">'[10]#¡REF'!#REF!</definedName>
    <definedName name="Res_Mon_RS" localSheetId="0">#REF!</definedName>
    <definedName name="Res_Mon_RS">[170]Resúmen_RS!$B$5:$E$163</definedName>
    <definedName name="Res_sum_dger">#REF!</definedName>
    <definedName name="REST">#REF!</definedName>
    <definedName name="resu">'[58]#¡REF'!#REF!</definedName>
    <definedName name="RESUM">#REF!</definedName>
    <definedName name="resumen">'[58]#¡REF'!#REF!</definedName>
    <definedName name="RESUMEN_MON_LP" localSheetId="3">'[108]Resúmen_LP-RP'!$B$5:$F$400</definedName>
    <definedName name="RESUMEN_MON_LP" localSheetId="0">#REF!</definedName>
    <definedName name="RESUMEN_MON_LP">'[109]Resúmen_LP-RP'!$B$5:$F$400</definedName>
    <definedName name="RESUMENNUEVO">[171]PRESUPUESTO!$A$1:$G$3</definedName>
    <definedName name="ResumenTipoPostesUsados">#REF!</definedName>
    <definedName name="Ret">#REF!</definedName>
    <definedName name="RET_LP" localSheetId="14">#REF!</definedName>
    <definedName name="RET_LP" localSheetId="13">#REF!</definedName>
    <definedName name="RET_LP">#REF!</definedName>
    <definedName name="RET_RP" localSheetId="14">#REF!</definedName>
    <definedName name="RET_RP" localSheetId="13">#REF!</definedName>
    <definedName name="RET_RP">#REF!</definedName>
    <definedName name="RET_RS" localSheetId="14">#REF!</definedName>
    <definedName name="RET_RS" localSheetId="13">#REF!</definedName>
    <definedName name="RET_RS">#REF!</definedName>
    <definedName name="RETENIDA_12P" localSheetId="15">#REF!</definedName>
    <definedName name="RETENIDA_12P" localSheetId="6">#REF!</definedName>
    <definedName name="RETENIDA_12P" localSheetId="9">#REF!</definedName>
    <definedName name="RETENIDA_12P" localSheetId="12">#REF!</definedName>
    <definedName name="RETENIDA_12P">#REF!</definedName>
    <definedName name="RETENIDA_8E" localSheetId="15">#REF!</definedName>
    <definedName name="RETENIDA_8E" localSheetId="6">#REF!</definedName>
    <definedName name="RETENIDA_8E" localSheetId="9">#REF!</definedName>
    <definedName name="RETENIDA_8E" localSheetId="12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'[63]BASE-RS'!$EA$38:$EO$465</definedName>
    <definedName name="REVISAR" localSheetId="15">#REF!</definedName>
    <definedName name="REVISAR" localSheetId="6">#REF!</definedName>
    <definedName name="REVISAR" localSheetId="9">#REF!</definedName>
    <definedName name="REVISAR" localSheetId="12">#REF!</definedName>
    <definedName name="REVISAR" localSheetId="0">#REF!</definedName>
    <definedName name="REVISAR">#REF!</definedName>
    <definedName name="REVISAR_1">#REF!</definedName>
    <definedName name="REVISAR1" localSheetId="15">#REF!</definedName>
    <definedName name="REVISAR1" localSheetId="6">#REF!</definedName>
    <definedName name="REVISAR1" localSheetId="9">#REF!</definedName>
    <definedName name="REVISAR1" localSheetId="12">#REF!</definedName>
    <definedName name="REVISAR1" localSheetId="0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I" localSheetId="15">#REF!</definedName>
    <definedName name="RI" localSheetId="6">#REF!</definedName>
    <definedName name="RI" localSheetId="9">#REF!</definedName>
    <definedName name="RI" localSheetId="12">#REF!</definedName>
    <definedName name="RI">#REF!</definedName>
    <definedName name="RI_A" localSheetId="15">#REF!</definedName>
    <definedName name="RI_A" localSheetId="6">#REF!</definedName>
    <definedName name="RI_A" localSheetId="9">#REF!</definedName>
    <definedName name="RI_A" localSheetId="12">#REF!</definedName>
    <definedName name="RI_A">#REF!</definedName>
    <definedName name="RI_S" localSheetId="15">#REF!</definedName>
    <definedName name="RI_S" localSheetId="6">#REF!</definedName>
    <definedName name="RI_S" localSheetId="9">#REF!</definedName>
    <definedName name="RI_S" localSheetId="12">#REF!</definedName>
    <definedName name="RI_S">#REF!</definedName>
    <definedName name="RIOS">[172]PRETUMBES1!#REF!</definedName>
    <definedName name="Rocoso">#REF!</definedName>
    <definedName name="ROLANDO" hidden="1">#REF!</definedName>
    <definedName name="RP">[173]RP!$A$17:$AE$676</definedName>
    <definedName name="rr">'[114]#¡REF'!#REF!</definedName>
    <definedName name="RRARQ">#REF!</definedName>
    <definedName name="RRELE">#REF!</definedName>
    <definedName name="RREST">#REF!</definedName>
    <definedName name="RRR" localSheetId="15">'[58]1'!#REF!</definedName>
    <definedName name="RRR" localSheetId="6">'[58]1'!#REF!</definedName>
    <definedName name="RRR" localSheetId="9">'[58]1'!#REF!</definedName>
    <definedName name="RRR" localSheetId="12">'[58]1'!#REF!</definedName>
    <definedName name="RRR">'[58]1'!#REF!</definedName>
    <definedName name="RRRRRRRRRR">'[35]Unit-op-cartel'!#REF!</definedName>
    <definedName name="RRRRRRRRRRRRRRRR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[25]Hoja1!$G$13</definedName>
    <definedName name="RS77clt">[25]Hoja1!$G$9</definedName>
    <definedName name="RSAN">#REF!</definedName>
    <definedName name="RSSUMEN" localSheetId="15">'[10]#¡REF'!#REF!</definedName>
    <definedName name="RSSUMEN" localSheetId="6">'[10]#¡REF'!#REF!</definedName>
    <definedName name="RSSUMEN" localSheetId="9">'[10]#¡REF'!#REF!</definedName>
    <definedName name="RSSUMEN" localSheetId="12">'[10]#¡REF'!#REF!</definedName>
    <definedName name="RSSUMEN">'[14]#¡REF'!#REF!</definedName>
    <definedName name="RSSUMEN_1">'[10]#¡REF'!#REF!</definedName>
    <definedName name="RTRT">#REF!</definedName>
    <definedName name="RV" localSheetId="15">#REF!</definedName>
    <definedName name="RV" localSheetId="6">#REF!</definedName>
    <definedName name="RV" localSheetId="9">#REF!</definedName>
    <definedName name="RV" localSheetId="12">#REF!</definedName>
    <definedName name="RV">#REF!</definedName>
    <definedName name="RV_A" localSheetId="15">#REF!</definedName>
    <definedName name="RV_A" localSheetId="6">#REF!</definedName>
    <definedName name="RV_A" localSheetId="9">#REF!</definedName>
    <definedName name="RV_A" localSheetId="12">#REF!</definedName>
    <definedName name="RV_A">#REF!</definedName>
    <definedName name="RV_S" localSheetId="15">#REF!</definedName>
    <definedName name="RV_S" localSheetId="6">#REF!</definedName>
    <definedName name="RV_S" localSheetId="9">#REF!</definedName>
    <definedName name="RV_S" localSheetId="12">#REF!</definedName>
    <definedName name="RV_S">#REF!</definedName>
    <definedName name="RVD" localSheetId="5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RVD" localSheetId="8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RVD" localSheetId="1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RVD" localSheetId="13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RVD" localSheetId="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RVD" localSheetId="7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RVD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" localSheetId="15">[4]REV3!$D$3</definedName>
    <definedName name="s" localSheetId="6">[4]REV3!$D$3</definedName>
    <definedName name="s" localSheetId="9">[4]REV3!$D$3</definedName>
    <definedName name="s" localSheetId="12">[4]REV3!$D$3</definedName>
    <definedName name="s">[6]REV3!$D$3</definedName>
    <definedName name="SA">[17]RS!#REF!</definedName>
    <definedName name="sad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'[127]#¡REF'!#REF!</definedName>
    <definedName name="SANDIA1">'[167]#¡REF'!#REF!</definedName>
    <definedName name="SANDIA2">'[42]#¡REF'!#REF!</definedName>
    <definedName name="SANDIA4">'[167]#¡REF'!#REF!</definedName>
    <definedName name="sap">#REF!</definedName>
    <definedName name="SAQSQS">'[49]#¡REF'!#REF!</definedName>
    <definedName name="sasa">'[102]#¡REF'!#REF!</definedName>
    <definedName name="SBM" localSheetId="15">#REF!</definedName>
    <definedName name="SBM" localSheetId="6">#REF!</definedName>
    <definedName name="SBM" localSheetId="9">#REF!</definedName>
    <definedName name="SBM" localSheetId="12">#REF!</definedName>
    <definedName name="SBM">#REF!</definedName>
    <definedName name="SBM_1" localSheetId="15">#REF!</definedName>
    <definedName name="SBM_1" localSheetId="6">#REF!</definedName>
    <definedName name="SBM_1" localSheetId="9">#REF!</definedName>
    <definedName name="SBM_1" localSheetId="12">#REF!</definedName>
    <definedName name="SBM_1">#REF!</definedName>
    <definedName name="SBM_1_7">#REF!</definedName>
    <definedName name="SBM_1P" localSheetId="15">#REF!</definedName>
    <definedName name="SBM_1P" localSheetId="6">#REF!</definedName>
    <definedName name="SBM_1P" localSheetId="9">#REF!</definedName>
    <definedName name="SBM_1P" localSheetId="12">#REF!</definedName>
    <definedName name="SBM_1P">#REF!</definedName>
    <definedName name="SBM_1P_7">#REF!</definedName>
    <definedName name="SBM_2" localSheetId="15">#REF!</definedName>
    <definedName name="SBM_2" localSheetId="6">#REF!</definedName>
    <definedName name="SBM_2" localSheetId="9">#REF!</definedName>
    <definedName name="SBM_2" localSheetId="12">#REF!</definedName>
    <definedName name="SBM_2">#REF!</definedName>
    <definedName name="SBM_2_7">#REF!</definedName>
    <definedName name="SBM_2P" localSheetId="15">#REF!</definedName>
    <definedName name="SBM_2P" localSheetId="6">#REF!</definedName>
    <definedName name="SBM_2P" localSheetId="9">#REF!</definedName>
    <definedName name="SBM_2P" localSheetId="12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fsaf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ad">#REF!</definedName>
    <definedName name="SDSDSD" localSheetId="15">#REF!</definedName>
    <definedName name="SDSDSD" localSheetId="6">#REF!</definedName>
    <definedName name="SDSDSD" localSheetId="9">#REF!</definedName>
    <definedName name="SDSDSD" localSheetId="12">#REF!</definedName>
    <definedName name="SDSDSD">#REF!</definedName>
    <definedName name="SDSDSD_7">#REF!</definedName>
    <definedName name="se_220_60_1" localSheetId="15">[175]SE_Piura_Oeste!#REF!</definedName>
    <definedName name="se_220_60_1" localSheetId="6">[175]SE_Piura_Oeste!#REF!</definedName>
    <definedName name="se_220_60_1" localSheetId="9">[175]SE_Piura_Oeste!#REF!</definedName>
    <definedName name="se_220_60_1" localSheetId="12">[175]SE_Piura_Oeste!#REF!</definedName>
    <definedName name="se_220_60_1">[175]SE_Piura_Oeste!#REF!</definedName>
    <definedName name="se_r1" localSheetId="15">#REF!</definedName>
    <definedName name="se_r1" localSheetId="6">#REF!</definedName>
    <definedName name="se_r1" localSheetId="9">#REF!</definedName>
    <definedName name="se_r1" localSheetId="12">#REF!</definedName>
    <definedName name="se_r1">#REF!</definedName>
    <definedName name="se_r2" localSheetId="15">#REF!</definedName>
    <definedName name="se_r2" localSheetId="6">#REF!</definedName>
    <definedName name="se_r2" localSheetId="9">#REF!</definedName>
    <definedName name="se_r2" localSheetId="12">#REF!</definedName>
    <definedName name="se_r2">#REF!</definedName>
    <definedName name="se_r3" localSheetId="15">#REF!</definedName>
    <definedName name="se_r3" localSheetId="6">#REF!</definedName>
    <definedName name="se_r3" localSheetId="9">#REF!</definedName>
    <definedName name="se_r3" localSheetId="12">#REF!</definedName>
    <definedName name="se_r3">#REF!</definedName>
    <definedName name="se_r4" localSheetId="15">#REF!</definedName>
    <definedName name="se_r4" localSheetId="6">#REF!</definedName>
    <definedName name="se_r4" localSheetId="9">#REF!</definedName>
    <definedName name="se_r4" localSheetId="12">#REF!</definedName>
    <definedName name="se_r4">#REF!</definedName>
    <definedName name="se_r5" localSheetId="15">#REF!</definedName>
    <definedName name="se_r5" localSheetId="6">#REF!</definedName>
    <definedName name="se_r5" localSheetId="9">#REF!</definedName>
    <definedName name="se_r5" localSheetId="12">#REF!</definedName>
    <definedName name="se_r5">#REF!</definedName>
    <definedName name="se_r6" localSheetId="15">#REF!</definedName>
    <definedName name="se_r6" localSheetId="6">#REF!</definedName>
    <definedName name="se_r6" localSheetId="9">#REF!</definedName>
    <definedName name="se_r6" localSheetId="12">#REF!</definedName>
    <definedName name="se_r6">#REF!</definedName>
    <definedName name="SE_SICN_1" localSheetId="15">#REF!</definedName>
    <definedName name="SE_SICN_1" localSheetId="6">#REF!</definedName>
    <definedName name="SE_SICN_1" localSheetId="9">#REF!</definedName>
    <definedName name="SE_SICN_1" localSheetId="12">#REF!</definedName>
    <definedName name="SE_SICN_1">#REF!</definedName>
    <definedName name="SE_SICN_2" localSheetId="15">#REF!</definedName>
    <definedName name="SE_SICN_2" localSheetId="6">#REF!</definedName>
    <definedName name="SE_SICN_2" localSheetId="9">#REF!</definedName>
    <definedName name="SE_SICN_2" localSheetId="12">#REF!</definedName>
    <definedName name="SE_SICN_2">#REF!</definedName>
    <definedName name="se1_1" localSheetId="15">[175]SE_Piura_Oeste!#REF!</definedName>
    <definedName name="se1_1" localSheetId="6">[175]SE_Piura_Oeste!#REF!</definedName>
    <definedName name="se1_1" localSheetId="9">[175]SE_Piura_Oeste!#REF!</definedName>
    <definedName name="se1_1" localSheetId="12">[175]SE_Piura_Oeste!#REF!</definedName>
    <definedName name="se1_1">[175]SE_Piura_Oeste!#REF!</definedName>
    <definedName name="se1_2" localSheetId="15">[175]SE_Piura_Oeste!#REF!</definedName>
    <definedName name="se1_2" localSheetId="6">[175]SE_Piura_Oeste!#REF!</definedName>
    <definedName name="se1_2" localSheetId="9">[175]SE_Piura_Oeste!#REF!</definedName>
    <definedName name="se1_2" localSheetId="12">[175]SE_Piura_Oeste!#REF!</definedName>
    <definedName name="se1_2">[175]SE_Piura_Oeste!#REF!</definedName>
    <definedName name="se1_3" localSheetId="15">[175]SE_Piura_Oeste!#REF!</definedName>
    <definedName name="se1_3" localSheetId="6">[175]SE_Piura_Oeste!#REF!</definedName>
    <definedName name="se1_3" localSheetId="9">[175]SE_Piura_Oeste!#REF!</definedName>
    <definedName name="se1_3" localSheetId="12">[175]SE_Piura_Oeste!#REF!</definedName>
    <definedName name="se1_3">[175]SE_Piura_Oeste!#REF!</definedName>
    <definedName name="se1_4" localSheetId="15">[175]SE_Piura_Oeste!#REF!</definedName>
    <definedName name="se1_4" localSheetId="6">[175]SE_Piura_Oeste!#REF!</definedName>
    <definedName name="se1_4" localSheetId="9">[175]SE_Piura_Oeste!#REF!</definedName>
    <definedName name="se1_4" localSheetId="12">[175]SE_Piura_Oeste!#REF!</definedName>
    <definedName name="se1_4">[175]SE_Piura_Oeste!#REF!</definedName>
    <definedName name="se10_1">[175]SE_Santa_Rosa!#REF!</definedName>
    <definedName name="se10_2">[175]SE_Santa_Rosa!#REF!</definedName>
    <definedName name="se11_1">[175]SE_San_Juan!#REF!</definedName>
    <definedName name="se12_1">[175]SE_Independencia!#REF!</definedName>
    <definedName name="se12_2">[175]SE_Independencia!#REF!</definedName>
    <definedName name="se13_1">[175]SE_Ica!#REF!</definedName>
    <definedName name="se13_2">[175]SE_Ica!#REF!</definedName>
    <definedName name="se2_1">[175]SE_Chiclayo_Oeste!#REF!</definedName>
    <definedName name="se2_2">[175]SE_Chiclayo_Oeste!#REF!</definedName>
    <definedName name="se3_1">'[11]FORMA-SE2'!#REF!</definedName>
    <definedName name="se3_2">'[11]FORMA-SE2'!#REF!</definedName>
    <definedName name="se4_1">[175]SE_Trujillo_Norte!#REF!</definedName>
    <definedName name="se4_2">[175]SE_Trujillo_Norte!#REF!</definedName>
    <definedName name="se4_3">[175]SE_Trujillo_Norte!#REF!</definedName>
    <definedName name="se4_4">[175]SE_Trujillo_Norte!#REF!</definedName>
    <definedName name="se5_1">[175]SE_Chimbote1!#REF!</definedName>
    <definedName name="se5_2">[175]SE_Chimbote1!#REF!</definedName>
    <definedName name="se5_3">[175]SE_Chimbote1!#REF!</definedName>
    <definedName name="se5_4">[175]SE_Chimbote1!#REF!</definedName>
    <definedName name="se6_1">[175]SE_Paramonga_Nueva!#REF!</definedName>
    <definedName name="se6_2">[175]SE_Paramonga_Nueva!#REF!</definedName>
    <definedName name="se9_1">[175]SE_Chavarria!#REF!</definedName>
    <definedName name="se9_2">[175]SE_Chavarria!#REF!</definedName>
    <definedName name="se9_3">[175]SE_Chavarria!#REF!</definedName>
    <definedName name="SEAL" localSheetId="15">#REF!</definedName>
    <definedName name="SEAL" localSheetId="6">#REF!</definedName>
    <definedName name="SEAL" localSheetId="9">#REF!</definedName>
    <definedName name="SEAL" localSheetId="12">#REF!</definedName>
    <definedName name="SEAL">#REF!</definedName>
    <definedName name="SEAL_1">#REF!</definedName>
    <definedName name="SEAL_7">#REF!</definedName>
    <definedName name="Seccionador">[93]CONFIGURACIÓN!#REF!</definedName>
    <definedName name="Seccionador_12">[116]Datos_Proyectos!#REF!</definedName>
    <definedName name="Seccionador_15">[116]Datos_Proyectos!#REF!</definedName>
    <definedName name="Seccionador_27_38">[116]Datos_Proyectos!#REF!</definedName>
    <definedName name="SeccionadorCutOut" localSheetId="15">'[61]DATOS DE CAMPO'!#REF!</definedName>
    <definedName name="SeccionadorCutOut" localSheetId="6">'[61]DATOS DE CAMPO'!#REF!</definedName>
    <definedName name="SeccionadorCutOut" localSheetId="9">'[61]DATOS DE CAMPO'!#REF!</definedName>
    <definedName name="SeccionadorCutOut" localSheetId="12">'[61]DATOS DE CAMPO'!#REF!</definedName>
    <definedName name="SeccionadorCutOut">'[62]DATOS DE CAMPO'!#REF!</definedName>
    <definedName name="SeccionadorFusible">[60]Datos_Proyectos!#REF!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'[176]#¡REF'!#REF!</definedName>
    <definedName name="SEGUN">'[11]FORMA-LS1-LS2'!$A$98:$Q$170</definedName>
    <definedName name="SEGUNDA" localSheetId="15">#REF!</definedName>
    <definedName name="SEGUNDA" localSheetId="6">#REF!</definedName>
    <definedName name="SEGUNDA" localSheetId="9">#REF!</definedName>
    <definedName name="SEGUNDA" localSheetId="12">#REF!</definedName>
    <definedName name="SEGUNDA">#REF!</definedName>
    <definedName name="SEGUNDO">'[11]FORMA-LS1-LS2'!$A$98:$Q$168</definedName>
    <definedName name="SEN" localSheetId="15">#REF!</definedName>
    <definedName name="SEN" localSheetId="6">#REF!</definedName>
    <definedName name="SEN" localSheetId="9">#REF!</definedName>
    <definedName name="SEN" localSheetId="12">#REF!</definedName>
    <definedName name="SEN">#REF!</definedName>
    <definedName name="ser">#REF!</definedName>
    <definedName name="sf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[177]BDATOS!#REF!</definedName>
    <definedName name="SGUN">'[143]FORMA-LS1-LS2'!$A$98:$Q$168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hidden="1">[178]BDATOS!#REF!</definedName>
    <definedName name="Sistema">#REF!</definedName>
    <definedName name="smilagrosad">#REF!</definedName>
    <definedName name="smilagrosrp">#REF!</definedName>
    <definedName name="smilagrosrs">#REF!</definedName>
    <definedName name="SMM_1" localSheetId="15">#REF!</definedName>
    <definedName name="SMM_1" localSheetId="6">#REF!</definedName>
    <definedName name="SMM_1" localSheetId="9">#REF!</definedName>
    <definedName name="SMM_1" localSheetId="12">#REF!</definedName>
    <definedName name="SMM_1">#REF!</definedName>
    <definedName name="SMM_1_7">#REF!</definedName>
    <definedName name="SMM_1N" localSheetId="15">#REF!</definedName>
    <definedName name="SMM_1N" localSheetId="6">#REF!</definedName>
    <definedName name="SMM_1N" localSheetId="9">#REF!</definedName>
    <definedName name="SMM_1N" localSheetId="12">#REF!</definedName>
    <definedName name="SMM_1N">#REF!</definedName>
    <definedName name="SMM_1N_7">#REF!</definedName>
    <definedName name="SMM_1P" localSheetId="15">#REF!</definedName>
    <definedName name="SMM_1P" localSheetId="6">#REF!</definedName>
    <definedName name="SMM_1P" localSheetId="9">#REF!</definedName>
    <definedName name="SMM_1P" localSheetId="12">#REF!</definedName>
    <definedName name="SMM_1P">#REF!</definedName>
    <definedName name="SMM_1P_7">#REF!</definedName>
    <definedName name="SMM_2" localSheetId="15">#REF!</definedName>
    <definedName name="SMM_2" localSheetId="6">#REF!</definedName>
    <definedName name="SMM_2" localSheetId="9">#REF!</definedName>
    <definedName name="SMM_2" localSheetId="12">#REF!</definedName>
    <definedName name="SMM_2">#REF!</definedName>
    <definedName name="SMM_2_7">#REF!</definedName>
    <definedName name="SMM_2N" localSheetId="15">#REF!</definedName>
    <definedName name="SMM_2N" localSheetId="6">#REF!</definedName>
    <definedName name="SMM_2N" localSheetId="9">#REF!</definedName>
    <definedName name="SMM_2N" localSheetId="12">#REF!</definedName>
    <definedName name="SMM_2N">#REF!</definedName>
    <definedName name="SMM_2N_7">#REF!</definedName>
    <definedName name="SMM_2P" localSheetId="15">#REF!</definedName>
    <definedName name="SMM_2P" localSheetId="6">#REF!</definedName>
    <definedName name="SMM_2P" localSheetId="9">#REF!</definedName>
    <definedName name="SMM_2P" localSheetId="12">#REF!</definedName>
    <definedName name="SMM_2P">#REF!</definedName>
    <definedName name="SMM_2P_7">#REF!</definedName>
    <definedName name="SNIP55820">[179]APUTANTANI!#REF!</definedName>
    <definedName name="Sol" localSheetId="15">#REF!</definedName>
    <definedName name="Sol" localSheetId="6">#REF!</definedName>
    <definedName name="Sol" localSheetId="9">#REF!</definedName>
    <definedName name="Sol" localSheetId="12">#REF!</definedName>
    <definedName name="Sol">#REF!</definedName>
    <definedName name="SOL_1" localSheetId="15">[115]CALCULO!#REF!</definedName>
    <definedName name="SOL_1" localSheetId="6">[115]CALCULO!#REF!</definedName>
    <definedName name="SOL_1" localSheetId="9">[115]CALCULO!#REF!</definedName>
    <definedName name="SOL_1" localSheetId="12">[115]CALCULO!#REF!</definedName>
    <definedName name="SOL_1">[105]CALCULO!#REF!</definedName>
    <definedName name="Sol_7">#REF!</definedName>
    <definedName name="SOPOR">'[143]FORMA-LS1-LS2'!$A$86:$P$169</definedName>
    <definedName name="SOPORTE">'[11]FORMA-LS1-LS2'!$A$86:$P$169</definedName>
    <definedName name="SQSNMP">'[2]#¡REF'!#REF!</definedName>
    <definedName name="SQSQAASQ">'[49]#¡REF'!#REF!</definedName>
    <definedName name="SQSQQQSQSQ">'[49]#¡REF'!#REF!</definedName>
    <definedName name="SQSQSQ">'[49]#¡REF'!#REF!</definedName>
    <definedName name="ss" localSheetId="15" hidden="1">{"vista 1",#N/A,FALSE,"CMP";"vista 2",#N/A,FALSE,"CMP"}</definedName>
    <definedName name="ss" localSheetId="6" hidden="1">{"vista 1",#N/A,FALSE,"CMP";"vista 2",#N/A,FALSE,"CMP"}</definedName>
    <definedName name="ss" localSheetId="9" hidden="1">{"vista 1",#N/A,FALSE,"CMP";"vista 2",#N/A,FALSE,"CMP"}</definedName>
    <definedName name="ss" localSheetId="12" hidden="1">{"vista 1",#N/A,FALSE,"CMP";"vista 2",#N/A,FALSE,"CMP"}</definedName>
    <definedName name="ss" localSheetId="3" hidden="1">{"vista 1",#N/A,FALSE,"CMP";"vista 2",#N/A,FALSE,"CMP"}</definedName>
    <definedName name="ss" localSheetId="5" hidden="1">{"vista 1",#N/A,FALSE,"CMP";"vista 2",#N/A,FALSE,"CMP"}</definedName>
    <definedName name="ss" localSheetId="8" hidden="1">{"vista 1",#N/A,FALSE,"CMP";"vista 2",#N/A,FALSE,"CMP"}</definedName>
    <definedName name="ss" localSheetId="14" hidden="1">{"vista 1",#N/A,FALSE,"CMP";"vista 2",#N/A,FALSE,"CMP"}</definedName>
    <definedName name="ss" localSheetId="13" hidden="1">{"vista 1",#N/A,FALSE,"CMP";"vista 2",#N/A,FALSE,"CMP"}</definedName>
    <definedName name="ss" localSheetId="4" hidden="1">{"vista 1",#N/A,FALSE,"CMP";"vista 2",#N/A,FALSE,"CMP"}</definedName>
    <definedName name="ss" localSheetId="7" hidden="1">{"vista 1",#N/A,FALSE,"CMP";"vista 2",#N/A,FALSE,"CMP"}</definedName>
    <definedName name="ss" localSheetId="0" hidden="1">{"vista 1",#N/A,FALSE,"CMP";"vista 2",#N/A,FALSE,"CMP"}</definedName>
    <definedName name="ss" hidden="1">{"vista 1",#N/A,FALSE,"CMP";"vista 2",#N/A,FALSE,"CMP"}</definedName>
    <definedName name="SSEE">'[143]FORMA-ST1'!$A$2:$S$55</definedName>
    <definedName name="SS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15" hidden="1">{"vista 1",#N/A,FALSE,"CMP";"vista 2",#N/A,FALSE,"CMP"}</definedName>
    <definedName name="ssss" localSheetId="6" hidden="1">{"vista 1",#N/A,FALSE,"CMP";"vista 2",#N/A,FALSE,"CMP"}</definedName>
    <definedName name="ssss" localSheetId="9" hidden="1">{"vista 1",#N/A,FALSE,"CMP";"vista 2",#N/A,FALSE,"CMP"}</definedName>
    <definedName name="ssss" localSheetId="12" hidden="1">{"vista 1",#N/A,FALSE,"CMP";"vista 2",#N/A,FALSE,"CMP"}</definedName>
    <definedName name="ssss" localSheetId="3" hidden="1">{"vista 1",#N/A,FALSE,"CMP";"vista 2",#N/A,FALSE,"CMP"}</definedName>
    <definedName name="ssss" localSheetId="5" hidden="1">{"vista 1",#N/A,FALSE,"CMP";"vista 2",#N/A,FALSE,"CMP"}</definedName>
    <definedName name="ssss" localSheetId="8" hidden="1">{"vista 1",#N/A,FALSE,"CMP";"vista 2",#N/A,FALSE,"CMP"}</definedName>
    <definedName name="ssss" localSheetId="14" hidden="1">{"vista 1",#N/A,FALSE,"CMP";"vista 2",#N/A,FALSE,"CMP"}</definedName>
    <definedName name="ssss" localSheetId="13" hidden="1">{"vista 1",#N/A,FALSE,"CMP";"vista 2",#N/A,FALSE,"CMP"}</definedName>
    <definedName name="ssss" localSheetId="4" hidden="1">{"vista 1",#N/A,FALSE,"CMP";"vista 2",#N/A,FALSE,"CMP"}</definedName>
    <definedName name="ssss" localSheetId="7" hidden="1">{"vista 1",#N/A,FALSE,"CMP";"vista 2",#N/A,FALSE,"CMP"}</definedName>
    <definedName name="ssss" localSheetId="0">'[36]#¡REF'!#REF!</definedName>
    <definedName name="ssss" hidden="1">{"vista 1",#N/A,FALSE,"CMP";"vista 2",#N/A,FALSE,"CMP"}</definedName>
    <definedName name="sssssss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 localSheetId="15">#REF!</definedName>
    <definedName name="STB" localSheetId="6">#REF!</definedName>
    <definedName name="STB" localSheetId="9">#REF!</definedName>
    <definedName name="STB" localSheetId="12">#REF!</definedName>
    <definedName name="STB">#REF!</definedName>
    <definedName name="STB_7">#REF!</definedName>
    <definedName name="STEEL" localSheetId="15">[95]Fundacion!$J$23:$Q$30</definedName>
    <definedName name="STEEL" localSheetId="6">[95]Fundacion!$J$23:$Q$30</definedName>
    <definedName name="STEEL" localSheetId="9">[95]Fundacion!$J$23:$Q$30</definedName>
    <definedName name="STEEL" localSheetId="12">[95]Fundacion!$J$23:$Q$30</definedName>
    <definedName name="STEEL">[96]Fundacion!$J$23:$Q$30</definedName>
    <definedName name="SUBESTACIONES">'[11]FORMA-ST1'!$A$2:$S$55</definedName>
    <definedName name="Subtotal">#REF!</definedName>
    <definedName name="Sujección_retenida">[60]Datos_Proyectos!#REF!</definedName>
    <definedName name="sum">#REF!</definedName>
    <definedName name="SUM_DE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[1]A!$D$73</definedName>
    <definedName name="SUMLP">#REF!</definedName>
    <definedName name="SUMRP">#REF!</definedName>
    <definedName name="SUMRS">'[63]SUM RS'!$A$9:$BU$156</definedName>
    <definedName name="Sup_preinversion" localSheetId="15">'[140]Aux. Disgregados'!$D$30</definedName>
    <definedName name="Sup_preinversion" localSheetId="6">'[140]Aux. Disgregados'!$D$30</definedName>
    <definedName name="Sup_preinversion" localSheetId="9">'[140]Aux. Disgregados'!$D$30</definedName>
    <definedName name="Sup_preinversion" localSheetId="12">'[140]Aux. Disgregados'!$D$30</definedName>
    <definedName name="Sup_preinversion">'[141]Aux. Disgregados'!$D$30</definedName>
    <definedName name="SUPERVISION">[97]DATOS!$C$8</definedName>
    <definedName name="T" localSheetId="15">'[29]#¡REF'!#REF!</definedName>
    <definedName name="T" localSheetId="6">'[29]#¡REF'!#REF!</definedName>
    <definedName name="T" localSheetId="9">'[29]#¡REF'!#REF!</definedName>
    <definedName name="T" localSheetId="12">'[29]#¡REF'!#REF!</definedName>
    <definedName name="t">#REF!</definedName>
    <definedName name="TABLA">[180]PLAN_CONFORME!$V$1:$W$6</definedName>
    <definedName name="Tabla_Planilla">#REF!</definedName>
    <definedName name="TablaVNR">#REF!</definedName>
    <definedName name="TABLEROSRP">#REF!</definedName>
    <definedName name="tabtabtab">[181]LINEAS!$A$3:$BR$18</definedName>
    <definedName name="Tasa" localSheetId="15">#REF!</definedName>
    <definedName name="Tasa" localSheetId="6">#REF!</definedName>
    <definedName name="Tasa" localSheetId="9">#REF!</definedName>
    <definedName name="Tasa" localSheetId="12">#REF!</definedName>
    <definedName name="Tasa">#REF!</definedName>
    <definedName name="tc" localSheetId="3">'[108]RES-GRAL'!$J$24</definedName>
    <definedName name="tc" localSheetId="0">[182]PptoVNR!$E$7</definedName>
    <definedName name="tc">'[109]RES-GRAL'!$J$6</definedName>
    <definedName name="tcambio">#REF!</definedName>
    <definedName name="TENSION" localSheetId="15">#REF!</definedName>
    <definedName name="TENSION" localSheetId="6">#REF!</definedName>
    <definedName name="TENSION" localSheetId="9">#REF!</definedName>
    <definedName name="TENSION" localSheetId="12">#REF!</definedName>
    <definedName name="TENSION">#REF!</definedName>
    <definedName name="Tensión10kV">[116]Datos_Proyectos!#REF!</definedName>
    <definedName name="Teodolito">#REF!</definedName>
    <definedName name="TERCERA" localSheetId="15">#REF!</definedName>
    <definedName name="TERCERA" localSheetId="6">#REF!</definedName>
    <definedName name="TERCERA" localSheetId="9">#REF!</definedName>
    <definedName name="TERCERA" localSheetId="12">#REF!</definedName>
    <definedName name="TERCERA">#REF!</definedName>
    <definedName name="TERMINALES">#REF!</definedName>
    <definedName name="TERMINO">[97]DATOS!$C$10</definedName>
    <definedName name="TERRENO">#REF!</definedName>
    <definedName name="Terreno1">#REF!</definedName>
    <definedName name="Terreno2">#REF!</definedName>
    <definedName name="Terreno3">#REF!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'[183](1) Data para Presupuesto'!#REF!</definedName>
    <definedName name="TipoPoste">[184]PLANILLA!$D$145</definedName>
    <definedName name="TipoPT">#REF!</definedName>
    <definedName name="TipoV">#REF!</definedName>
    <definedName name="Tirfor">#REF!</definedName>
    <definedName name="_xlnm.Print_Titles" localSheetId="3">'GG Contr.'!$1:$8</definedName>
    <definedName name="_xlnm.Print_Titles" localSheetId="5">'Mtdo-Ppto LP'!$6:$15</definedName>
    <definedName name="_xlnm.Print_Titles" localSheetId="8">'Mtdo-Ppto RP'!$6:$15</definedName>
    <definedName name="_xlnm.Print_Titles" localSheetId="11">'Mtdo-Ppto RS'!$6:$15</definedName>
    <definedName name="_xlnm.Print_Titles" localSheetId="14">'Mtdo-Ppto SFV'!$6:$15</definedName>
    <definedName name="_xlnm.Print_Titles">#N/A</definedName>
    <definedName name="TO_MAT">[1]A!$D$42</definedName>
    <definedName name="Topo_Loc_EstudioIngeniería" localSheetId="15">'[125]Aux. Disgregados'!$K$46</definedName>
    <definedName name="Topo_Loc_EstudioIngeniería" localSheetId="6">'[125]Aux. Disgregados'!$K$46</definedName>
    <definedName name="Topo_Loc_EstudioIngeniería" localSheetId="9">'[125]Aux. Disgregados'!$K$46</definedName>
    <definedName name="Topo_Loc_EstudioIngeniería" localSheetId="12">'[125]Aux. Disgregados'!$K$46</definedName>
    <definedName name="Topo_Loc_EstudioIngeniería">'[126]Aux. Disgregados'!$K$46</definedName>
    <definedName name="Topo_LP_EstudioIngeniería" localSheetId="15">'[125]Aux. Disgregados'!$J$46</definedName>
    <definedName name="Topo_LP_EstudioIngeniería" localSheetId="6">'[125]Aux. Disgregados'!$J$46</definedName>
    <definedName name="Topo_LP_EstudioIngeniería" localSheetId="9">'[125]Aux. Disgregados'!$J$46</definedName>
    <definedName name="Topo_LP_EstudioIngeniería" localSheetId="12">'[125]Aux. Disgregados'!$J$46</definedName>
    <definedName name="Topo_LP_EstudioIngeniería">'[126]Aux. Disgregados'!$J$46</definedName>
    <definedName name="Topografo">#REF!</definedName>
    <definedName name="TORRE" localSheetId="15">[95]cantidades!$A$9:$BU$335</definedName>
    <definedName name="TORRE" localSheetId="6">[95]cantidades!$A$9:$BU$335</definedName>
    <definedName name="TORRE" localSheetId="9">[95]cantidades!$A$9:$BU$335</definedName>
    <definedName name="TORRE" localSheetId="12">[95]cantidades!$A$9:$BU$335</definedName>
    <definedName name="TORRE">[96]cantidades!$A$9:$BU$335</definedName>
    <definedName name="TR_LP">[71]DB!$AW$4:$BC$120</definedName>
    <definedName name="trafo_1" localSheetId="15">#REF!</definedName>
    <definedName name="trafo_1" localSheetId="6">#REF!</definedName>
    <definedName name="trafo_1" localSheetId="9">#REF!</definedName>
    <definedName name="trafo_1" localSheetId="12">#REF!</definedName>
    <definedName name="trafo_1">#REF!</definedName>
    <definedName name="trafo_2" localSheetId="15">#REF!</definedName>
    <definedName name="trafo_2" localSheetId="6">#REF!</definedName>
    <definedName name="trafo_2" localSheetId="9">#REF!</definedName>
    <definedName name="trafo_2" localSheetId="12">#REF!</definedName>
    <definedName name="trafo_2">#REF!</definedName>
    <definedName name="trafo_3" localSheetId="15">#REF!</definedName>
    <definedName name="trafo_3" localSheetId="6">#REF!</definedName>
    <definedName name="trafo_3" localSheetId="9">#REF!</definedName>
    <definedName name="trafo_3" localSheetId="12">#REF!</definedName>
    <definedName name="trafo_3">#REF!</definedName>
    <definedName name="TRAFOS" localSheetId="5">#REF!</definedName>
    <definedName name="TRAFOS" localSheetId="14">#REF!</definedName>
    <definedName name="TRAFOS" localSheetId="13">#REF!</definedName>
    <definedName name="TRAFOS" localSheetId="4">#REF!</definedName>
    <definedName name="TRAFOS">#REF!</definedName>
    <definedName name="TRAMOS" localSheetId="5">#REF!</definedName>
    <definedName name="TRAMOS" localSheetId="14">#REF!</definedName>
    <definedName name="TRAMOS" localSheetId="13">#REF!</definedName>
    <definedName name="TRAMOS" localSheetId="4">#REF!</definedName>
    <definedName name="Tramos" localSheetId="0">[59]Líneas!#REF!</definedName>
    <definedName name="TRAMOS">#REF!</definedName>
    <definedName name="TRANSFORP">#REF!</definedName>
    <definedName name="Transp_poste">[93]CONFIGURACIÓN!#REF!</definedName>
    <definedName name="TRANSPLP">'[63]TRANSP LP'!$A$9:$BU$222</definedName>
    <definedName name="Transporte">'[121]Ratio Redes'!$T$3</definedName>
    <definedName name="Transporte_poste">'[94]Ratio Redes'!#REF!</definedName>
    <definedName name="TRANSPRS">'[63]TRANSP RS'!$A$9:$BU$156</definedName>
    <definedName name="Traslado_tierraprestamo">[60]Datos_Proyectos!#REF!</definedName>
    <definedName name="TRIFASICO" localSheetId="15">#REF!</definedName>
    <definedName name="TRIFASICO" localSheetId="6">#REF!</definedName>
    <definedName name="TRIFASICO" localSheetId="9">#REF!</definedName>
    <definedName name="TRIFASICO" localSheetId="12">#REF!</definedName>
    <definedName name="TRIFASICO">#REF!</definedName>
    <definedName name="TROT" localSheetId="15">[4]REV3!$D$5</definedName>
    <definedName name="TROT" localSheetId="6">[4]REV3!$D$5</definedName>
    <definedName name="TROT" localSheetId="9">[4]REV3!$D$5</definedName>
    <definedName name="TROT" localSheetId="12">[4]REV3!$D$5</definedName>
    <definedName name="TROT">[6]REV3!$D$5</definedName>
    <definedName name="TS_0" localSheetId="15">#REF!</definedName>
    <definedName name="TS_0" localSheetId="6">#REF!</definedName>
    <definedName name="TS_0" localSheetId="9">#REF!</definedName>
    <definedName name="TS_0" localSheetId="12">#REF!</definedName>
    <definedName name="TS_0">#REF!</definedName>
    <definedName name="TS_0_1">#REF!</definedName>
    <definedName name="TS_2" localSheetId="15">#REF!</definedName>
    <definedName name="TS_2" localSheetId="6">#REF!</definedName>
    <definedName name="TS_2" localSheetId="9">#REF!</definedName>
    <definedName name="TS_2" localSheetId="12">#REF!</definedName>
    <definedName name="TS_2">#REF!</definedName>
    <definedName name="TS_2_1">#REF!</definedName>
    <definedName name="TS_3" localSheetId="15">#REF!</definedName>
    <definedName name="TS_3" localSheetId="6">#REF!</definedName>
    <definedName name="TS_3" localSheetId="9">#REF!</definedName>
    <definedName name="TS_3" localSheetId="12">#REF!</definedName>
    <definedName name="TS_3">#REF!</definedName>
    <definedName name="TS_3_1">#REF!</definedName>
    <definedName name="TT" localSheetId="15">#REF!</definedName>
    <definedName name="TT" localSheetId="6">#REF!</definedName>
    <definedName name="TT" localSheetId="9">#REF!</definedName>
    <definedName name="TT" localSheetId="12">#REF!</definedName>
    <definedName name="TT">#REF!</definedName>
    <definedName name="TTT">'[35]Unit-op-cartel'!#REF!</definedName>
    <definedName name="Tubo">#REF!</definedName>
    <definedName name="u" localSheetId="5" hidden="1">{"vista1",#N/A,FALSE,"SE_Independencia";"vista2",#N/A,FALSE,"SE_Independencia";"vista3",#N/A,FALSE,"SE_Independencia"}</definedName>
    <definedName name="u" localSheetId="8" hidden="1">{"vista1",#N/A,FALSE,"SE_Independencia";"vista2",#N/A,FALSE,"SE_Independencia";"vista3",#N/A,FALSE,"SE_Independencia"}</definedName>
    <definedName name="u" localSheetId="14" hidden="1">{"vista1",#N/A,FALSE,"SE_Independencia";"vista2",#N/A,FALSE,"SE_Independencia";"vista3",#N/A,FALSE,"SE_Independencia"}</definedName>
    <definedName name="u" localSheetId="13" hidden="1">{"vista1",#N/A,FALSE,"SE_Independencia";"vista2",#N/A,FALSE,"SE_Independencia";"vista3",#N/A,FALSE,"SE_Independencia"}</definedName>
    <definedName name="u" localSheetId="4" hidden="1">{"vista1",#N/A,FALSE,"SE_Independencia";"vista2",#N/A,FALSE,"SE_Independencia";"vista3",#N/A,FALSE,"SE_Independencia"}</definedName>
    <definedName name="u" localSheetId="7" hidden="1">{"vista1",#N/A,FALSE,"SE_Independencia";"vista2",#N/A,FALSE,"SE_Independencia";"vista3",#N/A,FALSE,"SE_Independencia"}</definedName>
    <definedName name="u" hidden="1">{"vista1",#N/A,FALSE,"SE_Independencia";"vista2",#N/A,FALSE,"SE_Independencia";"vista3",#N/A,FALSE,"SE_Independencia"}</definedName>
    <definedName name="UBICACION">[97]DATOS!$C$4</definedName>
    <definedName name="UBICACIÓN">[97]DATOS!$C$4</definedName>
    <definedName name="UND">#REF!</definedName>
    <definedName name="UND." localSheetId="15">#REF!</definedName>
    <definedName name="UND." localSheetId="6">#REF!</definedName>
    <definedName name="UND." localSheetId="9">#REF!</definedName>
    <definedName name="UND." localSheetId="12">#REF!</definedName>
    <definedName name="UND." localSheetId="0">#REF!</definedName>
    <definedName name="UND.">#REF!</definedName>
    <definedName name="UND._1">#REF!</definedName>
    <definedName name="UNI">#REF!</definedName>
    <definedName name="UNIDAD">#REF!</definedName>
    <definedName name="UNIDADES">[144]FORMATO!$D$62:$E$81</definedName>
    <definedName name="unitariosad">#REF!</definedName>
    <definedName name="unitariosrp">#REF!</definedName>
    <definedName name="unitariosrs">#REF!</definedName>
    <definedName name="us">#REF!</definedName>
    <definedName name="Usuarios" localSheetId="15">'[185]Datos de Entrada'!$D$13</definedName>
    <definedName name="Usuarios" localSheetId="6">'[185]Datos de Entrada'!$D$13</definedName>
    <definedName name="Usuarios" localSheetId="9">'[185]Datos de Entrada'!$D$13</definedName>
    <definedName name="Usuarios" localSheetId="12">'[185]Datos de Entrada'!$D$13</definedName>
    <definedName name="Usuarios">'[186]Datos de Entrada'!$D$13</definedName>
    <definedName name="uti" localSheetId="15">[18]Datos!$D$8</definedName>
    <definedName name="uti" localSheetId="6">[18]Datos!$D$8</definedName>
    <definedName name="uti" localSheetId="9">[18]Datos!$D$8</definedName>
    <definedName name="uti" localSheetId="12">[18]Datos!$D$8</definedName>
    <definedName name="uti" localSheetId="0">[44]Datos!$D$8</definedName>
    <definedName name="uti">[25]Hoja1!$D$8</definedName>
    <definedName name="Utilidades">'[98]Resumen General'!$M$45</definedName>
    <definedName name="Utiliza_Postes_CAC_9m">[59]Proyecto!#REF!</definedName>
    <definedName name="uuu">'[48]#¡REF'!#REF!</definedName>
    <definedName name="UVIMA">'[187]Base Armados'!$A$3:$M$11</definedName>
    <definedName name="V" localSheetId="15">#REF!</definedName>
    <definedName name="V" localSheetId="6">#REF!</definedName>
    <definedName name="V" localSheetId="9">#REF!</definedName>
    <definedName name="V" localSheetId="12">#REF!</definedName>
    <definedName name="V">#REF!</definedName>
    <definedName name="val">#REF!</definedName>
    <definedName name="valaño" localSheetId="15">#REF!</definedName>
    <definedName name="valaño" localSheetId="6">#REF!</definedName>
    <definedName name="valaño" localSheetId="9">#REF!</definedName>
    <definedName name="valaño" localSheetId="12">#REF!</definedName>
    <definedName name="valaño">#REF!</definedName>
    <definedName name="valegread">#REF!</definedName>
    <definedName name="valegrerp">#REF!</definedName>
    <definedName name="valegrers">#REF!</definedName>
    <definedName name="valmes" localSheetId="15">#REF!</definedName>
    <definedName name="valmes" localSheetId="6">#REF!</definedName>
    <definedName name="valmes" localSheetId="9">#REF!</definedName>
    <definedName name="valmes" localSheetId="12">#REF!</definedName>
    <definedName name="valmes">#REF!</definedName>
    <definedName name="VALNUM" localSheetId="15">#REF!</definedName>
    <definedName name="VALNUM" localSheetId="6">#REF!</definedName>
    <definedName name="VALNUM" localSheetId="9">#REF!</definedName>
    <definedName name="VALNUM" localSheetId="12">#REF!</definedName>
    <definedName name="VALNUM">#REF!</definedName>
    <definedName name="VALNUM2" localSheetId="15">#REF!</definedName>
    <definedName name="VALNUM2" localSheetId="6">#REF!</definedName>
    <definedName name="VALNUM2" localSheetId="9">#REF!</definedName>
    <definedName name="VALNUM2" localSheetId="12">#REF!</definedName>
    <definedName name="VALNUM2">#REF!</definedName>
    <definedName name="VALORIZACION">[97]DATOS!$C$1</definedName>
    <definedName name="Valpag" hidden="1">#REF!</definedName>
    <definedName name="VanoIncrementaSección">'[62]DATOS DE CAMPO'!$J$27</definedName>
    <definedName name="Variables" localSheetId="15">#REF!</definedName>
    <definedName name="Variables" localSheetId="6">#REF!</definedName>
    <definedName name="Variables" localSheetId="9">#REF!</definedName>
    <definedName name="Variables" localSheetId="12">#REF!</definedName>
    <definedName name="Variables">#REF!</definedName>
    <definedName name="Variables_12" localSheetId="15">#REF!</definedName>
    <definedName name="Variables_12" localSheetId="6">#REF!</definedName>
    <definedName name="Variables_12" localSheetId="9">#REF!</definedName>
    <definedName name="Variables_12" localSheetId="12">#REF!</definedName>
    <definedName name="Variables_12">#REF!</definedName>
    <definedName name="Variables_20" localSheetId="15">#REF!</definedName>
    <definedName name="Variables_20" localSheetId="6">#REF!</definedName>
    <definedName name="Variables_20" localSheetId="9">#REF!</definedName>
    <definedName name="Variables_20" localSheetId="12">#REF!</definedName>
    <definedName name="Variables_20">#REF!</definedName>
    <definedName name="Variables_21" localSheetId="15">#REF!</definedName>
    <definedName name="Variables_21" localSheetId="6">#REF!</definedName>
    <definedName name="Variables_21" localSheetId="9">#REF!</definedName>
    <definedName name="Variables_21" localSheetId="12">#REF!</definedName>
    <definedName name="Variables_21">#REF!</definedName>
    <definedName name="variables1" localSheetId="15">#REF!</definedName>
    <definedName name="variables1" localSheetId="6">#REF!</definedName>
    <definedName name="variables1" localSheetId="9">#REF!</definedName>
    <definedName name="variables1" localSheetId="12">#REF!</definedName>
    <definedName name="variables1">#REF!</definedName>
    <definedName name="VBCD" localSheetId="15">#REF!</definedName>
    <definedName name="VBCD" localSheetId="6">#REF!</definedName>
    <definedName name="VBCD" localSheetId="9">#REF!</definedName>
    <definedName name="VBCD" localSheetId="12">#REF!</definedName>
    <definedName name="VBCD">#REF!</definedName>
    <definedName name="VBLP" localSheetId="15">#REF!</definedName>
    <definedName name="VBLP" localSheetId="6">#REF!</definedName>
    <definedName name="VBLP" localSheetId="9">#REF!</definedName>
    <definedName name="VBLP" localSheetId="12">#REF!</definedName>
    <definedName name="VBLP">#REF!</definedName>
    <definedName name="VBRP" localSheetId="15">#REF!</definedName>
    <definedName name="VBRP" localSheetId="6">#REF!</definedName>
    <definedName name="VBRP" localSheetId="9">#REF!</definedName>
    <definedName name="VBRP" localSheetId="12">#REF!</definedName>
    <definedName name="VBRP">#REF!</definedName>
    <definedName name="VBRS" localSheetId="15">#REF!</definedName>
    <definedName name="VBRS" localSheetId="6">#REF!</definedName>
    <definedName name="VBRS" localSheetId="9">#REF!</definedName>
    <definedName name="VBRS" localSheetId="12">#REF!</definedName>
    <definedName name="VBRS">'[188]R LP'!#REF!</definedName>
    <definedName name="VBSE" localSheetId="15">#REF!</definedName>
    <definedName name="VBSE" localSheetId="6">#REF!</definedName>
    <definedName name="VBSE" localSheetId="9">#REF!</definedName>
    <definedName name="VBSE" localSheetId="12">#REF!</definedName>
    <definedName name="VBSE">#REF!</definedName>
    <definedName name="Vehiculos_de_Transporte" localSheetId="3">[108]Transporte!$R$2:$V$4</definedName>
    <definedName name="Vehiculos_de_Transporte">[109]Transporte!$R$2:$V$4</definedName>
    <definedName name="VEREDA">#REF!</definedName>
    <definedName name="VERTICE2" localSheetId="15">#REF!</definedName>
    <definedName name="VERTICE2" localSheetId="6">#REF!</definedName>
    <definedName name="VERTICE2" localSheetId="9">#REF!</definedName>
    <definedName name="VERTICE2" localSheetId="12">#REF!</definedName>
    <definedName name="VERTICE2">#REF!</definedName>
    <definedName name="VERTICE2_NUEVO" localSheetId="15">#REF!</definedName>
    <definedName name="VERTICE2_NUEVO" localSheetId="6">#REF!</definedName>
    <definedName name="VERTICE2_NUEVO" localSheetId="9">#REF!</definedName>
    <definedName name="VERTICE2_NUEVO" localSheetId="12">#REF!</definedName>
    <definedName name="VERTICE2_NUEVO">#REF!</definedName>
    <definedName name="VIENTO" localSheetId="15">[4]REV3!$A$14</definedName>
    <definedName name="VIENTO" localSheetId="6">[4]REV3!$A$14</definedName>
    <definedName name="VIENTO" localSheetId="9">[4]REV3!$A$14</definedName>
    <definedName name="VIENTO" localSheetId="12">[4]REV3!$A$14</definedName>
    <definedName name="VIENTO">[6]REV3!$A$14</definedName>
    <definedName name="VIENTOS" localSheetId="15">[4]DATOS!$H$3:$K$5</definedName>
    <definedName name="VIENTOS" localSheetId="6">[4]DATOS!$H$3:$K$5</definedName>
    <definedName name="VIENTOS" localSheetId="9">[4]DATOS!$H$3:$K$5</definedName>
    <definedName name="VIENTOS" localSheetId="12">[4]DATOS!$H$3:$K$5</definedName>
    <definedName name="VIENTOS">[6]DATOS!$H$3:$K$5</definedName>
    <definedName name="VLP_01">[189]BDMETRADO_LP!$K$272</definedName>
    <definedName name="VLP_02">[189]BDMETRADO_LP!$M$272</definedName>
    <definedName name="VLP_03">[189]BDMETRADO_LP!$O$272</definedName>
    <definedName name="VLP_10">[189]BDMETRADO_LP!$AC$272</definedName>
    <definedName name="VOL" localSheetId="15">#REF!</definedName>
    <definedName name="VOL" localSheetId="6">#REF!</definedName>
    <definedName name="VOL" localSheetId="9">#REF!</definedName>
    <definedName name="VOL" localSheetId="12">#REF!</definedName>
    <definedName name="VOL">#REF!</definedName>
    <definedName name="VOL_EXC">#REF!</definedName>
    <definedName name="VOL_RYC_CAC">#REF!</definedName>
    <definedName name="VOL_RYC_MAD">#REF!</definedName>
    <definedName name="VOLT" localSheetId="15">#REF!</definedName>
    <definedName name="VOLT" localSheetId="6">#REF!</definedName>
    <definedName name="VOLT" localSheetId="9">#REF!</definedName>
    <definedName name="VOLT" localSheetId="12">#REF!</definedName>
    <definedName name="VOLT">#REF!</definedName>
    <definedName name="VOLUMENES1" localSheetId="15">#REF!</definedName>
    <definedName name="VOLUMENES1" localSheetId="6">#REF!</definedName>
    <definedName name="VOLUMENES1" localSheetId="9">#REF!</definedName>
    <definedName name="VOLUMENES1" localSheetId="12">#REF!</definedName>
    <definedName name="VOLUMENES1">#REF!</definedName>
    <definedName name="VP" localSheetId="15">#REF!</definedName>
    <definedName name="VP" localSheetId="6">#REF!</definedName>
    <definedName name="VP" localSheetId="9">#REF!</definedName>
    <definedName name="VP" localSheetId="12">#REF!</definedName>
    <definedName name="VP">#REF!</definedName>
    <definedName name="VP_12" localSheetId="15">[82]Base!#REF!</definedName>
    <definedName name="VP_12" localSheetId="6">[82]Base!#REF!</definedName>
    <definedName name="VP_12" localSheetId="9">[82]Base!#REF!</definedName>
    <definedName name="VP_12" localSheetId="12">[82]Base!#REF!</definedName>
    <definedName name="VP_12">[82]Base!#REF!</definedName>
    <definedName name="VP_2" localSheetId="15">#REF!</definedName>
    <definedName name="VP_2" localSheetId="6">#REF!</definedName>
    <definedName name="VP_2" localSheetId="9">#REF!</definedName>
    <definedName name="VP_2" localSheetId="12">#REF!</definedName>
    <definedName name="VP_2">#REF!</definedName>
    <definedName name="VP_20" localSheetId="15">#REF!</definedName>
    <definedName name="VP_20" localSheetId="6">#REF!</definedName>
    <definedName name="VP_20" localSheetId="9">#REF!</definedName>
    <definedName name="VP_20" localSheetId="12">#REF!</definedName>
    <definedName name="VP_20">#REF!</definedName>
    <definedName name="VP_21" localSheetId="15">[82]Base!#REF!</definedName>
    <definedName name="VP_21" localSheetId="6">[82]Base!#REF!</definedName>
    <definedName name="VP_21" localSheetId="9">[82]Base!#REF!</definedName>
    <definedName name="VP_21" localSheetId="12">[82]Base!#REF!</definedName>
    <definedName name="VP_21">[82]Base!#REF!</definedName>
    <definedName name="VP_25" localSheetId="15">[83]ENTR_F!#REF!</definedName>
    <definedName name="VP_25" localSheetId="6">[83]ENTR_F!#REF!</definedName>
    <definedName name="VP_25" localSheetId="9">[83]ENTR_F!#REF!</definedName>
    <definedName name="VP_25" localSheetId="12">[83]ENTR_F!#REF!</definedName>
    <definedName name="VP_25">[84]ENTR_F!#REF!</definedName>
    <definedName name="VP_3" localSheetId="15">#REF!</definedName>
    <definedName name="VP_3" localSheetId="6">#REF!</definedName>
    <definedName name="VP_3" localSheetId="9">#REF!</definedName>
    <definedName name="VP_3" localSheetId="12">#REF!</definedName>
    <definedName name="VP_3">#REF!</definedName>
    <definedName name="VP_4" localSheetId="15">'[85]Identificación Cargas _Anexo 4_'!#REF!</definedName>
    <definedName name="VP_4" localSheetId="6">'[85]Identificación Cargas _Anexo 4_'!#REF!</definedName>
    <definedName name="VP_4" localSheetId="9">'[85]Identificación Cargas _Anexo 4_'!#REF!</definedName>
    <definedName name="VP_4" localSheetId="12">'[85]Identificación Cargas _Anexo 4_'!#REF!</definedName>
    <definedName name="VP_4">'[85]Identificación Cargas _Anexo 4_'!#REF!</definedName>
    <definedName name="VP_7" localSheetId="15">'[83]3_1'!#REF!</definedName>
    <definedName name="VP_7" localSheetId="6">'[83]3_1'!#REF!</definedName>
    <definedName name="VP_7" localSheetId="9">'[83]3_1'!#REF!</definedName>
    <definedName name="VP_7" localSheetId="12">'[83]3_1'!#REF!</definedName>
    <definedName name="VP_7">'[84]3_1'!#REF!</definedName>
    <definedName name="VP_8" localSheetId="15">#REF!</definedName>
    <definedName name="VP_8" localSheetId="6">#REF!</definedName>
    <definedName name="VP_8" localSheetId="9">#REF!</definedName>
    <definedName name="VP_8" localSheetId="12">#REF!</definedName>
    <definedName name="VP_8">#REF!</definedName>
    <definedName name="VPL_04">[189]BDMETRADO_LP!$Q$272</definedName>
    <definedName name="VRP_01">[189]BDMETRADO_RP!$K$202</definedName>
    <definedName name="VRP_02">[189]BDMETRADO_RP!$M$202</definedName>
    <definedName name="VRP_03">[189]BDMETRADO_RP!$O$202</definedName>
    <definedName name="VRP_04">[189]BDMETRADO_RP!$Q$202</definedName>
    <definedName name="VRP_10">[189]BDMETRADO_RP!$AC$202</definedName>
    <definedName name="VRPMES">#REF!</definedName>
    <definedName name="VRS_01">[189]BDMETRADO_RS!$K$215</definedName>
    <definedName name="VRS_02">[189]BDMETRADO_RS!$M$215</definedName>
    <definedName name="VRS_03">[189]BDMETRADO_RS!$O$215</definedName>
    <definedName name="VRS_04">[189]BDMETRADO_RS!$Q$215</definedName>
    <definedName name="VRS_10">[189]BDMETRADO_RS!$AC$215</definedName>
    <definedName name="VRSMES">#REF!</definedName>
    <definedName name="vu111_3" localSheetId="15">#REF!</definedName>
    <definedName name="vu111_3" localSheetId="6">#REF!</definedName>
    <definedName name="vu111_3" localSheetId="9">#REF!</definedName>
    <definedName name="vu111_3" localSheetId="12">#REF!</definedName>
    <definedName name="vu111_3">#REF!</definedName>
    <definedName name="VV_ACUM" localSheetId="15">#REF!</definedName>
    <definedName name="VV_ACUM" localSheetId="6">#REF!</definedName>
    <definedName name="VV_ACUM" localSheetId="9">#REF!</definedName>
    <definedName name="VV_ACUM" localSheetId="12">#REF!</definedName>
    <definedName name="VV_ACUM">#REF!</definedName>
    <definedName name="VV_COTA" localSheetId="15">#REF!</definedName>
    <definedName name="VV_COTA" localSheetId="6">#REF!</definedName>
    <definedName name="VV_COTA" localSheetId="9">#REF!</definedName>
    <definedName name="VV_COTA" localSheetId="12">#REF!</definedName>
    <definedName name="VV_COTA">#REF!</definedName>
    <definedName name="W" hidden="1">#REF!</definedName>
    <definedName name="WAL" localSheetId="15">'[66]#¡REF'!#REF!</definedName>
    <definedName name="WAL" localSheetId="6">'[66]#¡REF'!#REF!</definedName>
    <definedName name="WAL" localSheetId="9">'[66]#¡REF'!#REF!</definedName>
    <definedName name="WAL" localSheetId="12">'[66]#¡REF'!#REF!</definedName>
    <definedName name="wal" localSheetId="0">'[58]#¡REF'!#REF!</definedName>
    <definedName name="WAL">'[67]#¡REF'!#REF!</definedName>
    <definedName name="WALTER" localSheetId="15">'[66]#¡REF'!#REF!</definedName>
    <definedName name="WALTER" localSheetId="6">'[66]#¡REF'!#REF!</definedName>
    <definedName name="WALTER" localSheetId="9">'[66]#¡REF'!#REF!</definedName>
    <definedName name="WALTER" localSheetId="12">'[66]#¡REF'!#REF!</definedName>
    <definedName name="WALTER">'[67]#¡REF'!#REF!</definedName>
    <definedName name="WatiosAP">[59]Proyecto!#REF!</definedName>
    <definedName name="WC" localSheetId="15">[4]REV3!$D$7</definedName>
    <definedName name="WC" localSheetId="6">[4]REV3!$D$7</definedName>
    <definedName name="WC" localSheetId="9">[4]REV3!$D$7</definedName>
    <definedName name="WC" localSheetId="12">[4]REV3!$D$7</definedName>
    <definedName name="WC">[6]REV3!$D$7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'[102]#¡REF'!#REF!</definedName>
    <definedName name="wewe">'[102]#¡REF'!#REF!</definedName>
    <definedName name="wewwer">'[102]#¡REF'!#REF!</definedName>
    <definedName name="Winche">#REF!</definedName>
    <definedName name="wqs" hidden="1">'[165]CAP-120mm2'!$E$9</definedName>
    <definedName name="wrn.Costos_Medios_por_SE." localSheetId="5" hidden="1">{"vista1",#N/A,FALSE,"SE_SICN";"vista2",#N/A,FALSE,"SE_SICN"}</definedName>
    <definedName name="wrn.Costos_Medios_por_SE." localSheetId="8" hidden="1">{"vista1",#N/A,FALSE,"SE_SICN";"vista2",#N/A,FALSE,"SE_SICN"}</definedName>
    <definedName name="wrn.Costos_Medios_por_SE." localSheetId="14" hidden="1">{"vista1",#N/A,FALSE,"SE_SICN";"vista2",#N/A,FALSE,"SE_SICN"}</definedName>
    <definedName name="wrn.Costos_Medios_por_SE." localSheetId="13" hidden="1">{"vista1",#N/A,FALSE,"SE_SICN";"vista2",#N/A,FALSE,"SE_SICN"}</definedName>
    <definedName name="wrn.Costos_Medios_por_SE." localSheetId="4" hidden="1">{"vista1",#N/A,FALSE,"SE_SICN";"vista2",#N/A,FALSE,"SE_SICN"}</definedName>
    <definedName name="wrn.Costos_Medios_por_SE." localSheetId="7" hidden="1">{"vista1",#N/A,FALSE,"SE_SICN";"vista2",#N/A,FALSE,"SE_SICN"}</definedName>
    <definedName name="wrn.Costos_Medios_por_SE." hidden="1">{"vista1",#N/A,FALSE,"SE_SICN";"vista2",#N/A,FALSE,"SE_SICN"}</definedName>
    <definedName name="wrn.Esquema._.Unifilar._.de._.CMP." localSheetId="15" hidden="1">{"vista 1",#N/A,FALSE,"CMP";"vista 2",#N/A,FALSE,"CMP"}</definedName>
    <definedName name="wrn.Esquema._.Unifilar._.de._.CMP." localSheetId="6" hidden="1">{"vista 1",#N/A,FALSE,"CMP";"vista 2",#N/A,FALSE,"CMP"}</definedName>
    <definedName name="wrn.Esquema._.Unifilar._.de._.CMP." localSheetId="9" hidden="1">{"vista 1",#N/A,FALSE,"CMP";"vista 2",#N/A,FALSE,"CMP"}</definedName>
    <definedName name="wrn.Esquema._.Unifilar._.de._.CMP." localSheetId="12" hidden="1">{"vista 1",#N/A,FALSE,"CMP";"vista 2",#N/A,FALSE,"CMP"}</definedName>
    <definedName name="wrn.Esquema._.Unifilar._.de._.CMP." localSheetId="3" hidden="1">{"vista 1",#N/A,FALSE,"CMP";"vista 2",#N/A,FALSE,"CMP"}</definedName>
    <definedName name="wrn.Esquema._.Unifilar._.de._.CMP." localSheetId="5" hidden="1">{"vista 1",#N/A,FALSE,"CMP";"vista 2",#N/A,FALSE,"CMP"}</definedName>
    <definedName name="wrn.Esquema._.Unifilar._.de._.CMP." localSheetId="8" hidden="1">{"vista 1",#N/A,FALSE,"CMP";"vista 2",#N/A,FALSE,"CMP"}</definedName>
    <definedName name="wrn.Esquema._.Unifilar._.de._.CMP." localSheetId="14" hidden="1">{"vista 1",#N/A,FALSE,"CMP";"vista 2",#N/A,FALSE,"CMP"}</definedName>
    <definedName name="wrn.Esquema._.Unifilar._.de._.CMP." localSheetId="13" hidden="1">{"vista 1",#N/A,FALSE,"CMP";"vista 2",#N/A,FALSE,"CMP"}</definedName>
    <definedName name="wrn.Esquema._.Unifilar._.de._.CMP." localSheetId="4" hidden="1">{"vista 1",#N/A,FALSE,"CMP";"vista 2",#N/A,FALSE,"CMP"}</definedName>
    <definedName name="wrn.Esquema._.Unifilar._.de._.CMP." localSheetId="7" hidden="1">{"vista 1",#N/A,FALSE,"CMP";"vista 2",#N/A,FALSE,"CMP"}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INCASA." localSheetId="15" hidden="1">{#N/A,#N/A,FALSE,"Inca"}</definedName>
    <definedName name="wrn.INCASA." localSheetId="6" hidden="1">{#N/A,#N/A,FALSE,"Inca"}</definedName>
    <definedName name="wrn.INCASA." localSheetId="9" hidden="1">{#N/A,#N/A,FALSE,"Inca"}</definedName>
    <definedName name="wrn.INCASA." localSheetId="12" hidden="1">{#N/A,#N/A,FALSE,"Inca"}</definedName>
    <definedName name="wrn.INCASA." localSheetId="3" hidden="1">{#N/A,#N/A,FALSE,"Inca"}</definedName>
    <definedName name="wrn.INCASA." localSheetId="5" hidden="1">{#N/A,#N/A,FALSE,"Inca"}</definedName>
    <definedName name="wrn.INCASA." localSheetId="8" hidden="1">{#N/A,#N/A,FALSE,"Inca"}</definedName>
    <definedName name="wrn.INCASA." localSheetId="14" hidden="1">{#N/A,#N/A,FALSE,"Inca"}</definedName>
    <definedName name="wrn.INCASA." localSheetId="13" hidden="1">{#N/A,#N/A,FALSE,"Inca"}</definedName>
    <definedName name="wrn.INCASA." localSheetId="4" hidden="1">{#N/A,#N/A,FALSE,"Inca"}</definedName>
    <definedName name="wrn.INCASA." localSheetId="7" hidden="1">{#N/A,#N/A,FALSE,"Inca"}</definedName>
    <definedName name="wrn.INCASA." localSheetId="0" hidden="1">{#N/A,#N/A,FALSE,"Inca"}</definedName>
    <definedName name="wrn.INCASA." hidden="1">{#N/A,#N/A,FALSE,"Inca"}</definedName>
    <definedName name="wrn.Lineas_SST." localSheetId="5" hidden="1">{"vista1",#N/A,FALSE,"Lineas_SST";"vista2",#N/A,FALSE,"Lineas_SST"}</definedName>
    <definedName name="wrn.Lineas_SST." localSheetId="8" hidden="1">{"vista1",#N/A,FALSE,"Lineas_SST";"vista2",#N/A,FALSE,"Lineas_SST"}</definedName>
    <definedName name="wrn.Lineas_SST." localSheetId="14" hidden="1">{"vista1",#N/A,FALSE,"Lineas_SST";"vista2",#N/A,FALSE,"Lineas_SST"}</definedName>
    <definedName name="wrn.Lineas_SST." localSheetId="13" hidden="1">{"vista1",#N/A,FALSE,"Lineas_SST";"vista2",#N/A,FALSE,"Lineas_SST"}</definedName>
    <definedName name="wrn.Lineas_SST." localSheetId="4" hidden="1">{"vista1",#N/A,FALSE,"Lineas_SST";"vista2",#N/A,FALSE,"Lineas_SST"}</definedName>
    <definedName name="wrn.Lineas_SST." localSheetId="7" hidden="1">{"vista1",#N/A,FALSE,"Lineas_SST";"vista2",#N/A,FALSE,"Lineas_SST"}</definedName>
    <definedName name="wrn.Lineas_SST." hidden="1">{"vista1",#N/A,FALSE,"Lineas_SST";"vista2",#N/A,FALSE,"Lineas_SST"}</definedName>
    <definedName name="wrn.precios.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5" hidden="1">{"vista1",#N/A,FALSE,"SE_Resumen";"vista2",#N/A,FALSE,"SE_Resumen";"vista3",#N/A,FALSE,"SE_Resumen";"vista4",#N/A,FALSE,"SE_Resumen";"vista5",#N/A,FALSE,"SE_Resumen";"vista6",#N/A,FALSE,"SE_Resumen"}</definedName>
    <definedName name="wrn.Resumen_Costos_SE." localSheetId="8" hidden="1">{"vista1",#N/A,FALSE,"SE_Resumen";"vista2",#N/A,FALSE,"SE_Resumen";"vista3",#N/A,FALSE,"SE_Resumen";"vista4",#N/A,FALSE,"SE_Resumen";"vista5",#N/A,FALSE,"SE_Resumen";"vista6",#N/A,FALSE,"SE_Resumen"}</definedName>
    <definedName name="wrn.Resumen_Costos_SE." localSheetId="14" hidden="1">{"vista1",#N/A,FALSE,"SE_Resumen";"vista2",#N/A,FALSE,"SE_Resumen";"vista3",#N/A,FALSE,"SE_Resumen";"vista4",#N/A,FALSE,"SE_Resumen";"vista5",#N/A,FALSE,"SE_Resumen";"vista6",#N/A,FALSE,"SE_Resumen"}</definedName>
    <definedName name="wrn.Resumen_Costos_SE." localSheetId="13" hidden="1">{"vista1",#N/A,FALSE,"SE_Resumen";"vista2",#N/A,FALSE,"SE_Resumen";"vista3",#N/A,FALSE,"SE_Resumen";"vista4",#N/A,FALSE,"SE_Resumen";"vista5",#N/A,FALSE,"SE_Resumen";"vista6",#N/A,FALSE,"SE_Resumen"}</definedName>
    <definedName name="wrn.Resumen_Costos_SE." localSheetId="4" hidden="1">{"vista1",#N/A,FALSE,"SE_Resumen";"vista2",#N/A,FALSE,"SE_Resumen";"vista3",#N/A,FALSE,"SE_Resumen";"vista4",#N/A,FALSE,"SE_Resumen";"vista5",#N/A,FALSE,"SE_Resumen";"vista6",#N/A,FALSE,"SE_Resumen"}</definedName>
    <definedName name="wrn.Resumen_Costos_SE." localSheetId="7" hidden="1">{"vista1",#N/A,FALSE,"SE_Resumen";"vista2",#N/A,FALSE,"SE_Resumen";"vista3",#N/A,FALSE,"SE_Resumen";"vista4",#N/A,FALSE,"SE_Resumen";"vista5",#N/A,FALSE,"SE_Resumen";"vista6",#N/A,FALSE,"SE_Resumen"}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5" hidden="1">{"vista1",#N/A,FALSE,"SE_Chavarria";"vista2",#N/A,FALSE,"SE_Chavarria";"vista3",#N/A,FALSE,"SE_Chavarria";"vista4",#N/A,FALSE,"SE_Chavarria"}</definedName>
    <definedName name="wrn.SE_Chavarria." localSheetId="8" hidden="1">{"vista1",#N/A,FALSE,"SE_Chavarria";"vista2",#N/A,FALSE,"SE_Chavarria";"vista3",#N/A,FALSE,"SE_Chavarria";"vista4",#N/A,FALSE,"SE_Chavarria"}</definedName>
    <definedName name="wrn.SE_Chavarria." localSheetId="14" hidden="1">{"vista1",#N/A,FALSE,"SE_Chavarria";"vista2",#N/A,FALSE,"SE_Chavarria";"vista3",#N/A,FALSE,"SE_Chavarria";"vista4",#N/A,FALSE,"SE_Chavarria"}</definedName>
    <definedName name="wrn.SE_Chavarria." localSheetId="13" hidden="1">{"vista1",#N/A,FALSE,"SE_Chavarria";"vista2",#N/A,FALSE,"SE_Chavarria";"vista3",#N/A,FALSE,"SE_Chavarria";"vista4",#N/A,FALSE,"SE_Chavarria"}</definedName>
    <definedName name="wrn.SE_Chavarria." localSheetId="4" hidden="1">{"vista1",#N/A,FALSE,"SE_Chavarria";"vista2",#N/A,FALSE,"SE_Chavarria";"vista3",#N/A,FALSE,"SE_Chavarria";"vista4",#N/A,FALSE,"SE_Chavarria"}</definedName>
    <definedName name="wrn.SE_Chavarria." localSheetId="7" hidden="1">{"vista1",#N/A,FALSE,"SE_Chavarria";"vista2",#N/A,FALSE,"SE_Chavarria";"vista3",#N/A,FALSE,"SE_Chavarria";"vista4",#N/A,FALSE,"SE_Chavarria"}</definedName>
    <definedName name="wrn.SE_Chavarria." hidden="1">{"vista1",#N/A,FALSE,"SE_Chavarria";"vista2",#N/A,FALSE,"SE_Chavarria";"vista3",#N/A,FALSE,"SE_Chavarria";"vista4",#N/A,FALSE,"SE_Chavarria"}</definedName>
    <definedName name="wrn.SE_Chiclayo_Oeste." localSheetId="5" hidden="1">{"vista1",#N/A,FALSE,"SE_Chiclayo_Oeste";"vista2",#N/A,FALSE,"SE_Chiclayo_Oeste";"vista3",#N/A,FALSE,"SE_Chiclayo_Oeste"}</definedName>
    <definedName name="wrn.SE_Chiclayo_Oeste." localSheetId="8" hidden="1">{"vista1",#N/A,FALSE,"SE_Chiclayo_Oeste";"vista2",#N/A,FALSE,"SE_Chiclayo_Oeste";"vista3",#N/A,FALSE,"SE_Chiclayo_Oeste"}</definedName>
    <definedName name="wrn.SE_Chiclayo_Oeste." localSheetId="14" hidden="1">{"vista1",#N/A,FALSE,"SE_Chiclayo_Oeste";"vista2",#N/A,FALSE,"SE_Chiclayo_Oeste";"vista3",#N/A,FALSE,"SE_Chiclayo_Oeste"}</definedName>
    <definedName name="wrn.SE_Chiclayo_Oeste." localSheetId="13" hidden="1">{"vista1",#N/A,FALSE,"SE_Chiclayo_Oeste";"vista2",#N/A,FALSE,"SE_Chiclayo_Oeste";"vista3",#N/A,FALSE,"SE_Chiclayo_Oeste"}</definedName>
    <definedName name="wrn.SE_Chiclayo_Oeste." localSheetId="4" hidden="1">{"vista1",#N/A,FALSE,"SE_Chiclayo_Oeste";"vista2",#N/A,FALSE,"SE_Chiclayo_Oeste";"vista3",#N/A,FALSE,"SE_Chiclayo_Oeste"}</definedName>
    <definedName name="wrn.SE_Chiclayo_Oeste." localSheetId="7" hidden="1">{"vista1",#N/A,FALSE,"SE_Chiclayo_Oeste";"vista2",#N/A,FALSE,"SE_Chiclayo_Oeste";"vista3",#N/A,FALSE,"SE_Chiclayo_Oeste"}</definedName>
    <definedName name="wrn.SE_Chiclayo_Oeste." hidden="1">{"vista1",#N/A,FALSE,"SE_Chiclayo_Oeste";"vista2",#N/A,FALSE,"SE_Chiclayo_Oeste";"vista3",#N/A,FALSE,"SE_Chiclayo_Oeste"}</definedName>
    <definedName name="wrn.SE_Chimbote1." localSheetId="5" hidden="1">{"vista1",#N/A,FALSE,"SE_Chimbote1";"vista2",#N/A,FALSE,"SE_Chimbote1";"vista3",#N/A,FALSE,"SE_Chimbote1";"vista4",#N/A,FALSE,"SE_Chimbote1";"vista5",#N/A,FALSE,"SE_Chimbote1"}</definedName>
    <definedName name="wrn.SE_Chimbote1." localSheetId="8" hidden="1">{"vista1",#N/A,FALSE,"SE_Chimbote1";"vista2",#N/A,FALSE,"SE_Chimbote1";"vista3",#N/A,FALSE,"SE_Chimbote1";"vista4",#N/A,FALSE,"SE_Chimbote1";"vista5",#N/A,FALSE,"SE_Chimbote1"}</definedName>
    <definedName name="wrn.SE_Chimbote1." localSheetId="14" hidden="1">{"vista1",#N/A,FALSE,"SE_Chimbote1";"vista2",#N/A,FALSE,"SE_Chimbote1";"vista3",#N/A,FALSE,"SE_Chimbote1";"vista4",#N/A,FALSE,"SE_Chimbote1";"vista5",#N/A,FALSE,"SE_Chimbote1"}</definedName>
    <definedName name="wrn.SE_Chimbote1." localSheetId="13" hidden="1">{"vista1",#N/A,FALSE,"SE_Chimbote1";"vista2",#N/A,FALSE,"SE_Chimbote1";"vista3",#N/A,FALSE,"SE_Chimbote1";"vista4",#N/A,FALSE,"SE_Chimbote1";"vista5",#N/A,FALSE,"SE_Chimbote1"}</definedName>
    <definedName name="wrn.SE_Chimbote1." localSheetId="4" hidden="1">{"vista1",#N/A,FALSE,"SE_Chimbote1";"vista2",#N/A,FALSE,"SE_Chimbote1";"vista3",#N/A,FALSE,"SE_Chimbote1";"vista4",#N/A,FALSE,"SE_Chimbote1";"vista5",#N/A,FALSE,"SE_Chimbote1"}</definedName>
    <definedName name="wrn.SE_Chimbote1." localSheetId="7" hidden="1">{"vista1",#N/A,FALSE,"SE_Chimbote1";"vista2",#N/A,FALSE,"SE_Chimbote1";"vista3",#N/A,FALSE,"SE_Chimbote1";"vista4",#N/A,FALSE,"SE_Chimbote1";"vista5",#N/A,FALSE,"SE_Chimbote1"}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localSheetId="5" hidden="1">{"vista1",#N/A,FALSE,"SE_Guadalupe";"vista2",#N/A,FALSE,"SE_Guadalupe";"vista3",#N/A,FALSE,"SE_Guadalupe"}</definedName>
    <definedName name="wrn.SE_Guadalupe." localSheetId="8" hidden="1">{"vista1",#N/A,FALSE,"SE_Guadalupe";"vista2",#N/A,FALSE,"SE_Guadalupe";"vista3",#N/A,FALSE,"SE_Guadalupe"}</definedName>
    <definedName name="wrn.SE_Guadalupe." localSheetId="14" hidden="1">{"vista1",#N/A,FALSE,"SE_Guadalupe";"vista2",#N/A,FALSE,"SE_Guadalupe";"vista3",#N/A,FALSE,"SE_Guadalupe"}</definedName>
    <definedName name="wrn.SE_Guadalupe." localSheetId="13" hidden="1">{"vista1",#N/A,FALSE,"SE_Guadalupe";"vista2",#N/A,FALSE,"SE_Guadalupe";"vista3",#N/A,FALSE,"SE_Guadalupe"}</definedName>
    <definedName name="wrn.SE_Guadalupe." localSheetId="4" hidden="1">{"vista1",#N/A,FALSE,"SE_Guadalupe";"vista2",#N/A,FALSE,"SE_Guadalupe";"vista3",#N/A,FALSE,"SE_Guadalupe"}</definedName>
    <definedName name="wrn.SE_Guadalupe." localSheetId="7" hidden="1">{"vista1",#N/A,FALSE,"SE_Guadalupe";"vista2",#N/A,FALSE,"SE_Guadalupe";"vista3",#N/A,FALSE,"SE_Guadalupe"}</definedName>
    <definedName name="wrn.SE_Guadalupe." hidden="1">{"vista1",#N/A,FALSE,"SE_Guadalupe";"vista2",#N/A,FALSE,"SE_Guadalupe";"vista3",#N/A,FALSE,"SE_Guadalupe"}</definedName>
    <definedName name="wrn.SE_Ica." localSheetId="5" hidden="1">{"vista1",#N/A,FALSE,"SE_Ica";"vista2",#N/A,FALSE,"SE_Ica";"vista3",#N/A,FALSE,"SE_Ica"}</definedName>
    <definedName name="wrn.SE_Ica." localSheetId="8" hidden="1">{"vista1",#N/A,FALSE,"SE_Ica";"vista2",#N/A,FALSE,"SE_Ica";"vista3",#N/A,FALSE,"SE_Ica"}</definedName>
    <definedName name="wrn.SE_Ica." localSheetId="14" hidden="1">{"vista1",#N/A,FALSE,"SE_Ica";"vista2",#N/A,FALSE,"SE_Ica";"vista3",#N/A,FALSE,"SE_Ica"}</definedName>
    <definedName name="wrn.SE_Ica." localSheetId="13" hidden="1">{"vista1",#N/A,FALSE,"SE_Ica";"vista2",#N/A,FALSE,"SE_Ica";"vista3",#N/A,FALSE,"SE_Ica"}</definedName>
    <definedName name="wrn.SE_Ica." localSheetId="4" hidden="1">{"vista1",#N/A,FALSE,"SE_Ica";"vista2",#N/A,FALSE,"SE_Ica";"vista3",#N/A,FALSE,"SE_Ica"}</definedName>
    <definedName name="wrn.SE_Ica." localSheetId="7" hidden="1">{"vista1",#N/A,FALSE,"SE_Ica";"vista2",#N/A,FALSE,"SE_Ica";"vista3",#N/A,FALSE,"SE_Ica"}</definedName>
    <definedName name="wrn.SE_Ica." hidden="1">{"vista1",#N/A,FALSE,"SE_Ica";"vista2",#N/A,FALSE,"SE_Ica";"vista3",#N/A,FALSE,"SE_Ica"}</definedName>
    <definedName name="wrn.SE_Independencia." localSheetId="5" hidden="1">{"vista1",#N/A,FALSE,"SE_Independencia";"vista2",#N/A,FALSE,"SE_Independencia";"vista3",#N/A,FALSE,"SE_Independencia"}</definedName>
    <definedName name="wrn.SE_Independencia." localSheetId="8" hidden="1">{"vista1",#N/A,FALSE,"SE_Independencia";"vista2",#N/A,FALSE,"SE_Independencia";"vista3",#N/A,FALSE,"SE_Independencia"}</definedName>
    <definedName name="wrn.SE_Independencia." localSheetId="14" hidden="1">{"vista1",#N/A,FALSE,"SE_Independencia";"vista2",#N/A,FALSE,"SE_Independencia";"vista3",#N/A,FALSE,"SE_Independencia"}</definedName>
    <definedName name="wrn.SE_Independencia." localSheetId="13" hidden="1">{"vista1",#N/A,FALSE,"SE_Independencia";"vista2",#N/A,FALSE,"SE_Independencia";"vista3",#N/A,FALSE,"SE_Independencia"}</definedName>
    <definedName name="wrn.SE_Independencia." localSheetId="4" hidden="1">{"vista1",#N/A,FALSE,"SE_Independencia";"vista2",#N/A,FALSE,"SE_Independencia";"vista3",#N/A,FALSE,"SE_Independencia"}</definedName>
    <definedName name="wrn.SE_Independencia." localSheetId="7" hidden="1">{"vista1",#N/A,FALSE,"SE_Independencia";"vista2",#N/A,FALSE,"SE_Independencia";"vista3",#N/A,FALSE,"SE_Independencia"}</definedName>
    <definedName name="wrn.SE_Independencia." hidden="1">{"vista1",#N/A,FALSE,"SE_Independencia";"vista2",#N/A,FALSE,"SE_Independencia";"vista3",#N/A,FALSE,"SE_Independencia"}</definedName>
    <definedName name="wrn.SE_Marcona." localSheetId="5" hidden="1">{"vista1",#N/A,FALSE,"SE_Marcona"}</definedName>
    <definedName name="wrn.SE_Marcona." localSheetId="8" hidden="1">{"vista1",#N/A,FALSE,"SE_Marcona"}</definedName>
    <definedName name="wrn.SE_Marcona." localSheetId="14" hidden="1">{"vista1",#N/A,FALSE,"SE_Marcona"}</definedName>
    <definedName name="wrn.SE_Marcona." localSheetId="13" hidden="1">{"vista1",#N/A,FALSE,"SE_Marcona"}</definedName>
    <definedName name="wrn.SE_Marcona." localSheetId="4" hidden="1">{"vista1",#N/A,FALSE,"SE_Marcona"}</definedName>
    <definedName name="wrn.SE_Marcona." localSheetId="7" hidden="1">{"vista1",#N/A,FALSE,"SE_Marcona"}</definedName>
    <definedName name="wrn.SE_Marcona." hidden="1">{"vista1",#N/A,FALSE,"SE_Marcona"}</definedName>
    <definedName name="wrn.SE_Paramonga_Nueva." localSheetId="5" hidden="1">{"vista1",#N/A,FALSE,"SE_Paramonga_Nueva";"vista2",#N/A,FALSE,"SE_Paramonga_Nueva";"vista3",#N/A,FALSE,"SE_Paramonga_Nueva"}</definedName>
    <definedName name="wrn.SE_Paramonga_Nueva." localSheetId="8" hidden="1">{"vista1",#N/A,FALSE,"SE_Paramonga_Nueva";"vista2",#N/A,FALSE,"SE_Paramonga_Nueva";"vista3",#N/A,FALSE,"SE_Paramonga_Nueva"}</definedName>
    <definedName name="wrn.SE_Paramonga_Nueva." localSheetId="14" hidden="1">{"vista1",#N/A,FALSE,"SE_Paramonga_Nueva";"vista2",#N/A,FALSE,"SE_Paramonga_Nueva";"vista3",#N/A,FALSE,"SE_Paramonga_Nueva"}</definedName>
    <definedName name="wrn.SE_Paramonga_Nueva." localSheetId="13" hidden="1">{"vista1",#N/A,FALSE,"SE_Paramonga_Nueva";"vista2",#N/A,FALSE,"SE_Paramonga_Nueva";"vista3",#N/A,FALSE,"SE_Paramonga_Nueva"}</definedName>
    <definedName name="wrn.SE_Paramonga_Nueva." localSheetId="4" hidden="1">{"vista1",#N/A,FALSE,"SE_Paramonga_Nueva";"vista2",#N/A,FALSE,"SE_Paramonga_Nueva";"vista3",#N/A,FALSE,"SE_Paramonga_Nueva"}</definedName>
    <definedName name="wrn.SE_Paramonga_Nueva." localSheetId="7" hidden="1">{"vista1",#N/A,FALSE,"SE_Paramonga_Nueva";"vista2",#N/A,FALSE,"SE_Paramonga_Nueva";"vista3",#N/A,FALSE,"SE_Paramonga_Nueva"}</definedName>
    <definedName name="wrn.SE_Paramonga_Nueva." hidden="1">{"vista1",#N/A,FALSE,"SE_Paramonga_Nueva";"vista2",#N/A,FALSE,"SE_Paramonga_Nueva";"vista3",#N/A,FALSE,"SE_Paramonga_Nueva"}</definedName>
    <definedName name="wrn.SE_Piura_Oeste." localSheetId="5" hidden="1">{"vista1",#N/A,FALSE,"SE_Piura_Oeste";"vista2",#N/A,FALSE,"SE_Piura_Oeste";"vista3",#N/A,FALSE,"SE_Piura_Oeste";"vista4",#N/A,FALSE,"SE_Piura_Oeste";"vista5",#N/A,FALSE,"SE_Piura_Oeste"}</definedName>
    <definedName name="wrn.SE_Piura_Oeste." localSheetId="8" hidden="1">{"vista1",#N/A,FALSE,"SE_Piura_Oeste";"vista2",#N/A,FALSE,"SE_Piura_Oeste";"vista3",#N/A,FALSE,"SE_Piura_Oeste";"vista4",#N/A,FALSE,"SE_Piura_Oeste";"vista5",#N/A,FALSE,"SE_Piura_Oeste"}</definedName>
    <definedName name="wrn.SE_Piura_Oeste." localSheetId="14" hidden="1">{"vista1",#N/A,FALSE,"SE_Piura_Oeste";"vista2",#N/A,FALSE,"SE_Piura_Oeste";"vista3",#N/A,FALSE,"SE_Piura_Oeste";"vista4",#N/A,FALSE,"SE_Piura_Oeste";"vista5",#N/A,FALSE,"SE_Piura_Oeste"}</definedName>
    <definedName name="wrn.SE_Piura_Oeste." localSheetId="13" hidden="1">{"vista1",#N/A,FALSE,"SE_Piura_Oeste";"vista2",#N/A,FALSE,"SE_Piura_Oeste";"vista3",#N/A,FALSE,"SE_Piura_Oeste";"vista4",#N/A,FALSE,"SE_Piura_Oeste";"vista5",#N/A,FALSE,"SE_Piura_Oeste"}</definedName>
    <definedName name="wrn.SE_Piura_Oeste." localSheetId="4" hidden="1">{"vista1",#N/A,FALSE,"SE_Piura_Oeste";"vista2",#N/A,FALSE,"SE_Piura_Oeste";"vista3",#N/A,FALSE,"SE_Piura_Oeste";"vista4",#N/A,FALSE,"SE_Piura_Oeste";"vista5",#N/A,FALSE,"SE_Piura_Oeste"}</definedName>
    <definedName name="wrn.SE_Piura_Oeste." localSheetId="7" hidden="1">{"vista1",#N/A,FALSE,"SE_Piura_Oeste";"vista2",#N/A,FALSE,"SE_Piura_Oeste";"vista3",#N/A,FALSE,"SE_Piura_Oeste";"vista4",#N/A,FALSE,"SE_Piura_Oeste";"vista5",#N/A,FALSE,"SE_Piura_Oeste"}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localSheetId="5" hidden="1">{"vista1",#N/A,FALSE,"SE_San_Juan";"vista2",#N/A,FALSE,"SE_San_Juan"}</definedName>
    <definedName name="wrn.SE_San_Juan." localSheetId="8" hidden="1">{"vista1",#N/A,FALSE,"SE_San_Juan";"vista2",#N/A,FALSE,"SE_San_Juan"}</definedName>
    <definedName name="wrn.SE_San_Juan." localSheetId="14" hidden="1">{"vista1",#N/A,FALSE,"SE_San_Juan";"vista2",#N/A,FALSE,"SE_San_Juan"}</definedName>
    <definedName name="wrn.SE_San_Juan." localSheetId="13" hidden="1">{"vista1",#N/A,FALSE,"SE_San_Juan";"vista2",#N/A,FALSE,"SE_San_Juan"}</definedName>
    <definedName name="wrn.SE_San_Juan." localSheetId="4" hidden="1">{"vista1",#N/A,FALSE,"SE_San_Juan";"vista2",#N/A,FALSE,"SE_San_Juan"}</definedName>
    <definedName name="wrn.SE_San_Juan." localSheetId="7" hidden="1">{"vista1",#N/A,FALSE,"SE_San_Juan";"vista2",#N/A,FALSE,"SE_San_Juan"}</definedName>
    <definedName name="wrn.SE_San_Juan." hidden="1">{"vista1",#N/A,FALSE,"SE_San_Juan";"vista2",#N/A,FALSE,"SE_San_Juan"}</definedName>
    <definedName name="wrn.SE_Santa_Rosa." localSheetId="5" hidden="1">{"vista1",#N/A,FALSE,"SE_Santa_Rosa";"vista2",#N/A,FALSE,"SE_Santa_Rosa";"vista3",#N/A,FALSE,"SE_Santa_Rosa"}</definedName>
    <definedName name="wrn.SE_Santa_Rosa." localSheetId="8" hidden="1">{"vista1",#N/A,FALSE,"SE_Santa_Rosa";"vista2",#N/A,FALSE,"SE_Santa_Rosa";"vista3",#N/A,FALSE,"SE_Santa_Rosa"}</definedName>
    <definedName name="wrn.SE_Santa_Rosa." localSheetId="14" hidden="1">{"vista1",#N/A,FALSE,"SE_Santa_Rosa";"vista2",#N/A,FALSE,"SE_Santa_Rosa";"vista3",#N/A,FALSE,"SE_Santa_Rosa"}</definedName>
    <definedName name="wrn.SE_Santa_Rosa." localSheetId="13" hidden="1">{"vista1",#N/A,FALSE,"SE_Santa_Rosa";"vista2",#N/A,FALSE,"SE_Santa_Rosa";"vista3",#N/A,FALSE,"SE_Santa_Rosa"}</definedName>
    <definedName name="wrn.SE_Santa_Rosa." localSheetId="4" hidden="1">{"vista1",#N/A,FALSE,"SE_Santa_Rosa";"vista2",#N/A,FALSE,"SE_Santa_Rosa";"vista3",#N/A,FALSE,"SE_Santa_Rosa"}</definedName>
    <definedName name="wrn.SE_Santa_Rosa." localSheetId="7" hidden="1">{"vista1",#N/A,FALSE,"SE_Santa_Rosa";"vista2",#N/A,FALSE,"SE_Santa_Rosa";"vista3",#N/A,FALSE,"SE_Santa_Rosa"}</definedName>
    <definedName name="wrn.SE_Santa_Rosa." hidden="1">{"vista1",#N/A,FALSE,"SE_Santa_Rosa";"vista2",#N/A,FALSE,"SE_Santa_Rosa";"vista3",#N/A,FALSE,"SE_Santa_Rosa"}</definedName>
    <definedName name="wrn.SE_Trujillo_Norte." localSheetId="5" hidden="1">{"vista1",#N/A,FALSE,"SE_Trujillo_Norte";"vista2",#N/A,FALSE,"SE_Trujillo_Norte";"vista3",#N/A,FALSE,"SE_Trujillo_Norte";"vista4",#N/A,FALSE,"SE_Trujillo_Norte";"vista5",#N/A,FALSE,"SE_Trujillo_Norte"}</definedName>
    <definedName name="wrn.SE_Trujillo_Norte." localSheetId="8" hidden="1">{"vista1",#N/A,FALSE,"SE_Trujillo_Norte";"vista2",#N/A,FALSE,"SE_Trujillo_Norte";"vista3",#N/A,FALSE,"SE_Trujillo_Norte";"vista4",#N/A,FALSE,"SE_Trujillo_Norte";"vista5",#N/A,FALSE,"SE_Trujillo_Norte"}</definedName>
    <definedName name="wrn.SE_Trujillo_Norte." localSheetId="14" hidden="1">{"vista1",#N/A,FALSE,"SE_Trujillo_Norte";"vista2",#N/A,FALSE,"SE_Trujillo_Norte";"vista3",#N/A,FALSE,"SE_Trujillo_Norte";"vista4",#N/A,FALSE,"SE_Trujillo_Norte";"vista5",#N/A,FALSE,"SE_Trujillo_Norte"}</definedName>
    <definedName name="wrn.SE_Trujillo_Norte." localSheetId="13" hidden="1">{"vista1",#N/A,FALSE,"SE_Trujillo_Norte";"vista2",#N/A,FALSE,"SE_Trujillo_Norte";"vista3",#N/A,FALSE,"SE_Trujillo_Norte";"vista4",#N/A,FALSE,"SE_Trujillo_Norte";"vista5",#N/A,FALSE,"SE_Trujillo_Norte"}</definedName>
    <definedName name="wrn.SE_Trujillo_Norte." localSheetId="4" hidden="1">{"vista1",#N/A,FALSE,"SE_Trujillo_Norte";"vista2",#N/A,FALSE,"SE_Trujillo_Norte";"vista3",#N/A,FALSE,"SE_Trujillo_Norte";"vista4",#N/A,FALSE,"SE_Trujillo_Norte";"vista5",#N/A,FALSE,"SE_Trujillo_Norte"}</definedName>
    <definedName name="wrn.SE_Trujillo_Norte." localSheetId="7" hidden="1">{"vista1",#N/A,FALSE,"SE_Trujillo_Norte";"vista2",#N/A,FALSE,"SE_Trujillo_Norte";"vista3",#N/A,FALSE,"SE_Trujillo_Norte";"vista4",#N/A,FALSE,"SE_Trujillo_Norte";"vista5",#N/A,FALSE,"SE_Trujillo_Norte"}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5" hidden="1">{"vista1",#N/A,FALSE,"SE_Ventanilla"}</definedName>
    <definedName name="wrn.SE_Ventanilla." localSheetId="8" hidden="1">{"vista1",#N/A,FALSE,"SE_Ventanilla"}</definedName>
    <definedName name="wrn.SE_Ventanilla." localSheetId="14" hidden="1">{"vista1",#N/A,FALSE,"SE_Ventanilla"}</definedName>
    <definedName name="wrn.SE_Ventanilla." localSheetId="13" hidden="1">{"vista1",#N/A,FALSE,"SE_Ventanilla"}</definedName>
    <definedName name="wrn.SE_Ventanilla." localSheetId="4" hidden="1">{"vista1",#N/A,FALSE,"SE_Ventanilla"}</definedName>
    <definedName name="wrn.SE_Ventanilla." localSheetId="7" hidden="1">{"vista1",#N/A,FALSE,"SE_Ventanilla"}</definedName>
    <definedName name="wrn.SE_Ventanilla." hidden="1">{"vista1",#N/A,FALSE,"SE_Ventanilla"}</definedName>
    <definedName name="wrn.SE_Zapallal." localSheetId="5" hidden="1">{"vista1",#N/A,FALSE,"SE_Zapallal"}</definedName>
    <definedName name="wrn.SE_Zapallal." localSheetId="8" hidden="1">{"vista1",#N/A,FALSE,"SE_Zapallal"}</definedName>
    <definedName name="wrn.SE_Zapallal." localSheetId="14" hidden="1">{"vista1",#N/A,FALSE,"SE_Zapallal"}</definedName>
    <definedName name="wrn.SE_Zapallal." localSheetId="13" hidden="1">{"vista1",#N/A,FALSE,"SE_Zapallal"}</definedName>
    <definedName name="wrn.SE_Zapallal." localSheetId="4" hidden="1">{"vista1",#N/A,FALSE,"SE_Zapallal"}</definedName>
    <definedName name="wrn.SE_Zapallal." localSheetId="7" hidden="1">{"vista1",#N/A,FALSE,"SE_Zapallal"}</definedName>
    <definedName name="wrn.SE_Zapallal." hidden="1">{"vista1",#N/A,FALSE,"SE_Zapallal"}</definedName>
    <definedName name="wrn.Tarifas." localSheetId="15" hidden="1">{"vista1",#N/A,FALSE,"Tarifas_Teoricas_May_97";"vista2",#N/A,FALSE,"Tarifas_Teoricas_May_97";"vista1",#N/A,FALSE,"Tarifas_Barra_May_97";"vista2",#N/A,FALSE,"Tarifas_Barra_May_97"}</definedName>
    <definedName name="wrn.Tarifas." localSheetId="6" hidden="1">{"vista1",#N/A,FALSE,"Tarifas_Teoricas_May_97";"vista2",#N/A,FALSE,"Tarifas_Teoricas_May_97";"vista1",#N/A,FALSE,"Tarifas_Barra_May_97";"vista2",#N/A,FALSE,"Tarifas_Barra_May_97"}</definedName>
    <definedName name="wrn.Tarifas." localSheetId="9" hidden="1">{"vista1",#N/A,FALSE,"Tarifas_Teoricas_May_97";"vista2",#N/A,FALSE,"Tarifas_Teoricas_May_97";"vista1",#N/A,FALSE,"Tarifas_Barra_May_97";"vista2",#N/A,FALSE,"Tarifas_Barra_May_97"}</definedName>
    <definedName name="wrn.Tarifas." localSheetId="12" hidden="1">{"vista1",#N/A,FALSE,"Tarifas_Teoricas_May_97";"vista2",#N/A,FALSE,"Tarifas_Teoricas_May_97";"vista1",#N/A,FALSE,"Tarifas_Barra_May_97";"vista2",#N/A,FALSE,"Tarifas_Barra_May_97"}</definedName>
    <definedName name="wrn.Tarifas." localSheetId="3" hidden="1">{"vista1",#N/A,FALSE,"Tarifas_Teoricas_May_97";"vista2",#N/A,FALSE,"Tarifas_Teoricas_May_97";"vista1",#N/A,FALSE,"Tarifas_Barra_May_97";"vista2",#N/A,FALSE,"Tarifas_Barra_May_97"}</definedName>
    <definedName name="wrn.Tarifas." localSheetId="5" hidden="1">{"vista1",#N/A,FALSE,"Tarifas_Teoricas_May_97";"vista2",#N/A,FALSE,"Tarifas_Teoricas_May_97";"vista1",#N/A,FALSE,"Tarifas_Barra_May_97";"vista2",#N/A,FALSE,"Tarifas_Barra_May_97"}</definedName>
    <definedName name="wrn.Tarifas." localSheetId="8" hidden="1">{"vista1",#N/A,FALSE,"Tarifas_Teoricas_May_97";"vista2",#N/A,FALSE,"Tarifas_Teoricas_May_97";"vista1",#N/A,FALSE,"Tarifas_Barra_May_97";"vista2",#N/A,FALSE,"Tarifas_Barra_May_97"}</definedName>
    <definedName name="wrn.Tarifas." localSheetId="14" hidden="1">{"vista1",#N/A,FALSE,"Tarifas_Teoricas_May_97";"vista2",#N/A,FALSE,"Tarifas_Teoricas_May_97";"vista1",#N/A,FALSE,"Tarifas_Barra_May_97";"vista2",#N/A,FALSE,"Tarifas_Barra_May_97"}</definedName>
    <definedName name="wrn.Tarifas." localSheetId="13" hidden="1">{"vista1",#N/A,FALSE,"Tarifas_Teoricas_May_97";"vista2",#N/A,FALSE,"Tarifas_Teoricas_May_97";"vista1",#N/A,FALSE,"Tarifas_Barra_May_97";"vista2",#N/A,FALSE,"Tarifas_Barra_May_97"}</definedName>
    <definedName name="wrn.Tarifas." localSheetId="4" hidden="1">{"vista1",#N/A,FALSE,"Tarifas_Teoricas_May_97";"vista2",#N/A,FALSE,"Tarifas_Teoricas_May_97";"vista1",#N/A,FALSE,"Tarifas_Barra_May_97";"vista2",#N/A,FALSE,"Tarifas_Barra_May_97"}</definedName>
    <definedName name="wrn.Tarifas." localSheetId="7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1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6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9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8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7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5" hidden="1">{"vista1",#N/A,FALSE,"Trafos";"vista2",#N/A,FALSE,"Trafos";"vista3",#N/A,FALSE,"Trafos"}</definedName>
    <definedName name="wrn.Trafos_Base_de_Costos." localSheetId="8" hidden="1">{"vista1",#N/A,FALSE,"Trafos";"vista2",#N/A,FALSE,"Trafos";"vista3",#N/A,FALSE,"Trafos"}</definedName>
    <definedName name="wrn.Trafos_Base_de_Costos." localSheetId="14" hidden="1">{"vista1",#N/A,FALSE,"Trafos";"vista2",#N/A,FALSE,"Trafos";"vista3",#N/A,FALSE,"Trafos"}</definedName>
    <definedName name="wrn.Trafos_Base_de_Costos." localSheetId="13" hidden="1">{"vista1",#N/A,FALSE,"Trafos";"vista2",#N/A,FALSE,"Trafos";"vista3",#N/A,FALSE,"Trafos"}</definedName>
    <definedName name="wrn.Trafos_Base_de_Costos." localSheetId="4" hidden="1">{"vista1",#N/A,FALSE,"Trafos";"vista2",#N/A,FALSE,"Trafos";"vista3",#N/A,FALSE,"Trafos"}</definedName>
    <definedName name="wrn.Trafos_Base_de_Costos." localSheetId="7" hidden="1">{"vista1",#N/A,FALSE,"Trafos";"vista2",#N/A,FALSE,"Trafos";"vista3",#N/A,FALSE,"Trafos"}</definedName>
    <definedName name="wrn.Trafos_Base_de_Costos." hidden="1">{"vista1",#N/A,FALSE,"Trafos";"vista2",#N/A,FALSE,"Trafos";"vista3",#N/A,FALSE,"Trafos"}</definedName>
    <definedName name="wrt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WW">'[58]1'!#REF!</definedName>
    <definedName name="wwww">#REF!</definedName>
    <definedName name="X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0" hidden="1">#REF!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 localSheetId="15">#REF!</definedName>
    <definedName name="X_0" localSheetId="6">#REF!</definedName>
    <definedName name="X_0" localSheetId="9">#REF!</definedName>
    <definedName name="X_0" localSheetId="12">#REF!</definedName>
    <definedName name="X_0">'[146]DATOS DE CAMPO'!$U$22</definedName>
    <definedName name="X_1" localSheetId="15">#REF!</definedName>
    <definedName name="X_1" localSheetId="6">#REF!</definedName>
    <definedName name="X_1" localSheetId="9">#REF!</definedName>
    <definedName name="X_1" localSheetId="12">#REF!</definedName>
    <definedName name="X_1">'[146]DATOS DE CAMPO'!$U$23</definedName>
    <definedName name="X_2" localSheetId="15">#REF!</definedName>
    <definedName name="X_2" localSheetId="6">#REF!</definedName>
    <definedName name="X_2" localSheetId="9">#REF!</definedName>
    <definedName name="X_2" localSheetId="12">#REF!</definedName>
    <definedName name="X_2">'[146]DATOS DE CAMPO'!$U$24</definedName>
    <definedName name="X_3" localSheetId="15">#REF!</definedName>
    <definedName name="X_3" localSheetId="6">#REF!</definedName>
    <definedName name="X_3" localSheetId="9">#REF!</definedName>
    <definedName name="X_3" localSheetId="12">#REF!</definedName>
    <definedName name="X_3">'[146]DATOS DE CAMPO'!$U$25</definedName>
    <definedName name="X1_EPGadd">#REF!</definedName>
    <definedName name="XS">'[46]#¡REF'!#REF!</definedName>
    <definedName name="XX" localSheetId="0">'[112]#¡REF'!#REF!</definedName>
    <definedName name="XX">'[34]#¡REF'!#REF!</definedName>
    <definedName name="XXX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15" hidden="1">{"vista 1",#N/A,FALSE,"CMP";"vista 2",#N/A,FALSE,"CMP"}</definedName>
    <definedName name="xxxx" localSheetId="6" hidden="1">{"vista 1",#N/A,FALSE,"CMP";"vista 2",#N/A,FALSE,"CMP"}</definedName>
    <definedName name="xxxx" localSheetId="9" hidden="1">{"vista 1",#N/A,FALSE,"CMP";"vista 2",#N/A,FALSE,"CMP"}</definedName>
    <definedName name="xxxx" localSheetId="12" hidden="1">{"vista 1",#N/A,FALSE,"CMP";"vista 2",#N/A,FALSE,"CMP"}</definedName>
    <definedName name="xxxx" hidden="1">'[118]CAP-120mm2'!$E$9</definedName>
    <definedName name="xxxxx" localSheetId="1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6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9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1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8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1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1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7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[190]REV3!$A$32</definedName>
    <definedName name="y">[25]Hoja1!$A$1:$V$810</definedName>
    <definedName name="Y_C" localSheetId="15">#REF!</definedName>
    <definedName name="Y_C" localSheetId="6">#REF!</definedName>
    <definedName name="Y_C" localSheetId="9">#REF!</definedName>
    <definedName name="Y_C" localSheetId="12">#REF!</definedName>
    <definedName name="Y_C">'[146]DATOS DE CAMPO'!#REF!</definedName>
    <definedName name="Y_D" localSheetId="15">#REF!</definedName>
    <definedName name="Y_D" localSheetId="6">#REF!</definedName>
    <definedName name="Y_D" localSheetId="9">#REF!</definedName>
    <definedName name="Y_D" localSheetId="12">#REF!</definedName>
    <definedName name="Y_D">'[146]DATOS DE CAMPO'!#REF!</definedName>
    <definedName name="Y_MC" localSheetId="15">#REF!</definedName>
    <definedName name="Y_MC" localSheetId="6">#REF!</definedName>
    <definedName name="Y_MC" localSheetId="9">#REF!</definedName>
    <definedName name="Y_MC" localSheetId="12">#REF!</definedName>
    <definedName name="Y_MC">'[146]DATOS DE CAMPO'!#REF!</definedName>
    <definedName name="Y_MD" localSheetId="15">#REF!</definedName>
    <definedName name="Y_MD" localSheetId="6">#REF!</definedName>
    <definedName name="Y_MD" localSheetId="9">#REF!</definedName>
    <definedName name="Y_MD" localSheetId="12">#REF!</definedName>
    <definedName name="Y_MD">'[146]DATOS DE CAMPO'!#REF!</definedName>
    <definedName name="YAHAHHA">'[48]#¡REF'!#REF!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" localSheetId="15" hidden="1">{"vista 1",#N/A,FALSE,"CMP";"vista 2",#N/A,FALSE,"CMP"}</definedName>
    <definedName name="yy" localSheetId="6" hidden="1">{"vista 1",#N/A,FALSE,"CMP";"vista 2",#N/A,FALSE,"CMP"}</definedName>
    <definedName name="yy" localSheetId="9" hidden="1">{"vista 1",#N/A,FALSE,"CMP";"vista 2",#N/A,FALSE,"CMP"}</definedName>
    <definedName name="yy" localSheetId="12" hidden="1">{"vista 1",#N/A,FALSE,"CMP";"vista 2",#N/A,FALSE,"CMP"}</definedName>
    <definedName name="yy" localSheetId="3" hidden="1">{"vista 1",#N/A,FALSE,"CMP";"vista 2",#N/A,FALSE,"CMP"}</definedName>
    <definedName name="yy" localSheetId="5" hidden="1">{"vista 1",#N/A,FALSE,"CMP";"vista 2",#N/A,FALSE,"CMP"}</definedName>
    <definedName name="yy" localSheetId="8" hidden="1">{"vista 1",#N/A,FALSE,"CMP";"vista 2",#N/A,FALSE,"CMP"}</definedName>
    <definedName name="yy" localSheetId="14" hidden="1">{"vista 1",#N/A,FALSE,"CMP";"vista 2",#N/A,FALSE,"CMP"}</definedName>
    <definedName name="yy" localSheetId="13" hidden="1">{"vista 1",#N/A,FALSE,"CMP";"vista 2",#N/A,FALSE,"CMP"}</definedName>
    <definedName name="yy" localSheetId="4" hidden="1">{"vista 1",#N/A,FALSE,"CMP";"vista 2",#N/A,FALSE,"CMP"}</definedName>
    <definedName name="yy" localSheetId="7" hidden="1">{"vista 1",#N/A,FALSE,"CMP";"vista 2",#N/A,FALSE,"CMP"}</definedName>
    <definedName name="yy" localSheetId="0" hidden="1">{"vista 1",#N/A,FALSE,"CMP";"vista 2",#N/A,FALSE,"CMP"}</definedName>
    <definedName name="yy" hidden="1">{"vista 1",#N/A,FALSE,"CMP";"vista 2",#N/A,FALSE,"CMP"}</definedName>
    <definedName name="YYY">'[35]Unit-op-cartel'!#REF!</definedName>
    <definedName name="yyyyyy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'[48]#¡REF'!#REF!</definedName>
    <definedName name="Z_56770540_A97A_11D1_870B_00002143DF72_.wvu.Rows" localSheetId="15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56770540_A97A_11D1_870B_00002143DF72_.wvu.Rows" localSheetId="6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56770540_A97A_11D1_870B_00002143DF72_.wvu.Rows" localSheetId="9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56770540_A97A_11D1_870B_00002143DF72_.wvu.Rows" localSheetId="12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56770540_A97A_11D1_870B_00002143DF72_.wvu.Rows" localSheetId="3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5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8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1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13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7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56770540_A97A_11D1_870B_00002143DF72_.wvu.Rows" localSheetId="0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56770540_A97A_11D1_870B_00002143DF72_.wvu.Rows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6104898C_BDC8_4F17_AC01_8428510C4C82_.wvu.Cols" localSheetId="15" hidden="1">#REF!,#REF!</definedName>
    <definedName name="Z_6104898C_BDC8_4F17_AC01_8428510C4C82_.wvu.Cols" localSheetId="6" hidden="1">#REF!,#REF!</definedName>
    <definedName name="Z_6104898C_BDC8_4F17_AC01_8428510C4C82_.wvu.Cols" localSheetId="9" hidden="1">#REF!,#REF!</definedName>
    <definedName name="Z_6104898C_BDC8_4F17_AC01_8428510C4C82_.wvu.Cols" localSheetId="12" hidden="1">#REF!,#REF!</definedName>
    <definedName name="Z_6104898C_BDC8_4F17_AC01_8428510C4C82_.wvu.Cols" localSheetId="3" hidden="1">#REF!,#REF!</definedName>
    <definedName name="Z_6104898C_BDC8_4F17_AC01_8428510C4C82_.wvu.Cols" localSheetId="0" hidden="1">#REF!,#REF!</definedName>
    <definedName name="Z_6104898C_BDC8_4F17_AC01_8428510C4C82_.wvu.Cols" hidden="1">#REF!,#REF!</definedName>
    <definedName name="Z_6104898C_BDC8_4F17_AC01_8428510C4C82_.wvu.PrintArea" localSheetId="15" hidden="1">#REF!</definedName>
    <definedName name="Z_6104898C_BDC8_4F17_AC01_8428510C4C82_.wvu.PrintArea" localSheetId="6" hidden="1">#REF!</definedName>
    <definedName name="Z_6104898C_BDC8_4F17_AC01_8428510C4C82_.wvu.PrintArea" localSheetId="9" hidden="1">#REF!</definedName>
    <definedName name="Z_6104898C_BDC8_4F17_AC01_8428510C4C82_.wvu.PrintArea" localSheetId="12" hidden="1">#REF!</definedName>
    <definedName name="Z_6104898C_BDC8_4F17_AC01_8428510C4C82_.wvu.PrintArea" localSheetId="3" hidden="1">#REF!</definedName>
    <definedName name="Z_6104898C_BDC8_4F17_AC01_8428510C4C82_.wvu.PrintArea" localSheetId="0" hidden="1">#REF!</definedName>
    <definedName name="Z_6104898C_BDC8_4F17_AC01_8428510C4C82_.wvu.PrintArea" hidden="1">#REF!</definedName>
    <definedName name="Z_FDB5D37C_9189_4256_A379_09958CE024B4_.wvu.PrintArea" localSheetId="15" hidden="1">'FP  SFVS'!$A$1:$K$35</definedName>
    <definedName name="Z_FDB5D37C_9189_4256_A379_09958CE024B4_.wvu.PrintArea" localSheetId="6" hidden="1">'FP LP'!$A$1:$J$39</definedName>
    <definedName name="Z_FDB5D37C_9189_4256_A379_09958CE024B4_.wvu.PrintArea" localSheetId="9" hidden="1">'FP RP'!$A$1:$K$41</definedName>
    <definedName name="Z_FDB5D37C_9189_4256_A379_09958CE024B4_.wvu.PrintArea" localSheetId="12" hidden="1">'FP RS'!$A$1:$K$38</definedName>
    <definedName name="ZONA">'[145]Dos Mayo I'!#REF!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44" l="1"/>
  <c r="H17" i="55" l="1"/>
  <c r="H15" i="55"/>
  <c r="I33" i="50"/>
  <c r="U262" i="50"/>
  <c r="S262" i="50"/>
  <c r="Q262" i="50"/>
  <c r="O262" i="50"/>
  <c r="M262" i="50"/>
  <c r="K262" i="50"/>
  <c r="U213" i="50"/>
  <c r="S213" i="50"/>
  <c r="Q213" i="50"/>
  <c r="O213" i="50"/>
  <c r="M213" i="50"/>
  <c r="K213" i="50"/>
  <c r="U201" i="50"/>
  <c r="S201" i="50"/>
  <c r="Q201" i="50"/>
  <c r="O201" i="50"/>
  <c r="M201" i="50"/>
  <c r="K201" i="50"/>
  <c r="U185" i="50"/>
  <c r="S185" i="50"/>
  <c r="Q185" i="50"/>
  <c r="O185" i="50"/>
  <c r="M185" i="50"/>
  <c r="K185" i="50"/>
  <c r="I184" i="50"/>
  <c r="M184" i="50" s="1"/>
  <c r="I261" i="50"/>
  <c r="I260" i="50"/>
  <c r="M260" i="50" s="1"/>
  <c r="U261" i="50"/>
  <c r="R261" i="50"/>
  <c r="S261" i="50" s="1"/>
  <c r="P261" i="50"/>
  <c r="O261" i="50"/>
  <c r="M261" i="50"/>
  <c r="K261" i="50"/>
  <c r="U260" i="50"/>
  <c r="R260" i="50"/>
  <c r="S260" i="50" s="1"/>
  <c r="P260" i="50"/>
  <c r="O260" i="50"/>
  <c r="K260" i="50"/>
  <c r="U259" i="50"/>
  <c r="R259" i="50"/>
  <c r="S259" i="50" s="1"/>
  <c r="Q259" i="50"/>
  <c r="P259" i="50"/>
  <c r="O259" i="50"/>
  <c r="M259" i="50"/>
  <c r="L259" i="50"/>
  <c r="K259" i="50"/>
  <c r="U212" i="50"/>
  <c r="R212" i="50"/>
  <c r="S212" i="50" s="1"/>
  <c r="P212" i="50"/>
  <c r="N212" i="50"/>
  <c r="O212" i="50" s="1"/>
  <c r="M212" i="50"/>
  <c r="K212" i="50"/>
  <c r="I212" i="50"/>
  <c r="Q212" i="50" s="1"/>
  <c r="U200" i="50"/>
  <c r="R200" i="50"/>
  <c r="S200" i="50" s="1"/>
  <c r="Q200" i="50"/>
  <c r="P200" i="50"/>
  <c r="O200" i="50"/>
  <c r="K200" i="50"/>
  <c r="I200" i="50"/>
  <c r="M200" i="50" s="1"/>
  <c r="C200" i="50"/>
  <c r="U199" i="50"/>
  <c r="R199" i="50"/>
  <c r="S199" i="50" s="1"/>
  <c r="P199" i="50"/>
  <c r="O199" i="50"/>
  <c r="K199" i="50"/>
  <c r="I199" i="50"/>
  <c r="M199" i="50" s="1"/>
  <c r="C199" i="50"/>
  <c r="U184" i="50"/>
  <c r="R184" i="50"/>
  <c r="S184" i="50" s="1"/>
  <c r="P184" i="50"/>
  <c r="O184" i="50"/>
  <c r="K184" i="50"/>
  <c r="C184" i="50"/>
  <c r="Q184" i="50" l="1"/>
  <c r="Q261" i="50"/>
  <c r="Q260" i="50"/>
  <c r="Q199" i="50"/>
  <c r="L108" i="50"/>
  <c r="M108" i="50" l="1"/>
  <c r="Q109" i="50"/>
  <c r="Q110" i="50"/>
  <c r="P109" i="50"/>
  <c r="P110" i="50"/>
  <c r="Q61" i="50"/>
  <c r="P61" i="50"/>
  <c r="Q49" i="50"/>
  <c r="Q48" i="50"/>
  <c r="P49" i="50"/>
  <c r="P48" i="50"/>
  <c r="Q33" i="50"/>
  <c r="P33" i="50"/>
  <c r="M109" i="50"/>
  <c r="M110" i="50"/>
  <c r="K108" i="50"/>
  <c r="U110" i="50"/>
  <c r="R110" i="50"/>
  <c r="S110" i="50" s="1"/>
  <c r="O110" i="50"/>
  <c r="K110" i="50"/>
  <c r="U109" i="50"/>
  <c r="R109" i="50"/>
  <c r="S109" i="50" s="1"/>
  <c r="O109" i="50"/>
  <c r="K109" i="50"/>
  <c r="U108" i="50"/>
  <c r="O108" i="50"/>
  <c r="M61" i="50"/>
  <c r="I61" i="50"/>
  <c r="U61" i="50"/>
  <c r="R61" i="50"/>
  <c r="S61" i="50" s="1"/>
  <c r="N61" i="50"/>
  <c r="O61" i="50" s="1"/>
  <c r="K61" i="50"/>
  <c r="M49" i="50"/>
  <c r="M48" i="50"/>
  <c r="I49" i="50"/>
  <c r="I48" i="50"/>
  <c r="R49" i="50"/>
  <c r="S49" i="50" s="1"/>
  <c r="R48" i="50"/>
  <c r="S48" i="50" s="1"/>
  <c r="U49" i="50"/>
  <c r="K49" i="50"/>
  <c r="C49" i="50"/>
  <c r="U48" i="50"/>
  <c r="O48" i="50"/>
  <c r="K48" i="50"/>
  <c r="C48" i="50"/>
  <c r="M33" i="50"/>
  <c r="U33" i="50"/>
  <c r="R33" i="50"/>
  <c r="S33" i="50" s="1"/>
  <c r="O33" i="50"/>
  <c r="K33" i="50"/>
  <c r="C33" i="50"/>
  <c r="P108" i="50" l="1"/>
  <c r="Q108" i="50" s="1"/>
  <c r="R108" i="50"/>
  <c r="S108" i="50" s="1"/>
  <c r="O49" i="50"/>
  <c r="U319" i="48"/>
  <c r="K319" i="48"/>
  <c r="I318" i="48"/>
  <c r="U318" i="48"/>
  <c r="K318" i="48"/>
  <c r="I98" i="48"/>
  <c r="U98" i="48"/>
  <c r="O98" i="48"/>
  <c r="L98" i="48"/>
  <c r="P98" i="48" s="1"/>
  <c r="Q98" i="48" s="1"/>
  <c r="K98" i="48"/>
  <c r="R98" i="48" l="1"/>
  <c r="S98" i="48" s="1"/>
  <c r="L318" i="48"/>
  <c r="M98" i="48"/>
  <c r="P318" i="48" l="1"/>
  <c r="Q318" i="48" s="1"/>
  <c r="Q319" i="48" s="1"/>
  <c r="M318" i="48"/>
  <c r="R318" i="48"/>
  <c r="S318" i="48" s="1"/>
  <c r="O318" i="48"/>
  <c r="U117" i="44" l="1"/>
  <c r="U409" i="44"/>
  <c r="I408" i="44"/>
  <c r="U408" i="44"/>
  <c r="K408" i="44"/>
  <c r="I116" i="44"/>
  <c r="U116" i="44"/>
  <c r="K116" i="44"/>
  <c r="O408" i="44" l="1"/>
  <c r="L301" i="44"/>
  <c r="L116" i="44" l="1"/>
  <c r="O116" i="44" l="1"/>
  <c r="M116" i="44"/>
  <c r="P116" i="44"/>
  <c r="Q116" i="44" s="1"/>
  <c r="Q117" i="44" s="1"/>
  <c r="L408" i="44"/>
  <c r="R116" i="44"/>
  <c r="S116" i="44" s="1"/>
  <c r="P408" i="44" l="1"/>
  <c r="Q408" i="44" s="1"/>
  <c r="Q409" i="44" s="1"/>
  <c r="M408" i="44"/>
  <c r="R408" i="44"/>
  <c r="S408" i="44" s="1"/>
  <c r="I81" i="7" l="1"/>
  <c r="I306" i="7" l="1"/>
  <c r="L238" i="7" l="1"/>
  <c r="L237" i="7"/>
  <c r="L234" i="7"/>
  <c r="L233" i="7"/>
  <c r="L232" i="7"/>
  <c r="L231" i="7"/>
  <c r="L230" i="7"/>
  <c r="L229" i="7"/>
  <c r="L228" i="7"/>
  <c r="L225" i="7"/>
  <c r="L224" i="7"/>
  <c r="L223" i="7"/>
  <c r="L222" i="7"/>
  <c r="L221" i="7"/>
  <c r="L220" i="7"/>
  <c r="L219" i="7"/>
  <c r="L215" i="7"/>
  <c r="L214" i="7"/>
  <c r="L211" i="7"/>
  <c r="L210" i="7"/>
  <c r="L209" i="7"/>
  <c r="L208" i="7"/>
  <c r="L207" i="7"/>
  <c r="L204" i="7"/>
  <c r="L203" i="7"/>
  <c r="L202" i="7"/>
  <c r="L201" i="7"/>
  <c r="L200" i="7"/>
  <c r="L199" i="7"/>
  <c r="L198" i="7"/>
  <c r="L197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5" i="7"/>
  <c r="L174" i="7"/>
  <c r="L173" i="7"/>
  <c r="L172" i="7"/>
  <c r="L171" i="7"/>
  <c r="L170" i="7"/>
  <c r="L167" i="7"/>
  <c r="L166" i="7"/>
  <c r="L165" i="7"/>
  <c r="L164" i="7"/>
  <c r="L163" i="7"/>
  <c r="L162" i="7"/>
  <c r="L161" i="7"/>
  <c r="L160" i="7"/>
  <c r="L159" i="7"/>
  <c r="L158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5" i="7"/>
  <c r="L124" i="7"/>
  <c r="W124" i="7" s="1"/>
  <c r="L123" i="7"/>
  <c r="L122" i="7"/>
  <c r="L121" i="7"/>
  <c r="L120" i="7"/>
  <c r="L119" i="7"/>
  <c r="L118" i="7"/>
  <c r="L117" i="7"/>
  <c r="L116" i="7"/>
  <c r="L115" i="7"/>
  <c r="L114" i="7"/>
  <c r="L113" i="7"/>
  <c r="L110" i="7"/>
  <c r="L109" i="7"/>
  <c r="L108" i="7"/>
  <c r="L107" i="7"/>
  <c r="L106" i="7"/>
  <c r="L105" i="7"/>
  <c r="L104" i="7"/>
  <c r="L103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6" i="7"/>
  <c r="L65" i="7"/>
  <c r="L64" i="7"/>
  <c r="L63" i="7"/>
  <c r="L62" i="7"/>
  <c r="L61" i="7"/>
  <c r="L60" i="7"/>
  <c r="L59" i="7"/>
  <c r="L56" i="7"/>
  <c r="L55" i="7"/>
  <c r="L54" i="7"/>
  <c r="L53" i="7"/>
  <c r="L50" i="7"/>
  <c r="L49" i="7"/>
  <c r="L48" i="7"/>
  <c r="L47" i="7"/>
  <c r="L46" i="7"/>
  <c r="L45" i="7"/>
  <c r="L44" i="7"/>
  <c r="L43" i="7"/>
  <c r="L42" i="7"/>
  <c r="L41" i="7"/>
  <c r="L40" i="7"/>
  <c r="L39" i="7"/>
  <c r="L36" i="7"/>
  <c r="L35" i="7"/>
  <c r="L34" i="7"/>
  <c r="L33" i="7"/>
  <c r="L32" i="7"/>
  <c r="L31" i="7"/>
  <c r="L30" i="7"/>
  <c r="L29" i="7"/>
  <c r="L26" i="7"/>
  <c r="L25" i="7"/>
  <c r="L22" i="7"/>
  <c r="L19" i="7"/>
  <c r="L18" i="7"/>
  <c r="L233" i="48"/>
  <c r="L232" i="48"/>
  <c r="L229" i="48"/>
  <c r="L228" i="48"/>
  <c r="L227" i="48"/>
  <c r="L226" i="48"/>
  <c r="L225" i="48"/>
  <c r="L224" i="48"/>
  <c r="L223" i="48"/>
  <c r="L220" i="48"/>
  <c r="L217" i="48"/>
  <c r="L216" i="48"/>
  <c r="L215" i="48"/>
  <c r="L214" i="48"/>
  <c r="L213" i="48"/>
  <c r="L212" i="48"/>
  <c r="L211" i="48"/>
  <c r="L210" i="48"/>
  <c r="L209" i="48"/>
  <c r="L208" i="48"/>
  <c r="L207" i="48"/>
  <c r="L206" i="48"/>
  <c r="L205" i="48"/>
  <c r="L204" i="48"/>
  <c r="L203" i="48"/>
  <c r="L202" i="48"/>
  <c r="L201" i="48"/>
  <c r="L200" i="48"/>
  <c r="L197" i="48"/>
  <c r="L196" i="48"/>
  <c r="L195" i="48"/>
  <c r="L194" i="48"/>
  <c r="L193" i="48"/>
  <c r="L192" i="48"/>
  <c r="L189" i="48"/>
  <c r="L188" i="48"/>
  <c r="L187" i="48"/>
  <c r="L186" i="48"/>
  <c r="L185" i="48"/>
  <c r="L184" i="48"/>
  <c r="L183" i="48"/>
  <c r="L182" i="48"/>
  <c r="L181" i="48"/>
  <c r="L180" i="48"/>
  <c r="L179" i="48"/>
  <c r="L178" i="48"/>
  <c r="L177" i="48"/>
  <c r="L174" i="48"/>
  <c r="L173" i="48"/>
  <c r="L172" i="48"/>
  <c r="L171" i="48"/>
  <c r="L170" i="48"/>
  <c r="L169" i="48"/>
  <c r="L168" i="48"/>
  <c r="L167" i="48"/>
  <c r="L166" i="48"/>
  <c r="L165" i="48"/>
  <c r="L164" i="48"/>
  <c r="L163" i="48"/>
  <c r="L162" i="48"/>
  <c r="L161" i="48"/>
  <c r="L160" i="48"/>
  <c r="L159" i="48"/>
  <c r="L158" i="48"/>
  <c r="L157" i="48"/>
  <c r="L156" i="48"/>
  <c r="L155" i="48"/>
  <c r="L154" i="48"/>
  <c r="L153" i="48"/>
  <c r="L152" i="48"/>
  <c r="L151" i="48"/>
  <c r="L150" i="48"/>
  <c r="L149" i="48"/>
  <c r="L148" i="48"/>
  <c r="L147" i="48"/>
  <c r="L146" i="48"/>
  <c r="L145" i="48"/>
  <c r="L144" i="48"/>
  <c r="L143" i="48"/>
  <c r="L142" i="48"/>
  <c r="L141" i="48"/>
  <c r="L140" i="48"/>
  <c r="L139" i="48"/>
  <c r="L134" i="48"/>
  <c r="L133" i="48"/>
  <c r="L132" i="48"/>
  <c r="L129" i="48"/>
  <c r="L128" i="48"/>
  <c r="L127" i="48"/>
  <c r="L126" i="48"/>
  <c r="L123" i="48"/>
  <c r="L122" i="48"/>
  <c r="L121" i="48"/>
  <c r="L120" i="48"/>
  <c r="L119" i="48"/>
  <c r="L116" i="48"/>
  <c r="L115" i="48"/>
  <c r="L114" i="48"/>
  <c r="L113" i="48"/>
  <c r="L110" i="48"/>
  <c r="L109" i="48"/>
  <c r="L108" i="48"/>
  <c r="L107" i="48"/>
  <c r="L106" i="48"/>
  <c r="L105" i="48"/>
  <c r="L104" i="48"/>
  <c r="L103" i="48"/>
  <c r="L102" i="48"/>
  <c r="L101" i="48"/>
  <c r="L97" i="48"/>
  <c r="L96" i="48"/>
  <c r="L95" i="48"/>
  <c r="L94" i="48"/>
  <c r="L93" i="48"/>
  <c r="L92" i="48"/>
  <c r="L91" i="48"/>
  <c r="L90" i="48"/>
  <c r="L89" i="48"/>
  <c r="L88" i="48"/>
  <c r="L87" i="48"/>
  <c r="L84" i="48"/>
  <c r="L83" i="48"/>
  <c r="L82" i="48"/>
  <c r="L81" i="48"/>
  <c r="L80" i="48"/>
  <c r="L79" i="48"/>
  <c r="L78" i="48"/>
  <c r="L77" i="48"/>
  <c r="L76" i="48"/>
  <c r="L75" i="48"/>
  <c r="L74" i="48"/>
  <c r="L73" i="48"/>
  <c r="L72" i="48"/>
  <c r="L71" i="48"/>
  <c r="L70" i="48"/>
  <c r="L69" i="48"/>
  <c r="L68" i="48"/>
  <c r="L67" i="48"/>
  <c r="L64" i="48"/>
  <c r="L61" i="48"/>
  <c r="L60" i="48"/>
  <c r="L59" i="48"/>
  <c r="L58" i="48"/>
  <c r="L57" i="48"/>
  <c r="L56" i="48"/>
  <c r="L53" i="48"/>
  <c r="L50" i="48"/>
  <c r="L49" i="48"/>
  <c r="L46" i="48"/>
  <c r="L44" i="48"/>
  <c r="L43" i="48"/>
  <c r="L42" i="48"/>
  <c r="L39" i="48"/>
  <c r="L38" i="48"/>
  <c r="L37" i="48"/>
  <c r="L34" i="48"/>
  <c r="L33" i="48"/>
  <c r="L30" i="48"/>
  <c r="L27" i="48"/>
  <c r="L26" i="48"/>
  <c r="L25" i="48"/>
  <c r="L24" i="48"/>
  <c r="L21" i="48"/>
  <c r="L20" i="48"/>
  <c r="L19" i="48"/>
  <c r="L18" i="48"/>
  <c r="L305" i="44"/>
  <c r="L304" i="44"/>
  <c r="L300" i="44"/>
  <c r="L299" i="44"/>
  <c r="L298" i="44"/>
  <c r="L297" i="44"/>
  <c r="L296" i="44"/>
  <c r="L295" i="44"/>
  <c r="L294" i="44"/>
  <c r="L293" i="44"/>
  <c r="L290" i="44"/>
  <c r="L289" i="44"/>
  <c r="L288" i="44"/>
  <c r="L287" i="44"/>
  <c r="L286" i="44"/>
  <c r="L285" i="44"/>
  <c r="L284" i="44"/>
  <c r="L283" i="44"/>
  <c r="L282" i="44"/>
  <c r="L279" i="44"/>
  <c r="L278" i="44"/>
  <c r="L275" i="44"/>
  <c r="L274" i="44"/>
  <c r="L273" i="44"/>
  <c r="L272" i="44"/>
  <c r="L271" i="44"/>
  <c r="L270" i="44"/>
  <c r="L269" i="44"/>
  <c r="L268" i="44"/>
  <c r="L267" i="44"/>
  <c r="L266" i="44"/>
  <c r="L265" i="44"/>
  <c r="L264" i="44"/>
  <c r="L263" i="44"/>
  <c r="L262" i="44"/>
  <c r="L261" i="44"/>
  <c r="L260" i="44"/>
  <c r="L259" i="44"/>
  <c r="L258" i="44"/>
  <c r="L257" i="44"/>
  <c r="L256" i="44"/>
  <c r="L255" i="44"/>
  <c r="L254" i="44"/>
  <c r="L253" i="44"/>
  <c r="L252" i="44"/>
  <c r="L251" i="44"/>
  <c r="L250" i="44"/>
  <c r="L249" i="44"/>
  <c r="L248" i="44"/>
  <c r="L247" i="44"/>
  <c r="L246" i="44"/>
  <c r="L245" i="44"/>
  <c r="L244" i="44"/>
  <c r="L243" i="44"/>
  <c r="L242" i="44"/>
  <c r="L241" i="44"/>
  <c r="L240" i="44"/>
  <c r="L237" i="44"/>
  <c r="L236" i="44"/>
  <c r="L235" i="44"/>
  <c r="L234" i="44"/>
  <c r="L233" i="44"/>
  <c r="L232" i="44"/>
  <c r="L231" i="44"/>
  <c r="L230" i="44"/>
  <c r="L227" i="44"/>
  <c r="L226" i="44"/>
  <c r="L225" i="44"/>
  <c r="L224" i="44"/>
  <c r="L223" i="44"/>
  <c r="L222" i="44"/>
  <c r="L221" i="44"/>
  <c r="L220" i="44"/>
  <c r="L219" i="44"/>
  <c r="L218" i="44"/>
  <c r="L217" i="44"/>
  <c r="L216" i="44"/>
  <c r="L215" i="44"/>
  <c r="L214" i="44"/>
  <c r="L213" i="44"/>
  <c r="L212" i="44"/>
  <c r="L209" i="44"/>
  <c r="L208" i="44"/>
  <c r="L207" i="44"/>
  <c r="L206" i="44"/>
  <c r="L205" i="44"/>
  <c r="L204" i="44"/>
  <c r="L203" i="44"/>
  <c r="L202" i="44"/>
  <c r="L201" i="44"/>
  <c r="L200" i="44"/>
  <c r="L199" i="44"/>
  <c r="L198" i="44"/>
  <c r="L197" i="44"/>
  <c r="L196" i="44"/>
  <c r="L195" i="44"/>
  <c r="L194" i="44"/>
  <c r="L193" i="44"/>
  <c r="L192" i="44"/>
  <c r="L191" i="44"/>
  <c r="L190" i="44"/>
  <c r="L189" i="44"/>
  <c r="L188" i="44"/>
  <c r="L187" i="44"/>
  <c r="L186" i="44"/>
  <c r="L185" i="44"/>
  <c r="L184" i="44"/>
  <c r="L183" i="44"/>
  <c r="L182" i="44"/>
  <c r="L181" i="44"/>
  <c r="L180" i="44"/>
  <c r="L179" i="44"/>
  <c r="L178" i="44"/>
  <c r="L177" i="44"/>
  <c r="L176" i="44"/>
  <c r="L175" i="44"/>
  <c r="L174" i="44"/>
  <c r="L173" i="44"/>
  <c r="L172" i="44"/>
  <c r="L171" i="44"/>
  <c r="L170" i="44"/>
  <c r="L169" i="44"/>
  <c r="L168" i="44"/>
  <c r="L165" i="44"/>
  <c r="L164" i="44"/>
  <c r="L163" i="44"/>
  <c r="L162" i="44"/>
  <c r="L161" i="44"/>
  <c r="L160" i="44"/>
  <c r="L159" i="44"/>
  <c r="L158" i="44"/>
  <c r="L157" i="44"/>
  <c r="L152" i="44"/>
  <c r="L151" i="44"/>
  <c r="L150" i="44"/>
  <c r="L149" i="44"/>
  <c r="L148" i="44"/>
  <c r="L147" i="44"/>
  <c r="L146" i="44"/>
  <c r="L145" i="44"/>
  <c r="L144" i="44"/>
  <c r="L143" i="44"/>
  <c r="L142" i="44"/>
  <c r="L141" i="44"/>
  <c r="L140" i="44"/>
  <c r="L139" i="44"/>
  <c r="L138" i="44"/>
  <c r="L135" i="44"/>
  <c r="L134" i="44"/>
  <c r="L133" i="44"/>
  <c r="L132" i="44"/>
  <c r="L131" i="44"/>
  <c r="L128" i="44"/>
  <c r="L127" i="44"/>
  <c r="L126" i="44"/>
  <c r="L125" i="44"/>
  <c r="L124" i="44"/>
  <c r="L123" i="44"/>
  <c r="L122" i="44"/>
  <c r="L121" i="44"/>
  <c r="L120" i="44"/>
  <c r="L119" i="44"/>
  <c r="L115" i="44"/>
  <c r="L114" i="44"/>
  <c r="L113" i="44"/>
  <c r="L112" i="44"/>
  <c r="L111" i="44"/>
  <c r="L110" i="44"/>
  <c r="L109" i="44"/>
  <c r="L108" i="44"/>
  <c r="L107" i="44"/>
  <c r="L106" i="44"/>
  <c r="L105" i="44"/>
  <c r="L104" i="44"/>
  <c r="L103" i="44"/>
  <c r="L100" i="44"/>
  <c r="L99" i="44"/>
  <c r="L98" i="44"/>
  <c r="L97" i="44"/>
  <c r="L96" i="44"/>
  <c r="L95" i="44"/>
  <c r="L94" i="44"/>
  <c r="L93" i="44"/>
  <c r="L92" i="44"/>
  <c r="L91" i="44"/>
  <c r="L90" i="44"/>
  <c r="L89" i="44"/>
  <c r="L88" i="44"/>
  <c r="L87" i="44"/>
  <c r="L86" i="44"/>
  <c r="L85" i="44"/>
  <c r="L84" i="44"/>
  <c r="L83" i="44"/>
  <c r="L82" i="44"/>
  <c r="L81" i="44"/>
  <c r="L80" i="44"/>
  <c r="L79" i="44"/>
  <c r="L78" i="44"/>
  <c r="L75" i="44"/>
  <c r="L72" i="44"/>
  <c r="L71" i="44"/>
  <c r="L70" i="44"/>
  <c r="L69" i="44"/>
  <c r="L68" i="44"/>
  <c r="L67" i="44"/>
  <c r="L66" i="44"/>
  <c r="L65" i="44"/>
  <c r="L64" i="44"/>
  <c r="L63" i="44"/>
  <c r="L62" i="44"/>
  <c r="L61" i="44"/>
  <c r="L60" i="44"/>
  <c r="L59" i="44"/>
  <c r="L58" i="44"/>
  <c r="L55" i="44"/>
  <c r="L54" i="44"/>
  <c r="L51" i="44"/>
  <c r="L50" i="44"/>
  <c r="L46" i="44"/>
  <c r="L45" i="44"/>
  <c r="L44" i="44"/>
  <c r="L41" i="44"/>
  <c r="L40" i="44"/>
  <c r="L39" i="44"/>
  <c r="L38" i="44"/>
  <c r="L35" i="44"/>
  <c r="L34" i="44"/>
  <c r="L31" i="44"/>
  <c r="L28" i="44"/>
  <c r="L27" i="44"/>
  <c r="L26" i="44"/>
  <c r="L25" i="44"/>
  <c r="L24" i="44"/>
  <c r="L21" i="44"/>
  <c r="L20" i="44"/>
  <c r="L19" i="44"/>
  <c r="L18" i="44"/>
  <c r="X243" i="7" l="1"/>
  <c r="L310" i="44" l="1"/>
  <c r="B201" i="7"/>
  <c r="B202" i="7"/>
  <c r="B203" i="7" s="1"/>
  <c r="B204" i="7" s="1"/>
  <c r="K205" i="44"/>
  <c r="M205" i="44"/>
  <c r="O205" i="44"/>
  <c r="P205" i="44"/>
  <c r="Q205" i="44" s="1"/>
  <c r="S205" i="44"/>
  <c r="U205" i="44"/>
  <c r="X192" i="48" l="1"/>
  <c r="X177" i="48"/>
  <c r="I153" i="7"/>
  <c r="I152" i="7"/>
  <c r="U153" i="7"/>
  <c r="S153" i="7"/>
  <c r="P153" i="7"/>
  <c r="O153" i="7"/>
  <c r="K153" i="7"/>
  <c r="U152" i="7"/>
  <c r="S152" i="7"/>
  <c r="P152" i="7"/>
  <c r="O152" i="7"/>
  <c r="K152" i="7"/>
  <c r="Q153" i="7" l="1"/>
  <c r="Q152" i="7"/>
  <c r="M153" i="7"/>
  <c r="M152" i="7"/>
  <c r="I174" i="48" l="1"/>
  <c r="M174" i="48" s="1"/>
  <c r="I207" i="44" l="1"/>
  <c r="P207" i="44"/>
  <c r="U207" i="44"/>
  <c r="S207" i="44"/>
  <c r="O207" i="44"/>
  <c r="K207" i="44"/>
  <c r="I206" i="44"/>
  <c r="U206" i="44"/>
  <c r="S206" i="44"/>
  <c r="P206" i="44"/>
  <c r="O206" i="44"/>
  <c r="K206" i="44"/>
  <c r="Q207" i="44" l="1"/>
  <c r="M207" i="44"/>
  <c r="Q206" i="44"/>
  <c r="M206" i="44"/>
  <c r="L327" i="44" l="1"/>
  <c r="P327" i="44" s="1"/>
  <c r="L326" i="44"/>
  <c r="P326" i="44" s="1"/>
  <c r="I327" i="44"/>
  <c r="I254" i="48" s="1"/>
  <c r="I326" i="44"/>
  <c r="F328" i="44"/>
  <c r="C328" i="44"/>
  <c r="U327" i="44"/>
  <c r="S327" i="44"/>
  <c r="O327" i="44"/>
  <c r="K327" i="44"/>
  <c r="U326" i="44"/>
  <c r="S326" i="44"/>
  <c r="O326" i="44"/>
  <c r="K326" i="44"/>
  <c r="S328" i="44"/>
  <c r="F36" i="44"/>
  <c r="C36" i="44"/>
  <c r="U35" i="44"/>
  <c r="R35" i="44"/>
  <c r="S35" i="44" s="1"/>
  <c r="P35" i="44"/>
  <c r="Q35" i="44" s="1"/>
  <c r="O35" i="44"/>
  <c r="M35" i="44"/>
  <c r="K35" i="44"/>
  <c r="U34" i="44"/>
  <c r="U36" i="44" s="1"/>
  <c r="R34" i="44"/>
  <c r="S34" i="44" s="1"/>
  <c r="P34" i="44"/>
  <c r="Q34" i="44" s="1"/>
  <c r="O34" i="44"/>
  <c r="M34" i="44"/>
  <c r="K34" i="44"/>
  <c r="L254" i="48"/>
  <c r="P254" i="48" s="1"/>
  <c r="L253" i="48"/>
  <c r="P253" i="48" s="1"/>
  <c r="Q253" i="48" s="1"/>
  <c r="F255" i="48"/>
  <c r="C255" i="48"/>
  <c r="U254" i="48"/>
  <c r="S254" i="48"/>
  <c r="O254" i="48"/>
  <c r="K254" i="48"/>
  <c r="U253" i="48"/>
  <c r="S253" i="48"/>
  <c r="O253" i="48"/>
  <c r="K253" i="48"/>
  <c r="F35" i="48"/>
  <c r="U34" i="48"/>
  <c r="S34" i="48"/>
  <c r="P34" i="48"/>
  <c r="O34" i="48"/>
  <c r="K34" i="48"/>
  <c r="U33" i="48"/>
  <c r="S33" i="48"/>
  <c r="P33" i="48"/>
  <c r="Q33" i="48" s="1"/>
  <c r="O33" i="48"/>
  <c r="M33" i="48"/>
  <c r="K33" i="48"/>
  <c r="U35" i="48" l="1"/>
  <c r="O255" i="48"/>
  <c r="O328" i="44"/>
  <c r="Q327" i="44"/>
  <c r="M326" i="44"/>
  <c r="O36" i="44"/>
  <c r="Q326" i="44"/>
  <c r="K328" i="44"/>
  <c r="U328" i="44"/>
  <c r="M327" i="44"/>
  <c r="M36" i="44"/>
  <c r="Q36" i="44"/>
  <c r="S36" i="44"/>
  <c r="M253" i="48"/>
  <c r="O35" i="48"/>
  <c r="K255" i="48"/>
  <c r="Q34" i="48"/>
  <c r="Q35" i="48" s="1"/>
  <c r="M34" i="48"/>
  <c r="M35" i="48" s="1"/>
  <c r="S35" i="48"/>
  <c r="M328" i="44" l="1"/>
  <c r="Q328" i="44"/>
  <c r="W36" i="44"/>
  <c r="U255" i="48"/>
  <c r="S255" i="48"/>
  <c r="I14" i="51" l="1"/>
  <c r="H14" i="51"/>
  <c r="G15" i="51"/>
  <c r="G14" i="51"/>
  <c r="J14" i="51" l="1"/>
  <c r="I336" i="48" l="1"/>
  <c r="I304" i="48"/>
  <c r="U336" i="48" l="1"/>
  <c r="S336" i="48"/>
  <c r="O336" i="48"/>
  <c r="K336" i="48"/>
  <c r="C336" i="48"/>
  <c r="U116" i="48"/>
  <c r="S116" i="48"/>
  <c r="O116" i="48"/>
  <c r="K116" i="48"/>
  <c r="C116" i="48"/>
  <c r="P116" i="48" l="1"/>
  <c r="L336" i="48"/>
  <c r="M116" i="48"/>
  <c r="Q116" i="48" l="1"/>
  <c r="T115" i="48"/>
  <c r="P336" i="48"/>
  <c r="M336" i="48"/>
  <c r="Q336" i="48" l="1"/>
  <c r="T335" i="48"/>
  <c r="U427" i="44"/>
  <c r="S427" i="44"/>
  <c r="O427" i="44"/>
  <c r="K427" i="44"/>
  <c r="C427" i="44"/>
  <c r="P135" i="44" l="1"/>
  <c r="T134" i="44" s="1"/>
  <c r="L427" i="44"/>
  <c r="P427" i="44" l="1"/>
  <c r="M427" i="44"/>
  <c r="Q427" i="44" l="1"/>
  <c r="T426" i="44"/>
  <c r="K128" i="44"/>
  <c r="U135" i="44"/>
  <c r="S135" i="44"/>
  <c r="O135" i="44"/>
  <c r="Q135" i="44"/>
  <c r="K135" i="44"/>
  <c r="C135" i="44"/>
  <c r="M135" i="44" l="1"/>
  <c r="C128" i="48" l="1"/>
  <c r="K128" i="48"/>
  <c r="M128" i="48"/>
  <c r="O128" i="48"/>
  <c r="S128" i="48"/>
  <c r="U128" i="48"/>
  <c r="P128" i="48" l="1"/>
  <c r="Q128" i="48" s="1"/>
  <c r="I21" i="48" l="1"/>
  <c r="I20" i="48"/>
  <c r="I216" i="48" l="1"/>
  <c r="I215" i="48"/>
  <c r="I214" i="48"/>
  <c r="I213" i="48"/>
  <c r="I172" i="48"/>
  <c r="I171" i="48"/>
  <c r="I270" i="44"/>
  <c r="I269" i="44"/>
  <c r="I268" i="44"/>
  <c r="I267" i="44"/>
  <c r="I266" i="44"/>
  <c r="I265" i="44"/>
  <c r="I264" i="44"/>
  <c r="I263" i="44"/>
  <c r="I262" i="44"/>
  <c r="I208" i="44"/>
  <c r="I204" i="44"/>
  <c r="R233" i="48" l="1"/>
  <c r="S233" i="48" s="1"/>
  <c r="R232" i="48"/>
  <c r="S232" i="48" s="1"/>
  <c r="N229" i="48"/>
  <c r="O229" i="48" s="1"/>
  <c r="N228" i="48"/>
  <c r="O228" i="48" s="1"/>
  <c r="N227" i="48"/>
  <c r="N225" i="48"/>
  <c r="O225" i="48" s="1"/>
  <c r="N224" i="48"/>
  <c r="O224" i="48" s="1"/>
  <c r="R223" i="48"/>
  <c r="S223" i="48" s="1"/>
  <c r="R220" i="48"/>
  <c r="S220" i="48" s="1"/>
  <c r="S221" i="48" s="1"/>
  <c r="P217" i="48"/>
  <c r="Q217" i="48" s="1"/>
  <c r="P216" i="48"/>
  <c r="Q216" i="48" s="1"/>
  <c r="P215" i="48"/>
  <c r="P214" i="48"/>
  <c r="P213" i="48"/>
  <c r="P212" i="48"/>
  <c r="P211" i="48"/>
  <c r="P210" i="48"/>
  <c r="R209" i="48"/>
  <c r="S209" i="48" s="1"/>
  <c r="M208" i="48"/>
  <c r="R207" i="48"/>
  <c r="S207" i="48" s="1"/>
  <c r="N206" i="48"/>
  <c r="O206" i="48" s="1"/>
  <c r="R205" i="48"/>
  <c r="S205" i="48" s="1"/>
  <c r="R204" i="48"/>
  <c r="R203" i="48"/>
  <c r="S203" i="48" s="1"/>
  <c r="R202" i="48"/>
  <c r="R201" i="48"/>
  <c r="S201" i="48" s="1"/>
  <c r="R200" i="48"/>
  <c r="M196" i="48"/>
  <c r="N195" i="48"/>
  <c r="O195" i="48" s="1"/>
  <c r="R194" i="48"/>
  <c r="S194" i="48" s="1"/>
  <c r="M192" i="48"/>
  <c r="P189" i="48"/>
  <c r="P188" i="48"/>
  <c r="N187" i="48"/>
  <c r="O187" i="48" s="1"/>
  <c r="R186" i="48"/>
  <c r="R185" i="48"/>
  <c r="S185" i="48" s="1"/>
  <c r="R184" i="48"/>
  <c r="S184" i="48" s="1"/>
  <c r="R183" i="48"/>
  <c r="R182" i="48"/>
  <c r="S182" i="48" s="1"/>
  <c r="R181" i="48"/>
  <c r="S181" i="48" s="1"/>
  <c r="M180" i="48"/>
  <c r="M179" i="48"/>
  <c r="N178" i="48"/>
  <c r="O178" i="48" s="1"/>
  <c r="M177" i="48"/>
  <c r="P173" i="48"/>
  <c r="M172" i="48"/>
  <c r="M171" i="48"/>
  <c r="P170" i="48"/>
  <c r="P169" i="48"/>
  <c r="N167" i="48"/>
  <c r="O167" i="48" s="1"/>
  <c r="N165" i="48"/>
  <c r="O165" i="48" s="1"/>
  <c r="N163" i="48"/>
  <c r="O163" i="48" s="1"/>
  <c r="N162" i="48"/>
  <c r="O162" i="48" s="1"/>
  <c r="N161" i="48"/>
  <c r="O161" i="48" s="1"/>
  <c r="N158" i="48"/>
  <c r="N156" i="48"/>
  <c r="O156" i="48" s="1"/>
  <c r="N155" i="48"/>
  <c r="N152" i="48"/>
  <c r="O152" i="48" s="1"/>
  <c r="N150" i="48"/>
  <c r="O150" i="48" s="1"/>
  <c r="N148" i="48"/>
  <c r="O148" i="48" s="1"/>
  <c r="N147" i="48"/>
  <c r="O147" i="48" s="1"/>
  <c r="N144" i="48"/>
  <c r="O144" i="48" s="1"/>
  <c r="N142" i="48"/>
  <c r="O142" i="48" s="1"/>
  <c r="N140" i="48"/>
  <c r="O140" i="48" s="1"/>
  <c r="N139" i="48"/>
  <c r="O139" i="48" s="1"/>
  <c r="R133" i="48"/>
  <c r="S133" i="48" s="1"/>
  <c r="R132" i="48"/>
  <c r="S132" i="48" s="1"/>
  <c r="M129" i="48"/>
  <c r="L347" i="48"/>
  <c r="N126" i="48"/>
  <c r="O126" i="48" s="1"/>
  <c r="P122" i="48"/>
  <c r="T119" i="48" s="1"/>
  <c r="U119" i="48" s="1"/>
  <c r="M121" i="48"/>
  <c r="L340" i="48"/>
  <c r="R119" i="48"/>
  <c r="S119" i="48" s="1"/>
  <c r="M115" i="48"/>
  <c r="L334" i="48"/>
  <c r="R113" i="48"/>
  <c r="S113" i="48" s="1"/>
  <c r="N109" i="48"/>
  <c r="O109" i="48" s="1"/>
  <c r="N108" i="48"/>
  <c r="O108" i="48" s="1"/>
  <c r="L327" i="48"/>
  <c r="N105" i="48"/>
  <c r="O105" i="48" s="1"/>
  <c r="N104" i="48"/>
  <c r="O104" i="48" s="1"/>
  <c r="M103" i="48"/>
  <c r="N101" i="48"/>
  <c r="O101" i="48" s="1"/>
  <c r="R97" i="48"/>
  <c r="S97" i="48" s="1"/>
  <c r="M96" i="48"/>
  <c r="L315" i="48"/>
  <c r="N94" i="48"/>
  <c r="O94" i="48" s="1"/>
  <c r="M93" i="48"/>
  <c r="L312" i="48"/>
  <c r="L311" i="48"/>
  <c r="L310" i="48"/>
  <c r="R89" i="48"/>
  <c r="S89" i="48" s="1"/>
  <c r="M88" i="48"/>
  <c r="L307" i="48"/>
  <c r="L304" i="48"/>
  <c r="P83" i="48"/>
  <c r="Q83" i="48" s="1"/>
  <c r="L301" i="48"/>
  <c r="N80" i="48"/>
  <c r="O80" i="48" s="1"/>
  <c r="L299" i="48"/>
  <c r="M78" i="48"/>
  <c r="L297" i="48"/>
  <c r="N76" i="48"/>
  <c r="O76" i="48" s="1"/>
  <c r="N75" i="48"/>
  <c r="O75" i="48" s="1"/>
  <c r="L294" i="48"/>
  <c r="L293" i="48"/>
  <c r="L292" i="48"/>
  <c r="L291" i="48"/>
  <c r="M70" i="48"/>
  <c r="L289" i="48"/>
  <c r="R68" i="48"/>
  <c r="S68" i="48" s="1"/>
  <c r="R67" i="48"/>
  <c r="S67" i="48" s="1"/>
  <c r="P61" i="48"/>
  <c r="Q61" i="48" s="1"/>
  <c r="P60" i="48"/>
  <c r="Q60" i="48" s="1"/>
  <c r="M59" i="48"/>
  <c r="N57" i="48"/>
  <c r="O57" i="48" s="1"/>
  <c r="R56" i="48"/>
  <c r="S56" i="48" s="1"/>
  <c r="N53" i="48"/>
  <c r="O53" i="48" s="1"/>
  <c r="O54" i="48" s="1"/>
  <c r="N50" i="48"/>
  <c r="O50" i="48" s="1"/>
  <c r="M49" i="48"/>
  <c r="P46" i="48"/>
  <c r="Q46" i="48" s="1"/>
  <c r="R44" i="48"/>
  <c r="S44" i="48" s="1"/>
  <c r="R43" i="48"/>
  <c r="S43" i="48" s="1"/>
  <c r="M42" i="48"/>
  <c r="N39" i="48"/>
  <c r="O39" i="48" s="1"/>
  <c r="R38" i="48"/>
  <c r="S38" i="48" s="1"/>
  <c r="N37" i="48"/>
  <c r="O37" i="48" s="1"/>
  <c r="N30" i="48"/>
  <c r="O30" i="48" s="1"/>
  <c r="L247" i="48"/>
  <c r="R26" i="48"/>
  <c r="S26" i="48" s="1"/>
  <c r="M25" i="48"/>
  <c r="N24" i="48"/>
  <c r="O24" i="48" s="1"/>
  <c r="P21" i="48"/>
  <c r="M20" i="48"/>
  <c r="N19" i="48"/>
  <c r="O19" i="48" s="1"/>
  <c r="R18" i="48"/>
  <c r="C356" i="48"/>
  <c r="C355" i="48"/>
  <c r="U354" i="48"/>
  <c r="S354" i="48"/>
  <c r="O354" i="48"/>
  <c r="K354" i="48"/>
  <c r="I354" i="48"/>
  <c r="C354" i="48"/>
  <c r="Q353" i="48"/>
  <c r="K353" i="48"/>
  <c r="U352" i="48"/>
  <c r="Q352" i="48"/>
  <c r="K352" i="48"/>
  <c r="C350" i="48"/>
  <c r="U349" i="48"/>
  <c r="S349" i="48"/>
  <c r="O349" i="48"/>
  <c r="K349" i="48"/>
  <c r="I349" i="48"/>
  <c r="C349" i="48"/>
  <c r="U348" i="48"/>
  <c r="S348" i="48"/>
  <c r="O348" i="48"/>
  <c r="K348" i="48"/>
  <c r="C348" i="48"/>
  <c r="Q347" i="48"/>
  <c r="K347" i="48"/>
  <c r="Q346" i="48"/>
  <c r="K346" i="48"/>
  <c r="C344" i="48"/>
  <c r="U343" i="48"/>
  <c r="S343" i="48"/>
  <c r="O343" i="48"/>
  <c r="K343" i="48"/>
  <c r="I343" i="48"/>
  <c r="C343" i="48"/>
  <c r="U342" i="48"/>
  <c r="S342" i="48"/>
  <c r="O342" i="48"/>
  <c r="K342" i="48"/>
  <c r="I342" i="48"/>
  <c r="C342" i="48"/>
  <c r="Q341" i="48"/>
  <c r="K341" i="48"/>
  <c r="Q340" i="48"/>
  <c r="K340" i="48"/>
  <c r="Q339" i="48"/>
  <c r="K339" i="48"/>
  <c r="C337" i="48"/>
  <c r="U335" i="48"/>
  <c r="Q335" i="48"/>
  <c r="K335" i="48"/>
  <c r="U334" i="48"/>
  <c r="Q334" i="48"/>
  <c r="K334" i="48"/>
  <c r="U333" i="48"/>
  <c r="Q333" i="48"/>
  <c r="K333" i="48"/>
  <c r="C332" i="48"/>
  <c r="C333" i="48" s="1"/>
  <c r="C334" i="48" s="1"/>
  <c r="C335" i="48" s="1"/>
  <c r="C331" i="48"/>
  <c r="U330" i="48"/>
  <c r="S330" i="48"/>
  <c r="O330" i="48"/>
  <c r="K330" i="48"/>
  <c r="I330" i="48"/>
  <c r="C330" i="48"/>
  <c r="U329" i="48"/>
  <c r="Q329" i="48"/>
  <c r="K329" i="48"/>
  <c r="U328" i="48"/>
  <c r="Q328" i="48"/>
  <c r="K328" i="48"/>
  <c r="U327" i="48"/>
  <c r="Q327" i="48"/>
  <c r="K327" i="48"/>
  <c r="U326" i="48"/>
  <c r="Q326" i="48"/>
  <c r="K326" i="48"/>
  <c r="U325" i="48"/>
  <c r="Q325" i="48"/>
  <c r="K325" i="48"/>
  <c r="U324" i="48"/>
  <c r="Q324" i="48"/>
  <c r="K324" i="48"/>
  <c r="U323" i="48"/>
  <c r="Q323" i="48"/>
  <c r="K323" i="48"/>
  <c r="U322" i="48"/>
  <c r="Q322" i="48"/>
  <c r="K322" i="48"/>
  <c r="U321" i="48"/>
  <c r="Q321" i="48"/>
  <c r="K321" i="48"/>
  <c r="C320" i="48"/>
  <c r="C321" i="48" s="1"/>
  <c r="C322" i="48" s="1"/>
  <c r="C323" i="48" s="1"/>
  <c r="C324" i="48" s="1"/>
  <c r="C325" i="48" s="1"/>
  <c r="C326" i="48" s="1"/>
  <c r="C327" i="48" s="1"/>
  <c r="C328" i="48" s="1"/>
  <c r="C329" i="48" s="1"/>
  <c r="C319" i="48"/>
  <c r="U317" i="48"/>
  <c r="Q317" i="48"/>
  <c r="K317" i="48"/>
  <c r="U316" i="48"/>
  <c r="Q316" i="48"/>
  <c r="K316" i="48"/>
  <c r="U315" i="48"/>
  <c r="Q315" i="48"/>
  <c r="K315" i="48"/>
  <c r="U314" i="48"/>
  <c r="Q314" i="48"/>
  <c r="K314" i="48"/>
  <c r="U313" i="48"/>
  <c r="Q313" i="48"/>
  <c r="K313" i="48"/>
  <c r="U312" i="48"/>
  <c r="Q312" i="48"/>
  <c r="K312" i="48"/>
  <c r="U311" i="48"/>
  <c r="Q311" i="48"/>
  <c r="K311" i="48"/>
  <c r="U310" i="48"/>
  <c r="Q310" i="48"/>
  <c r="K310" i="48"/>
  <c r="U309" i="48"/>
  <c r="Q309" i="48"/>
  <c r="K309" i="48"/>
  <c r="U308" i="48"/>
  <c r="Q308" i="48"/>
  <c r="K308" i="48"/>
  <c r="U307" i="48"/>
  <c r="Q307" i="48"/>
  <c r="K307" i="48"/>
  <c r="C305" i="48"/>
  <c r="C351" i="48" s="1"/>
  <c r="C352" i="48" s="1"/>
  <c r="C353" i="48" s="1"/>
  <c r="U304" i="48"/>
  <c r="S304" i="48"/>
  <c r="O304" i="48"/>
  <c r="K304" i="48"/>
  <c r="C304" i="48"/>
  <c r="U303" i="48"/>
  <c r="S303" i="48"/>
  <c r="O303" i="48"/>
  <c r="K303" i="48"/>
  <c r="C303" i="48"/>
  <c r="U302" i="48"/>
  <c r="S302" i="48"/>
  <c r="O302" i="48"/>
  <c r="K302" i="48"/>
  <c r="I302" i="48"/>
  <c r="C302" i="48"/>
  <c r="U301" i="48"/>
  <c r="Q301" i="48"/>
  <c r="K301" i="48"/>
  <c r="U300" i="48"/>
  <c r="Q300" i="48"/>
  <c r="K300" i="48"/>
  <c r="U299" i="48"/>
  <c r="Q299" i="48"/>
  <c r="K299" i="48"/>
  <c r="U298" i="48"/>
  <c r="Q298" i="48"/>
  <c r="K298" i="48"/>
  <c r="Q297" i="48"/>
  <c r="K297" i="48"/>
  <c r="U296" i="48"/>
  <c r="Q296" i="48"/>
  <c r="K296" i="48"/>
  <c r="U295" i="48"/>
  <c r="Q295" i="48"/>
  <c r="K295" i="48"/>
  <c r="Q294" i="48"/>
  <c r="K294" i="48"/>
  <c r="U293" i="48"/>
  <c r="Q293" i="48"/>
  <c r="K293" i="48"/>
  <c r="U292" i="48"/>
  <c r="Q292" i="48"/>
  <c r="K292" i="48"/>
  <c r="U291" i="48"/>
  <c r="Q291" i="48"/>
  <c r="K291" i="48"/>
  <c r="U290" i="48"/>
  <c r="Q290" i="48"/>
  <c r="K290" i="48"/>
  <c r="Q289" i="48"/>
  <c r="K289" i="48"/>
  <c r="U288" i="48"/>
  <c r="Q288" i="48"/>
  <c r="K288" i="48"/>
  <c r="U287" i="48"/>
  <c r="Q287" i="48"/>
  <c r="K287" i="48"/>
  <c r="C287" i="48"/>
  <c r="C288" i="48" s="1"/>
  <c r="C289" i="48" s="1"/>
  <c r="C290" i="48" s="1"/>
  <c r="C293" i="48" s="1"/>
  <c r="C285" i="48"/>
  <c r="C286" i="48" s="1"/>
  <c r="C294" i="48" s="1"/>
  <c r="C295" i="48" s="1"/>
  <c r="U284" i="48"/>
  <c r="U285" i="48" s="1"/>
  <c r="Q284" i="48"/>
  <c r="Q285" i="48" s="1"/>
  <c r="K284" i="48"/>
  <c r="K285" i="48" s="1"/>
  <c r="C282" i="48"/>
  <c r="C283" i="48" s="1"/>
  <c r="C284" i="48" s="1"/>
  <c r="U281" i="48"/>
  <c r="S281" i="48"/>
  <c r="O281" i="48"/>
  <c r="K281" i="48"/>
  <c r="U280" i="48"/>
  <c r="S280" i="48"/>
  <c r="O280" i="48"/>
  <c r="K280" i="48"/>
  <c r="C280" i="48"/>
  <c r="C281" i="48" s="1"/>
  <c r="U279" i="48"/>
  <c r="Q279" i="48"/>
  <c r="K279" i="48"/>
  <c r="U278" i="48"/>
  <c r="Q278" i="48"/>
  <c r="K278" i="48"/>
  <c r="U277" i="48"/>
  <c r="Q277" i="48"/>
  <c r="K277" i="48"/>
  <c r="U276" i="48"/>
  <c r="Q276" i="48"/>
  <c r="K276" i="48"/>
  <c r="C274" i="48"/>
  <c r="C275" i="48" s="1"/>
  <c r="C276" i="48" s="1"/>
  <c r="U273" i="48"/>
  <c r="U274" i="48" s="1"/>
  <c r="Q273" i="48"/>
  <c r="Q274" i="48" s="1"/>
  <c r="K273" i="48"/>
  <c r="K274" i="48" s="1"/>
  <c r="C271" i="48"/>
  <c r="C272" i="48" s="1"/>
  <c r="C273" i="48" s="1"/>
  <c r="U270" i="48"/>
  <c r="Q270" i="48"/>
  <c r="K270" i="48"/>
  <c r="U269" i="48"/>
  <c r="Q269" i="48"/>
  <c r="K269" i="48"/>
  <c r="C267" i="48"/>
  <c r="C268" i="48" s="1"/>
  <c r="C269" i="48" s="1"/>
  <c r="C270" i="48" s="1"/>
  <c r="U266" i="48"/>
  <c r="S266" i="48"/>
  <c r="O266" i="48"/>
  <c r="K266" i="48"/>
  <c r="C266" i="48"/>
  <c r="U264" i="48"/>
  <c r="Q264" i="48"/>
  <c r="K264" i="48"/>
  <c r="U263" i="48"/>
  <c r="Q263" i="48"/>
  <c r="K263" i="48"/>
  <c r="U262" i="48"/>
  <c r="Q262" i="48"/>
  <c r="K262" i="48"/>
  <c r="C260" i="48"/>
  <c r="C261" i="48" s="1"/>
  <c r="C262" i="48" s="1"/>
  <c r="C263" i="48" s="1"/>
  <c r="C264" i="48" s="1"/>
  <c r="C265" i="48" s="1"/>
  <c r="U259" i="48"/>
  <c r="Q259" i="48"/>
  <c r="K259" i="48"/>
  <c r="U258" i="48"/>
  <c r="Q258" i="48"/>
  <c r="K258" i="48"/>
  <c r="U257" i="48"/>
  <c r="Q257" i="48"/>
  <c r="K257" i="48"/>
  <c r="B256" i="48"/>
  <c r="F251" i="48"/>
  <c r="C251" i="48"/>
  <c r="Q250" i="48"/>
  <c r="K250" i="48"/>
  <c r="C250" i="48"/>
  <c r="U247" i="48"/>
  <c r="Q247" i="48"/>
  <c r="K247" i="48"/>
  <c r="U246" i="48"/>
  <c r="Q246" i="48"/>
  <c r="K246" i="48"/>
  <c r="U245" i="48"/>
  <c r="Q245" i="48"/>
  <c r="K245" i="48"/>
  <c r="C245" i="48"/>
  <c r="Q244" i="48"/>
  <c r="K244" i="48"/>
  <c r="C244" i="48"/>
  <c r="B243" i="48"/>
  <c r="F248" i="48" s="1"/>
  <c r="F242" i="48"/>
  <c r="U241" i="48"/>
  <c r="S241" i="48"/>
  <c r="O241" i="48"/>
  <c r="K241" i="48"/>
  <c r="U240" i="48"/>
  <c r="S240" i="48"/>
  <c r="O240" i="48"/>
  <c r="K240" i="48"/>
  <c r="U239" i="48"/>
  <c r="Q239" i="48"/>
  <c r="K239" i="48"/>
  <c r="Q238" i="48"/>
  <c r="K238" i="48"/>
  <c r="C238" i="48"/>
  <c r="C306" i="48" s="1"/>
  <c r="C307" i="48" s="1"/>
  <c r="C308" i="48" s="1"/>
  <c r="C309" i="48" s="1"/>
  <c r="C310" i="48" s="1"/>
  <c r="C311" i="48" s="1"/>
  <c r="C312" i="48" s="1"/>
  <c r="C313" i="48" s="1"/>
  <c r="C314" i="48" s="1"/>
  <c r="C315" i="48" s="1"/>
  <c r="C316" i="48" s="1"/>
  <c r="C317" i="48" s="1"/>
  <c r="C318" i="48" s="1"/>
  <c r="B238" i="48"/>
  <c r="B239" i="48" s="1"/>
  <c r="C235" i="48"/>
  <c r="F234" i="48"/>
  <c r="C234" i="48"/>
  <c r="U233" i="48"/>
  <c r="Q233" i="48"/>
  <c r="K233" i="48"/>
  <c r="U232" i="48"/>
  <c r="Q232" i="48"/>
  <c r="M232" i="48"/>
  <c r="K232" i="48"/>
  <c r="C231" i="48"/>
  <c r="C232" i="48" s="1"/>
  <c r="C233" i="48" s="1"/>
  <c r="F230" i="48"/>
  <c r="C230" i="48"/>
  <c r="U229" i="48"/>
  <c r="Q229" i="48"/>
  <c r="K229" i="48"/>
  <c r="U228" i="48"/>
  <c r="Q228" i="48"/>
  <c r="K228" i="48"/>
  <c r="U227" i="48"/>
  <c r="Q227" i="48"/>
  <c r="R227" i="48"/>
  <c r="S227" i="48" s="1"/>
  <c r="K227" i="48"/>
  <c r="Q226" i="48"/>
  <c r="K226" i="48"/>
  <c r="U225" i="48"/>
  <c r="Q225" i="48"/>
  <c r="K225" i="48"/>
  <c r="U224" i="48"/>
  <c r="Q224" i="48"/>
  <c r="K224" i="48"/>
  <c r="U223" i="48"/>
  <c r="Q223" i="48"/>
  <c r="K223" i="48"/>
  <c r="F221" i="48"/>
  <c r="C221" i="48"/>
  <c r="U220" i="48"/>
  <c r="U221" i="48" s="1"/>
  <c r="Q220" i="48"/>
  <c r="Q221" i="48" s="1"/>
  <c r="K220" i="48"/>
  <c r="K221" i="48" s="1"/>
  <c r="F218" i="48"/>
  <c r="U217" i="48"/>
  <c r="S217" i="48"/>
  <c r="O217" i="48"/>
  <c r="K217" i="48"/>
  <c r="U216" i="48"/>
  <c r="S216" i="48"/>
  <c r="O216" i="48"/>
  <c r="K216" i="48"/>
  <c r="U215" i="48"/>
  <c r="S215" i="48"/>
  <c r="O215" i="48"/>
  <c r="K215" i="48"/>
  <c r="C215" i="48"/>
  <c r="U214" i="48"/>
  <c r="S214" i="48"/>
  <c r="O214" i="48"/>
  <c r="K214" i="48"/>
  <c r="C214" i="48"/>
  <c r="U213" i="48"/>
  <c r="S213" i="48"/>
  <c r="O213" i="48"/>
  <c r="K213" i="48"/>
  <c r="C213" i="48"/>
  <c r="U212" i="48"/>
  <c r="S212" i="48"/>
  <c r="O212" i="48"/>
  <c r="K212" i="48"/>
  <c r="I212" i="48"/>
  <c r="C212" i="48"/>
  <c r="U211" i="48"/>
  <c r="S211" i="48"/>
  <c r="O211" i="48"/>
  <c r="K211" i="48"/>
  <c r="I211" i="48"/>
  <c r="C211" i="48"/>
  <c r="U210" i="48"/>
  <c r="S210" i="48"/>
  <c r="O210" i="48"/>
  <c r="K210" i="48"/>
  <c r="I210" i="48"/>
  <c r="C210" i="48"/>
  <c r="C217" i="48" s="1"/>
  <c r="C218" i="48" s="1"/>
  <c r="U209" i="48"/>
  <c r="Q209" i="48"/>
  <c r="K209" i="48"/>
  <c r="Q208" i="48"/>
  <c r="K208" i="48"/>
  <c r="U207" i="48"/>
  <c r="Q207" i="48"/>
  <c r="M207" i="48"/>
  <c r="K207" i="48"/>
  <c r="Q206" i="48"/>
  <c r="K206" i="48"/>
  <c r="U205" i="48"/>
  <c r="Q205" i="48"/>
  <c r="K205" i="48"/>
  <c r="Q204" i="48"/>
  <c r="K204" i="48"/>
  <c r="U203" i="48"/>
  <c r="Q203" i="48"/>
  <c r="K203" i="48"/>
  <c r="Q202" i="48"/>
  <c r="K202" i="48"/>
  <c r="U201" i="48"/>
  <c r="Q201" i="48"/>
  <c r="K201" i="48"/>
  <c r="Q200" i="48"/>
  <c r="K200" i="48"/>
  <c r="F198" i="48"/>
  <c r="C198" i="48"/>
  <c r="Q197" i="48"/>
  <c r="K197" i="48"/>
  <c r="U196" i="48"/>
  <c r="Q196" i="48"/>
  <c r="K196" i="48"/>
  <c r="U195" i="48"/>
  <c r="Q195" i="48"/>
  <c r="K195" i="48"/>
  <c r="U194" i="48"/>
  <c r="Q194" i="48"/>
  <c r="K194" i="48"/>
  <c r="Q193" i="48"/>
  <c r="K193" i="48"/>
  <c r="U192" i="48"/>
  <c r="Q192" i="48"/>
  <c r="K192" i="48"/>
  <c r="F190" i="48"/>
  <c r="U189" i="48"/>
  <c r="S189" i="48"/>
  <c r="O189" i="48"/>
  <c r="K189" i="48"/>
  <c r="U188" i="48"/>
  <c r="S188" i="48"/>
  <c r="O188" i="48"/>
  <c r="K188" i="48"/>
  <c r="C188" i="48"/>
  <c r="C189" i="48" s="1"/>
  <c r="C190" i="48" s="1"/>
  <c r="U187" i="48"/>
  <c r="Q187" i="48"/>
  <c r="M187" i="48"/>
  <c r="K187" i="48"/>
  <c r="Q186" i="48"/>
  <c r="K186" i="48"/>
  <c r="U185" i="48"/>
  <c r="Q185" i="48"/>
  <c r="K185" i="48"/>
  <c r="U184" i="48"/>
  <c r="Q184" i="48"/>
  <c r="K184" i="48"/>
  <c r="Q183" i="48"/>
  <c r="K183" i="48"/>
  <c r="U182" i="48"/>
  <c r="Q182" i="48"/>
  <c r="K182" i="48"/>
  <c r="U181" i="48"/>
  <c r="Q181" i="48"/>
  <c r="K181" i="48"/>
  <c r="U180" i="48"/>
  <c r="Q180" i="48"/>
  <c r="K180" i="48"/>
  <c r="Q179" i="48"/>
  <c r="K179" i="48"/>
  <c r="Q178" i="48"/>
  <c r="K178" i="48"/>
  <c r="U177" i="48"/>
  <c r="Q177" i="48"/>
  <c r="K177" i="48"/>
  <c r="F175" i="48"/>
  <c r="U174" i="48"/>
  <c r="S174" i="48"/>
  <c r="O174" i="48"/>
  <c r="K174" i="48"/>
  <c r="U173" i="48"/>
  <c r="S173" i="48"/>
  <c r="O173" i="48"/>
  <c r="K173" i="48"/>
  <c r="C173" i="48"/>
  <c r="U172" i="48"/>
  <c r="S172" i="48"/>
  <c r="O172" i="48"/>
  <c r="K172" i="48"/>
  <c r="C172" i="48"/>
  <c r="U171" i="48"/>
  <c r="S171" i="48"/>
  <c r="O171" i="48"/>
  <c r="K171" i="48"/>
  <c r="C171" i="48"/>
  <c r="U170" i="48"/>
  <c r="S170" i="48"/>
  <c r="O170" i="48"/>
  <c r="K170" i="48"/>
  <c r="C170" i="48"/>
  <c r="U169" i="48"/>
  <c r="S169" i="48"/>
  <c r="O169" i="48"/>
  <c r="K169" i="48"/>
  <c r="C169" i="48"/>
  <c r="C174" i="48" s="1"/>
  <c r="C175" i="48" s="1"/>
  <c r="U168" i="48"/>
  <c r="Q168" i="48"/>
  <c r="K168" i="48"/>
  <c r="U167" i="48"/>
  <c r="Q167" i="48"/>
  <c r="K167" i="48"/>
  <c r="U166" i="48"/>
  <c r="Q166" i="48"/>
  <c r="K166" i="48"/>
  <c r="U165" i="48"/>
  <c r="Q165" i="48"/>
  <c r="K165" i="48"/>
  <c r="U164" i="48"/>
  <c r="Q164" i="48"/>
  <c r="K164" i="48"/>
  <c r="Q163" i="48"/>
  <c r="K163" i="48"/>
  <c r="U162" i="48"/>
  <c r="Q162" i="48"/>
  <c r="K162" i="48"/>
  <c r="U161" i="48"/>
  <c r="Q161" i="48"/>
  <c r="K161" i="48"/>
  <c r="U160" i="48"/>
  <c r="Q160" i="48"/>
  <c r="K160" i="48"/>
  <c r="U159" i="48"/>
  <c r="Q159" i="48"/>
  <c r="K159" i="48"/>
  <c r="U158" i="48"/>
  <c r="Q158" i="48"/>
  <c r="K158" i="48"/>
  <c r="Q157" i="48"/>
  <c r="K157" i="48"/>
  <c r="U156" i="48"/>
  <c r="Q156" i="48"/>
  <c r="K156" i="48"/>
  <c r="U155" i="48"/>
  <c r="Q155" i="48"/>
  <c r="K155" i="48"/>
  <c r="Q154" i="48"/>
  <c r="K154" i="48"/>
  <c r="U153" i="48"/>
  <c r="Q153" i="48"/>
  <c r="K153" i="48"/>
  <c r="C153" i="48"/>
  <c r="C154" i="48" s="1"/>
  <c r="C155" i="48" s="1"/>
  <c r="C156" i="48" s="1"/>
  <c r="C157" i="48" s="1"/>
  <c r="Q152" i="48"/>
  <c r="K152" i="48"/>
  <c r="U151" i="48"/>
  <c r="Q151" i="48"/>
  <c r="K151" i="48"/>
  <c r="U150" i="48"/>
  <c r="Q150" i="48"/>
  <c r="K150" i="48"/>
  <c r="Q149" i="48"/>
  <c r="K149" i="48"/>
  <c r="U148" i="48"/>
  <c r="Q148" i="48"/>
  <c r="K148" i="48"/>
  <c r="C148" i="48"/>
  <c r="C149" i="48" s="1"/>
  <c r="C150" i="48" s="1"/>
  <c r="C151" i="48" s="1"/>
  <c r="C152" i="48" s="1"/>
  <c r="U147" i="48"/>
  <c r="Q147" i="48"/>
  <c r="K147" i="48"/>
  <c r="U146" i="48"/>
  <c r="Q146" i="48"/>
  <c r="K146" i="48"/>
  <c r="U145" i="48"/>
  <c r="Q145" i="48"/>
  <c r="K145" i="48"/>
  <c r="Q144" i="48"/>
  <c r="K144" i="48"/>
  <c r="Q143" i="48"/>
  <c r="K143" i="48"/>
  <c r="C143" i="48"/>
  <c r="C144" i="48" s="1"/>
  <c r="C145" i="48" s="1"/>
  <c r="C146" i="48" s="1"/>
  <c r="C147" i="48" s="1"/>
  <c r="U142" i="48"/>
  <c r="Q142" i="48"/>
  <c r="K142" i="48"/>
  <c r="U141" i="48"/>
  <c r="Q141" i="48"/>
  <c r="K141" i="48"/>
  <c r="U140" i="48"/>
  <c r="Q140" i="48"/>
  <c r="K140" i="48"/>
  <c r="Q139" i="48"/>
  <c r="K139" i="48"/>
  <c r="C138" i="48"/>
  <c r="C139" i="48" s="1"/>
  <c r="C140" i="48" s="1"/>
  <c r="C141" i="48" s="1"/>
  <c r="C142" i="48" s="1"/>
  <c r="C158" i="48" s="1"/>
  <c r="C159" i="48" s="1"/>
  <c r="C160" i="48" s="1"/>
  <c r="C161" i="48" s="1"/>
  <c r="C162" i="48" s="1"/>
  <c r="C163" i="48" s="1"/>
  <c r="C164" i="48" s="1"/>
  <c r="C165" i="48" s="1"/>
  <c r="C166" i="48" s="1"/>
  <c r="C167" i="48" s="1"/>
  <c r="C168" i="48" s="1"/>
  <c r="C135" i="48"/>
  <c r="C136" i="48" s="1"/>
  <c r="C137" i="48" s="1"/>
  <c r="U134" i="48"/>
  <c r="S134" i="48"/>
  <c r="O134" i="48"/>
  <c r="K134" i="48"/>
  <c r="I134" i="48"/>
  <c r="C134" i="48"/>
  <c r="Q133" i="48"/>
  <c r="K133" i="48"/>
  <c r="U132" i="48"/>
  <c r="Q132" i="48"/>
  <c r="K132" i="48"/>
  <c r="C130" i="48"/>
  <c r="U129" i="48"/>
  <c r="S129" i="48"/>
  <c r="O129" i="48"/>
  <c r="K129" i="48"/>
  <c r="C129" i="48"/>
  <c r="Q127" i="48"/>
  <c r="K127" i="48"/>
  <c r="Q126" i="48"/>
  <c r="K126" i="48"/>
  <c r="C124" i="48"/>
  <c r="U123" i="48"/>
  <c r="S123" i="48"/>
  <c r="O123" i="48"/>
  <c r="K123" i="48"/>
  <c r="C123" i="48"/>
  <c r="U122" i="48"/>
  <c r="S122" i="48"/>
  <c r="O122" i="48"/>
  <c r="K122" i="48"/>
  <c r="C122" i="48"/>
  <c r="Q121" i="48"/>
  <c r="K121" i="48"/>
  <c r="Q120" i="48"/>
  <c r="K120" i="48"/>
  <c r="Q119" i="48"/>
  <c r="K119" i="48"/>
  <c r="C117" i="48"/>
  <c r="U115" i="48"/>
  <c r="Q115" i="48"/>
  <c r="K115" i="48"/>
  <c r="U114" i="48"/>
  <c r="Q114" i="48"/>
  <c r="K114" i="48"/>
  <c r="U113" i="48"/>
  <c r="Q113" i="48"/>
  <c r="L333" i="48"/>
  <c r="K113" i="48"/>
  <c r="C111" i="48"/>
  <c r="U110" i="48"/>
  <c r="S110" i="48"/>
  <c r="O110" i="48"/>
  <c r="K110" i="48"/>
  <c r="C110" i="48"/>
  <c r="U109" i="48"/>
  <c r="Q109" i="48"/>
  <c r="K109" i="48"/>
  <c r="U108" i="48"/>
  <c r="Q108" i="48"/>
  <c r="K108" i="48"/>
  <c r="U107" i="48"/>
  <c r="Q107" i="48"/>
  <c r="K107" i="48"/>
  <c r="U106" i="48"/>
  <c r="Q106" i="48"/>
  <c r="K106" i="48"/>
  <c r="U105" i="48"/>
  <c r="Q105" i="48"/>
  <c r="K105" i="48"/>
  <c r="U104" i="48"/>
  <c r="Q104" i="48"/>
  <c r="K104" i="48"/>
  <c r="U103" i="48"/>
  <c r="R103" i="48"/>
  <c r="S103" i="48" s="1"/>
  <c r="Q103" i="48"/>
  <c r="K103" i="48"/>
  <c r="U102" i="48"/>
  <c r="Q102" i="48"/>
  <c r="K102" i="48"/>
  <c r="U101" i="48"/>
  <c r="Q101" i="48"/>
  <c r="K101" i="48"/>
  <c r="C99" i="48"/>
  <c r="U97" i="48"/>
  <c r="Q97" i="48"/>
  <c r="K97" i="48"/>
  <c r="U96" i="48"/>
  <c r="Q96" i="48"/>
  <c r="K96" i="48"/>
  <c r="U95" i="48"/>
  <c r="Q95" i="48"/>
  <c r="K95" i="48"/>
  <c r="U94" i="48"/>
  <c r="Q94" i="48"/>
  <c r="K94" i="48"/>
  <c r="U93" i="48"/>
  <c r="Q93" i="48"/>
  <c r="K93" i="48"/>
  <c r="U92" i="48"/>
  <c r="Q92" i="48"/>
  <c r="K92" i="48"/>
  <c r="U91" i="48"/>
  <c r="Q91" i="48"/>
  <c r="K91" i="48"/>
  <c r="U90" i="48"/>
  <c r="Q90" i="48"/>
  <c r="K90" i="48"/>
  <c r="U89" i="48"/>
  <c r="Q89" i="48"/>
  <c r="K89" i="48"/>
  <c r="U88" i="48"/>
  <c r="Q88" i="48"/>
  <c r="K88" i="48"/>
  <c r="U87" i="48"/>
  <c r="U99" i="48" s="1"/>
  <c r="Q87" i="48"/>
  <c r="K87" i="48"/>
  <c r="K99" i="48" s="1"/>
  <c r="U84" i="48"/>
  <c r="S84" i="48"/>
  <c r="O84" i="48"/>
  <c r="K84" i="48"/>
  <c r="C84" i="48"/>
  <c r="C85" i="48" s="1"/>
  <c r="C131" i="48" s="1"/>
  <c r="C132" i="48" s="1"/>
  <c r="C133" i="48" s="1"/>
  <c r="U83" i="48"/>
  <c r="S83" i="48"/>
  <c r="O83" i="48"/>
  <c r="K83" i="48"/>
  <c r="C83" i="48"/>
  <c r="U82" i="48"/>
  <c r="S82" i="48"/>
  <c r="O82" i="48"/>
  <c r="K82" i="48"/>
  <c r="I82" i="48"/>
  <c r="C82" i="48"/>
  <c r="U81" i="48"/>
  <c r="Q81" i="48"/>
  <c r="K81" i="48"/>
  <c r="U80" i="48"/>
  <c r="Q80" i="48"/>
  <c r="K80" i="48"/>
  <c r="U79" i="48"/>
  <c r="Q79" i="48"/>
  <c r="K79" i="48"/>
  <c r="U78" i="48"/>
  <c r="Q78" i="48"/>
  <c r="K78" i="48"/>
  <c r="Q77" i="48"/>
  <c r="K77" i="48"/>
  <c r="U76" i="48"/>
  <c r="Q76" i="48"/>
  <c r="K76" i="48"/>
  <c r="U75" i="48"/>
  <c r="Q75" i="48"/>
  <c r="K75" i="48"/>
  <c r="Q74" i="48"/>
  <c r="K74" i="48"/>
  <c r="U73" i="48"/>
  <c r="Q73" i="48"/>
  <c r="K73" i="48"/>
  <c r="U72" i="48"/>
  <c r="Q72" i="48"/>
  <c r="K72" i="48"/>
  <c r="U71" i="48"/>
  <c r="Q71" i="48"/>
  <c r="K71" i="48"/>
  <c r="U70" i="48"/>
  <c r="Q70" i="48"/>
  <c r="K70" i="48"/>
  <c r="Q69" i="48"/>
  <c r="K69" i="48"/>
  <c r="U68" i="48"/>
  <c r="Q68" i="48"/>
  <c r="K68" i="48"/>
  <c r="U67" i="48"/>
  <c r="Q67" i="48"/>
  <c r="K67" i="48"/>
  <c r="C65" i="48"/>
  <c r="C66" i="48" s="1"/>
  <c r="C74" i="48" s="1"/>
  <c r="C75" i="48" s="1"/>
  <c r="U64" i="48"/>
  <c r="U65" i="48" s="1"/>
  <c r="Q64" i="48"/>
  <c r="Q65" i="48" s="1"/>
  <c r="K64" i="48"/>
  <c r="K65" i="48" s="1"/>
  <c r="U61" i="48"/>
  <c r="S61" i="48"/>
  <c r="O61" i="48"/>
  <c r="K61" i="48"/>
  <c r="U60" i="48"/>
  <c r="S60" i="48"/>
  <c r="O60" i="48"/>
  <c r="K60" i="48"/>
  <c r="C60" i="48"/>
  <c r="C61" i="48" s="1"/>
  <c r="U59" i="48"/>
  <c r="Q59" i="48"/>
  <c r="K59" i="48"/>
  <c r="U58" i="48"/>
  <c r="Q58" i="48"/>
  <c r="K58" i="48"/>
  <c r="U57" i="48"/>
  <c r="Q57" i="48"/>
  <c r="K57" i="48"/>
  <c r="U56" i="48"/>
  <c r="Q56" i="48"/>
  <c r="K56" i="48"/>
  <c r="C54" i="48"/>
  <c r="C55" i="48" s="1"/>
  <c r="C56" i="48" s="1"/>
  <c r="C57" i="48" s="1"/>
  <c r="C58" i="48" s="1"/>
  <c r="C59" i="48" s="1"/>
  <c r="U53" i="48"/>
  <c r="U54" i="48" s="1"/>
  <c r="Q53" i="48"/>
  <c r="Q54" i="48" s="1"/>
  <c r="K53" i="48"/>
  <c r="K54" i="48" s="1"/>
  <c r="C51" i="48"/>
  <c r="C52" i="48" s="1"/>
  <c r="C53" i="48" s="1"/>
  <c r="U50" i="48"/>
  <c r="Q50" i="48"/>
  <c r="K50" i="48"/>
  <c r="U49" i="48"/>
  <c r="Q49" i="48"/>
  <c r="K49" i="48"/>
  <c r="C47" i="48"/>
  <c r="U46" i="48"/>
  <c r="S46" i="48"/>
  <c r="O46" i="48"/>
  <c r="K46" i="48"/>
  <c r="C46" i="48"/>
  <c r="C112" i="48" s="1"/>
  <c r="C113" i="48" s="1"/>
  <c r="C114" i="48" s="1"/>
  <c r="C115" i="48" s="1"/>
  <c r="U44" i="48"/>
  <c r="Q44" i="48"/>
  <c r="K44" i="48"/>
  <c r="U43" i="48"/>
  <c r="Q43" i="48"/>
  <c r="K43" i="48"/>
  <c r="U42" i="48"/>
  <c r="Q42" i="48"/>
  <c r="K42" i="48"/>
  <c r="C40" i="48"/>
  <c r="C41" i="48" s="1"/>
  <c r="C42" i="48" s="1"/>
  <c r="C43" i="48" s="1"/>
  <c r="U39" i="48"/>
  <c r="Q39" i="48"/>
  <c r="K39" i="48"/>
  <c r="U38" i="48"/>
  <c r="Q38" i="48"/>
  <c r="K38" i="48"/>
  <c r="U37" i="48"/>
  <c r="Q37" i="48"/>
  <c r="K37" i="48"/>
  <c r="B36" i="48"/>
  <c r="F40" i="48" s="1"/>
  <c r="F31" i="48"/>
  <c r="Q30" i="48"/>
  <c r="K30" i="48"/>
  <c r="C30" i="48"/>
  <c r="U27" i="48"/>
  <c r="Q27" i="48"/>
  <c r="K27" i="48"/>
  <c r="U26" i="48"/>
  <c r="Q26" i="48"/>
  <c r="K26" i="48"/>
  <c r="U25" i="48"/>
  <c r="Q25" i="48"/>
  <c r="K25" i="48"/>
  <c r="Q24" i="48"/>
  <c r="K24" i="48"/>
  <c r="B23" i="48"/>
  <c r="F28" i="48" s="1"/>
  <c r="F22" i="48"/>
  <c r="U21" i="48"/>
  <c r="S21" i="48"/>
  <c r="O21" i="48"/>
  <c r="K21" i="48"/>
  <c r="U20" i="48"/>
  <c r="S20" i="48"/>
  <c r="O20" i="48"/>
  <c r="K20" i="48"/>
  <c r="U19" i="48"/>
  <c r="Q19" i="48"/>
  <c r="K19" i="48"/>
  <c r="Q18" i="48"/>
  <c r="K18" i="48"/>
  <c r="C18" i="48"/>
  <c r="C86" i="48" s="1"/>
  <c r="C87" i="48" s="1"/>
  <c r="C88" i="48" s="1"/>
  <c r="C89" i="48" s="1"/>
  <c r="C90" i="48" s="1"/>
  <c r="C91" i="48" s="1"/>
  <c r="C92" i="48" s="1"/>
  <c r="C93" i="48" s="1"/>
  <c r="C94" i="48" s="1"/>
  <c r="C95" i="48" s="1"/>
  <c r="C96" i="48" s="1"/>
  <c r="C97" i="48" s="1"/>
  <c r="C98" i="48" s="1"/>
  <c r="B18" i="48"/>
  <c r="B19" i="48" s="1"/>
  <c r="Q99" i="48" l="1"/>
  <c r="C256" i="48"/>
  <c r="C257" i="48" s="1"/>
  <c r="C258" i="48" s="1"/>
  <c r="C259" i="48" s="1"/>
  <c r="C252" i="48"/>
  <c r="C253" i="48" s="1"/>
  <c r="C254" i="48" s="1"/>
  <c r="K337" i="48"/>
  <c r="K40" i="48"/>
  <c r="Q337" i="48"/>
  <c r="K117" i="48"/>
  <c r="Q117" i="48"/>
  <c r="S204" i="48"/>
  <c r="T204" i="48"/>
  <c r="U204" i="48" s="1"/>
  <c r="O227" i="48"/>
  <c r="T226" i="48"/>
  <c r="U226" i="48" s="1"/>
  <c r="U230" i="48" s="1"/>
  <c r="O155" i="48"/>
  <c r="T154" i="48"/>
  <c r="U154" i="48" s="1"/>
  <c r="S186" i="48"/>
  <c r="T186" i="48"/>
  <c r="U186" i="48" s="1"/>
  <c r="S200" i="48"/>
  <c r="T200" i="48"/>
  <c r="U200" i="48" s="1"/>
  <c r="S18" i="48"/>
  <c r="T18" i="48"/>
  <c r="U18" i="48" s="1"/>
  <c r="U22" i="48" s="1"/>
  <c r="S183" i="48"/>
  <c r="T183" i="48"/>
  <c r="U183" i="48" s="1"/>
  <c r="O158" i="48"/>
  <c r="T157" i="48"/>
  <c r="U157" i="48" s="1"/>
  <c r="S202" i="48"/>
  <c r="T202" i="48"/>
  <c r="U202" i="48" s="1"/>
  <c r="U337" i="48"/>
  <c r="L303" i="48"/>
  <c r="P303" i="48" s="1"/>
  <c r="L313" i="48"/>
  <c r="R313" i="48" s="1"/>
  <c r="S313" i="48" s="1"/>
  <c r="R75" i="48"/>
  <c r="S75" i="48" s="1"/>
  <c r="Q234" i="48"/>
  <c r="K355" i="48"/>
  <c r="Q169" i="48"/>
  <c r="M123" i="48"/>
  <c r="Q189" i="48"/>
  <c r="Q173" i="48"/>
  <c r="M134" i="48"/>
  <c r="K230" i="48"/>
  <c r="K271" i="48"/>
  <c r="U62" i="48"/>
  <c r="Q28" i="48"/>
  <c r="K51" i="48"/>
  <c r="K198" i="48"/>
  <c r="Q271" i="48"/>
  <c r="C118" i="48"/>
  <c r="C119" i="48" s="1"/>
  <c r="C120" i="48" s="1"/>
  <c r="C121" i="48" s="1"/>
  <c r="U260" i="48"/>
  <c r="K267" i="48"/>
  <c r="U267" i="48"/>
  <c r="Q212" i="48"/>
  <c r="Q40" i="48"/>
  <c r="K111" i="48"/>
  <c r="Q198" i="48"/>
  <c r="U234" i="48"/>
  <c r="U331" i="48"/>
  <c r="K344" i="48"/>
  <c r="K190" i="48"/>
  <c r="K31" i="48"/>
  <c r="K47" i="48"/>
  <c r="U111" i="48"/>
  <c r="K130" i="48"/>
  <c r="K242" i="48"/>
  <c r="K260" i="48"/>
  <c r="K135" i="48"/>
  <c r="K251" i="48"/>
  <c r="K282" i="48"/>
  <c r="K331" i="48"/>
  <c r="K350" i="48"/>
  <c r="U51" i="48"/>
  <c r="U40" i="48"/>
  <c r="U117" i="48"/>
  <c r="U271" i="48"/>
  <c r="K85" i="48"/>
  <c r="K28" i="48"/>
  <c r="Q51" i="48"/>
  <c r="K234" i="48"/>
  <c r="C239" i="48"/>
  <c r="Q260" i="48"/>
  <c r="U282" i="48"/>
  <c r="O31" i="48"/>
  <c r="Q210" i="48"/>
  <c r="K22" i="48"/>
  <c r="L354" i="48"/>
  <c r="P354" i="48" s="1"/>
  <c r="M67" i="48"/>
  <c r="M50" i="48"/>
  <c r="M51" i="48" s="1"/>
  <c r="N186" i="48"/>
  <c r="O186" i="48" s="1"/>
  <c r="N196" i="48"/>
  <c r="O196" i="48" s="1"/>
  <c r="L244" i="48"/>
  <c r="N244" i="48" s="1"/>
  <c r="O244" i="48" s="1"/>
  <c r="R178" i="48"/>
  <c r="M186" i="48"/>
  <c r="R24" i="48"/>
  <c r="M38" i="48"/>
  <c r="R50" i="48"/>
  <c r="S50" i="48" s="1"/>
  <c r="M170" i="48"/>
  <c r="M178" i="48"/>
  <c r="M206" i="48"/>
  <c r="N93" i="48"/>
  <c r="O93" i="48" s="1"/>
  <c r="N207" i="48"/>
  <c r="O207" i="48" s="1"/>
  <c r="L245" i="48"/>
  <c r="N245" i="48" s="1"/>
  <c r="O245" i="48" s="1"/>
  <c r="R179" i="48"/>
  <c r="N67" i="48"/>
  <c r="O67" i="48" s="1"/>
  <c r="L323" i="48"/>
  <c r="N323" i="48" s="1"/>
  <c r="O323" i="48" s="1"/>
  <c r="N113" i="48"/>
  <c r="O113" i="48" s="1"/>
  <c r="R39" i="48"/>
  <c r="S39" i="48" s="1"/>
  <c r="L295" i="48"/>
  <c r="R295" i="48" s="1"/>
  <c r="S295" i="48" s="1"/>
  <c r="M75" i="48"/>
  <c r="M83" i="48"/>
  <c r="L343" i="48"/>
  <c r="P343" i="48" s="1"/>
  <c r="Q343" i="48" s="1"/>
  <c r="R139" i="48"/>
  <c r="P171" i="48"/>
  <c r="Q171" i="48" s="1"/>
  <c r="M227" i="48"/>
  <c r="L288" i="48"/>
  <c r="N288" i="48" s="1"/>
  <c r="O288" i="48" s="1"/>
  <c r="R93" i="48"/>
  <c r="S93" i="48" s="1"/>
  <c r="M139" i="48"/>
  <c r="N179" i="48"/>
  <c r="O179" i="48" s="1"/>
  <c r="R187" i="48"/>
  <c r="S187" i="48" s="1"/>
  <c r="L287" i="48"/>
  <c r="M287" i="48" s="1"/>
  <c r="N18" i="48"/>
  <c r="O18" i="48" s="1"/>
  <c r="O22" i="48" s="1"/>
  <c r="R107" i="48"/>
  <c r="S107" i="48" s="1"/>
  <c r="R208" i="48"/>
  <c r="M225" i="48"/>
  <c r="N79" i="48"/>
  <c r="O79" i="48" s="1"/>
  <c r="M18" i="48"/>
  <c r="N56" i="48"/>
  <c r="O56" i="48" s="1"/>
  <c r="N200" i="48"/>
  <c r="O200" i="48" s="1"/>
  <c r="M205" i="48"/>
  <c r="R177" i="48"/>
  <c r="S177" i="48" s="1"/>
  <c r="N192" i="48"/>
  <c r="O192" i="48" s="1"/>
  <c r="M216" i="48"/>
  <c r="R76" i="48"/>
  <c r="S76" i="48" s="1"/>
  <c r="N26" i="48"/>
  <c r="O26" i="48" s="1"/>
  <c r="N119" i="48"/>
  <c r="O119" i="48" s="1"/>
  <c r="N232" i="48"/>
  <c r="O232" i="48" s="1"/>
  <c r="L239" i="48"/>
  <c r="M239" i="48" s="1"/>
  <c r="R71" i="48"/>
  <c r="S71" i="48" s="1"/>
  <c r="R105" i="48"/>
  <c r="S105" i="48" s="1"/>
  <c r="L309" i="48"/>
  <c r="R309" i="48" s="1"/>
  <c r="S309" i="48" s="1"/>
  <c r="L279" i="48"/>
  <c r="R279" i="48" s="1"/>
  <c r="S279" i="48" s="1"/>
  <c r="L298" i="48"/>
  <c r="R298" i="48" s="1"/>
  <c r="S298" i="48" s="1"/>
  <c r="N89" i="48"/>
  <c r="O89" i="48" s="1"/>
  <c r="M71" i="48"/>
  <c r="L316" i="48"/>
  <c r="M316" i="48" s="1"/>
  <c r="M169" i="48"/>
  <c r="N180" i="48"/>
  <c r="O180" i="48" s="1"/>
  <c r="M182" i="48"/>
  <c r="M30" i="48"/>
  <c r="M74" i="48"/>
  <c r="R109" i="48"/>
  <c r="S109" i="48" s="1"/>
  <c r="L348" i="48"/>
  <c r="P348" i="48" s="1"/>
  <c r="Q348" i="48" s="1"/>
  <c r="M202" i="48"/>
  <c r="R206" i="48"/>
  <c r="L290" i="48"/>
  <c r="N290" i="48" s="1"/>
  <c r="L339" i="48"/>
  <c r="M339" i="48" s="1"/>
  <c r="M181" i="48"/>
  <c r="R180" i="48"/>
  <c r="S180" i="48" s="1"/>
  <c r="N182" i="48"/>
  <c r="O182" i="48" s="1"/>
  <c r="N208" i="48"/>
  <c r="O208" i="48" s="1"/>
  <c r="N220" i="48"/>
  <c r="O220" i="48" s="1"/>
  <c r="O221" i="48" s="1"/>
  <c r="R30" i="48"/>
  <c r="M79" i="48"/>
  <c r="M89" i="48"/>
  <c r="M220" i="48"/>
  <c r="M221" i="48" s="1"/>
  <c r="L238" i="48"/>
  <c r="M238" i="48" s="1"/>
  <c r="L270" i="48"/>
  <c r="R270" i="48" s="1"/>
  <c r="S270" i="48" s="1"/>
  <c r="N68" i="48"/>
  <c r="O68" i="48" s="1"/>
  <c r="R79" i="48"/>
  <c r="S79" i="48" s="1"/>
  <c r="M84" i="48"/>
  <c r="L308" i="48"/>
  <c r="R308" i="48" s="1"/>
  <c r="S308" i="48" s="1"/>
  <c r="M92" i="48"/>
  <c r="M97" i="48"/>
  <c r="M107" i="48"/>
  <c r="M183" i="48"/>
  <c r="R94" i="48"/>
  <c r="S94" i="48" s="1"/>
  <c r="L250" i="48"/>
  <c r="N250" i="48" s="1"/>
  <c r="O250" i="48" s="1"/>
  <c r="O251" i="48" s="1"/>
  <c r="L317" i="48"/>
  <c r="R317" i="48" s="1"/>
  <c r="S317" i="48" s="1"/>
  <c r="R126" i="48"/>
  <c r="M173" i="48"/>
  <c r="M200" i="48"/>
  <c r="N202" i="48"/>
  <c r="O202" i="48" s="1"/>
  <c r="M61" i="48"/>
  <c r="N71" i="48"/>
  <c r="O71" i="48" s="1"/>
  <c r="N97" i="48"/>
  <c r="O97" i="48" s="1"/>
  <c r="P172" i="48"/>
  <c r="Q172" i="48" s="1"/>
  <c r="N233" i="48"/>
  <c r="O233" i="48" s="1"/>
  <c r="N42" i="48"/>
  <c r="O42" i="48" s="1"/>
  <c r="L258" i="48"/>
  <c r="R258" i="48" s="1"/>
  <c r="S258" i="48" s="1"/>
  <c r="M24" i="48"/>
  <c r="M27" i="48"/>
  <c r="N127" i="48"/>
  <c r="O127" i="48" s="1"/>
  <c r="O130" i="48" s="1"/>
  <c r="S135" i="48"/>
  <c r="L335" i="48"/>
  <c r="R335" i="48" s="1"/>
  <c r="S335" i="48" s="1"/>
  <c r="R165" i="48"/>
  <c r="S165" i="48" s="1"/>
  <c r="R57" i="48"/>
  <c r="S57" i="48" s="1"/>
  <c r="L325" i="48"/>
  <c r="N325" i="48" s="1"/>
  <c r="O325" i="48" s="1"/>
  <c r="R27" i="48"/>
  <c r="S27" i="48" s="1"/>
  <c r="M43" i="48"/>
  <c r="M105" i="48"/>
  <c r="R127" i="48"/>
  <c r="L263" i="48"/>
  <c r="R263" i="48" s="1"/>
  <c r="S263" i="48" s="1"/>
  <c r="M201" i="48"/>
  <c r="M209" i="48"/>
  <c r="M229" i="48"/>
  <c r="N181" i="48"/>
  <c r="O181" i="48" s="1"/>
  <c r="M189" i="48"/>
  <c r="N201" i="48"/>
  <c r="O201" i="48" s="1"/>
  <c r="N209" i="48"/>
  <c r="O209" i="48" s="1"/>
  <c r="M217" i="48"/>
  <c r="L277" i="48"/>
  <c r="N277" i="48" s="1"/>
  <c r="O277" i="48" s="1"/>
  <c r="L342" i="48"/>
  <c r="P342" i="48" s="1"/>
  <c r="L353" i="48"/>
  <c r="R353" i="48" s="1"/>
  <c r="S353" i="48" s="1"/>
  <c r="M212" i="48"/>
  <c r="L321" i="48"/>
  <c r="R321" i="48" s="1"/>
  <c r="S321" i="48" s="1"/>
  <c r="N133" i="48"/>
  <c r="O133" i="48" s="1"/>
  <c r="R101" i="48"/>
  <c r="S101" i="48" s="1"/>
  <c r="L241" i="48"/>
  <c r="P241" i="48" s="1"/>
  <c r="Q241" i="48" s="1"/>
  <c r="R80" i="48"/>
  <c r="S80" i="48" s="1"/>
  <c r="N72" i="48"/>
  <c r="O72" i="48" s="1"/>
  <c r="N90" i="48"/>
  <c r="O90" i="48" s="1"/>
  <c r="L329" i="48"/>
  <c r="R329" i="48" s="1"/>
  <c r="S329" i="48" s="1"/>
  <c r="K124" i="48"/>
  <c r="M223" i="48"/>
  <c r="N183" i="48"/>
  <c r="O183" i="48" s="1"/>
  <c r="N223" i="48"/>
  <c r="O223" i="48" s="1"/>
  <c r="L349" i="48"/>
  <c r="P349" i="48" s="1"/>
  <c r="Q349" i="48" s="1"/>
  <c r="M167" i="48"/>
  <c r="M203" i="48"/>
  <c r="M233" i="48"/>
  <c r="M234" i="48" s="1"/>
  <c r="N203" i="48"/>
  <c r="O203" i="48" s="1"/>
  <c r="L352" i="48"/>
  <c r="N352" i="48" s="1"/>
  <c r="O352" i="48" s="1"/>
  <c r="Q21" i="48"/>
  <c r="L246" i="48"/>
  <c r="R246" i="48" s="1"/>
  <c r="S246" i="48" s="1"/>
  <c r="L262" i="48"/>
  <c r="N262" i="48" s="1"/>
  <c r="O262" i="48" s="1"/>
  <c r="L266" i="48"/>
  <c r="M266" i="48" s="1"/>
  <c r="L276" i="48"/>
  <c r="N276" i="48" s="1"/>
  <c r="O276" i="48" s="1"/>
  <c r="L280" i="48"/>
  <c r="M280" i="48" s="1"/>
  <c r="R72" i="48"/>
  <c r="S72" i="48" s="1"/>
  <c r="P84" i="48"/>
  <c r="Q84" i="48" s="1"/>
  <c r="R90" i="48"/>
  <c r="S90" i="48" s="1"/>
  <c r="N132" i="48"/>
  <c r="O132" i="48" s="1"/>
  <c r="N185" i="48"/>
  <c r="O185" i="48" s="1"/>
  <c r="N205" i="48"/>
  <c r="O205" i="48" s="1"/>
  <c r="P174" i="48"/>
  <c r="Q174" i="48" s="1"/>
  <c r="M26" i="48"/>
  <c r="M46" i="48"/>
  <c r="M56" i="48"/>
  <c r="M60" i="48"/>
  <c r="L281" i="48"/>
  <c r="M281" i="48" s="1"/>
  <c r="M184" i="48"/>
  <c r="M185" i="48"/>
  <c r="N204" i="48"/>
  <c r="O204" i="48" s="1"/>
  <c r="L257" i="48"/>
  <c r="N257" i="48" s="1"/>
  <c r="O257" i="48" s="1"/>
  <c r="L300" i="48"/>
  <c r="R300" i="48" s="1"/>
  <c r="S300" i="48" s="1"/>
  <c r="M101" i="48"/>
  <c r="L324" i="48"/>
  <c r="N324" i="48" s="1"/>
  <c r="O324" i="48" s="1"/>
  <c r="L328" i="48"/>
  <c r="N328" i="48" s="1"/>
  <c r="O328" i="48" s="1"/>
  <c r="M109" i="48"/>
  <c r="L341" i="48"/>
  <c r="N341" i="48" s="1"/>
  <c r="O341" i="48" s="1"/>
  <c r="L346" i="48"/>
  <c r="R346" i="48" s="1"/>
  <c r="N194" i="48"/>
  <c r="O194" i="48" s="1"/>
  <c r="N184" i="48"/>
  <c r="O184" i="48" s="1"/>
  <c r="M204" i="48"/>
  <c r="L240" i="48"/>
  <c r="P240" i="48" s="1"/>
  <c r="Q240" i="48" s="1"/>
  <c r="M37" i="48"/>
  <c r="L296" i="48"/>
  <c r="N296" i="48" s="1"/>
  <c r="O296" i="48" s="1"/>
  <c r="L314" i="48"/>
  <c r="M314" i="48" s="1"/>
  <c r="M104" i="48"/>
  <c r="M108" i="48"/>
  <c r="R161" i="48"/>
  <c r="S161" i="48" s="1"/>
  <c r="Q170" i="48"/>
  <c r="N177" i="48"/>
  <c r="O177" i="48" s="1"/>
  <c r="M213" i="48"/>
  <c r="Q47" i="48"/>
  <c r="C181" i="48"/>
  <c r="C182" i="48" s="1"/>
  <c r="C183" i="48" s="1"/>
  <c r="C184" i="48" s="1"/>
  <c r="C185" i="48" s="1"/>
  <c r="C44" i="48"/>
  <c r="C45" i="48" s="1"/>
  <c r="B41" i="48"/>
  <c r="R19" i="48"/>
  <c r="S19" i="48" s="1"/>
  <c r="N25" i="48"/>
  <c r="O25" i="48" s="1"/>
  <c r="U47" i="48"/>
  <c r="L273" i="48"/>
  <c r="M53" i="48"/>
  <c r="M54" i="48" s="1"/>
  <c r="R53" i="48"/>
  <c r="S53" i="48" s="1"/>
  <c r="S54" i="48" s="1"/>
  <c r="Q62" i="48"/>
  <c r="M146" i="48"/>
  <c r="R146" i="48"/>
  <c r="S146" i="48" s="1"/>
  <c r="N146" i="48"/>
  <c r="O146" i="48" s="1"/>
  <c r="C67" i="48"/>
  <c r="C68" i="48" s="1"/>
  <c r="C62" i="48"/>
  <c r="C63" i="48" s="1"/>
  <c r="C64" i="48" s="1"/>
  <c r="C19" i="48"/>
  <c r="P20" i="48"/>
  <c r="Q20" i="48" s="1"/>
  <c r="M21" i="48"/>
  <c r="L302" i="48"/>
  <c r="P302" i="48" s="1"/>
  <c r="Q302" i="48" s="1"/>
  <c r="P82" i="48"/>
  <c r="Q82" i="48" s="1"/>
  <c r="L322" i="48"/>
  <c r="R102" i="48"/>
  <c r="S102" i="48" s="1"/>
  <c r="N102" i="48"/>
  <c r="O102" i="48" s="1"/>
  <c r="M102" i="48"/>
  <c r="Q122" i="48"/>
  <c r="M122" i="48"/>
  <c r="M154" i="48"/>
  <c r="R154" i="48"/>
  <c r="S154" i="48" s="1"/>
  <c r="N154" i="48"/>
  <c r="O154" i="48" s="1"/>
  <c r="C298" i="48"/>
  <c r="C299" i="48" s="1"/>
  <c r="C296" i="48"/>
  <c r="C297" i="48" s="1"/>
  <c r="C300" i="48" s="1"/>
  <c r="C301" i="48" s="1"/>
  <c r="R247" i="48"/>
  <c r="S247" i="48" s="1"/>
  <c r="N247" i="48"/>
  <c r="O247" i="48" s="1"/>
  <c r="M247" i="48"/>
  <c r="L259" i="48"/>
  <c r="M39" i="48"/>
  <c r="L269" i="48"/>
  <c r="R49" i="48"/>
  <c r="S49" i="48" s="1"/>
  <c r="N49" i="48"/>
  <c r="O49" i="48" s="1"/>
  <c r="O51" i="48" s="1"/>
  <c r="L284" i="48"/>
  <c r="N64" i="48"/>
  <c r="O64" i="48" s="1"/>
  <c r="O65" i="48" s="1"/>
  <c r="M64" i="48"/>
  <c r="M65" i="48" s="1"/>
  <c r="G19" i="53" s="1"/>
  <c r="R64" i="48"/>
  <c r="S64" i="48" s="1"/>
  <c r="S65" i="48" s="1"/>
  <c r="L326" i="48"/>
  <c r="R106" i="48"/>
  <c r="S106" i="48" s="1"/>
  <c r="N106" i="48"/>
  <c r="O106" i="48" s="1"/>
  <c r="M106" i="48"/>
  <c r="R25" i="48"/>
  <c r="S25" i="48" s="1"/>
  <c r="L264" i="48"/>
  <c r="N44" i="48"/>
  <c r="O44" i="48" s="1"/>
  <c r="C186" i="48"/>
  <c r="C187" i="48" s="1"/>
  <c r="C176" i="48"/>
  <c r="C177" i="48" s="1"/>
  <c r="C178" i="48" s="1"/>
  <c r="C179" i="48" s="1"/>
  <c r="C180" i="48" s="1"/>
  <c r="C48" i="48"/>
  <c r="C49" i="48" s="1"/>
  <c r="C50" i="48" s="1"/>
  <c r="L278" i="48"/>
  <c r="N58" i="48"/>
  <c r="O58" i="48" s="1"/>
  <c r="M58" i="48"/>
  <c r="R58" i="48"/>
  <c r="S58" i="48" s="1"/>
  <c r="M19" i="48"/>
  <c r="N27" i="48"/>
  <c r="O27" i="48" s="1"/>
  <c r="N38" i="48"/>
  <c r="O38" i="48" s="1"/>
  <c r="O40" i="48" s="1"/>
  <c r="N43" i="48"/>
  <c r="O43" i="48" s="1"/>
  <c r="M44" i="48"/>
  <c r="K62" i="48"/>
  <c r="C191" i="48"/>
  <c r="C192" i="48" s="1"/>
  <c r="C193" i="48" s="1"/>
  <c r="C194" i="48" s="1"/>
  <c r="C195" i="48" s="1"/>
  <c r="C78" i="48"/>
  <c r="C79" i="48" s="1"/>
  <c r="C76" i="48"/>
  <c r="C77" i="48" s="1"/>
  <c r="C80" i="48" s="1"/>
  <c r="C81" i="48" s="1"/>
  <c r="L330" i="48"/>
  <c r="P330" i="48" s="1"/>
  <c r="Q330" i="48" s="1"/>
  <c r="Q331" i="48" s="1"/>
  <c r="P110" i="48"/>
  <c r="Q110" i="48" s="1"/>
  <c r="Q111" i="48" s="1"/>
  <c r="M110" i="48"/>
  <c r="R37" i="48"/>
  <c r="S37" i="48" s="1"/>
  <c r="R42" i="48"/>
  <c r="S42" i="48" s="1"/>
  <c r="N59" i="48"/>
  <c r="O59" i="48" s="1"/>
  <c r="N70" i="48"/>
  <c r="R291" i="48"/>
  <c r="S291" i="48" s="1"/>
  <c r="N291" i="48"/>
  <c r="O291" i="48" s="1"/>
  <c r="M291" i="48"/>
  <c r="N74" i="48"/>
  <c r="O74" i="48" s="1"/>
  <c r="N78" i="48"/>
  <c r="O78" i="48" s="1"/>
  <c r="R299" i="48"/>
  <c r="S299" i="48" s="1"/>
  <c r="N299" i="48"/>
  <c r="O299" i="48" s="1"/>
  <c r="M299" i="48"/>
  <c r="M82" i="48"/>
  <c r="N88" i="48"/>
  <c r="O88" i="48" s="1"/>
  <c r="N92" i="48"/>
  <c r="O92" i="48" s="1"/>
  <c r="N96" i="48"/>
  <c r="O96" i="48" s="1"/>
  <c r="R104" i="48"/>
  <c r="S104" i="48" s="1"/>
  <c r="R108" i="48"/>
  <c r="S108" i="48" s="1"/>
  <c r="N115" i="48"/>
  <c r="O115" i="48" s="1"/>
  <c r="N121" i="48"/>
  <c r="O121" i="48" s="1"/>
  <c r="P123" i="48"/>
  <c r="Q123" i="48" s="1"/>
  <c r="P129" i="48"/>
  <c r="Q129" i="48" s="1"/>
  <c r="Q130" i="48" s="1"/>
  <c r="P134" i="48"/>
  <c r="R145" i="48"/>
  <c r="S145" i="48" s="1"/>
  <c r="M145" i="48"/>
  <c r="R153" i="48"/>
  <c r="S153" i="48" s="1"/>
  <c r="M153" i="48"/>
  <c r="R193" i="48"/>
  <c r="N193" i="48"/>
  <c r="O193" i="48" s="1"/>
  <c r="M193" i="48"/>
  <c r="R69" i="48"/>
  <c r="S69" i="48" s="1"/>
  <c r="R73" i="48"/>
  <c r="S73" i="48" s="1"/>
  <c r="R77" i="48"/>
  <c r="R81" i="48"/>
  <c r="S81" i="48" s="1"/>
  <c r="P304" i="48"/>
  <c r="Q304" i="48" s="1"/>
  <c r="M304" i="48"/>
  <c r="R87" i="48"/>
  <c r="S87" i="48" s="1"/>
  <c r="R91" i="48"/>
  <c r="S91" i="48" s="1"/>
  <c r="R95" i="48"/>
  <c r="S95" i="48" s="1"/>
  <c r="N327" i="48"/>
  <c r="O327" i="48" s="1"/>
  <c r="M327" i="48"/>
  <c r="R327" i="48"/>
  <c r="S327" i="48" s="1"/>
  <c r="R114" i="48"/>
  <c r="S114" i="48" s="1"/>
  <c r="R120" i="48"/>
  <c r="M126" i="48"/>
  <c r="M132" i="48"/>
  <c r="R144" i="48"/>
  <c r="S144" i="48" s="1"/>
  <c r="M144" i="48"/>
  <c r="N145" i="48"/>
  <c r="R152" i="48"/>
  <c r="S152" i="48" s="1"/>
  <c r="M152" i="48"/>
  <c r="N153" i="48"/>
  <c r="R160" i="48"/>
  <c r="S160" i="48" s="1"/>
  <c r="N160" i="48"/>
  <c r="O160" i="48" s="1"/>
  <c r="M160" i="48"/>
  <c r="R168" i="48"/>
  <c r="S168" i="48" s="1"/>
  <c r="N168" i="48"/>
  <c r="O168" i="48" s="1"/>
  <c r="M168" i="48"/>
  <c r="Q211" i="48"/>
  <c r="M211" i="48"/>
  <c r="Q230" i="48"/>
  <c r="N292" i="48"/>
  <c r="O292" i="48" s="1"/>
  <c r="M292" i="48"/>
  <c r="R292" i="48"/>
  <c r="S292" i="48" s="1"/>
  <c r="N310" i="48"/>
  <c r="O310" i="48" s="1"/>
  <c r="M310" i="48"/>
  <c r="R310" i="48"/>
  <c r="S310" i="48" s="1"/>
  <c r="N333" i="48"/>
  <c r="O333" i="48" s="1"/>
  <c r="M333" i="48"/>
  <c r="R333" i="48"/>
  <c r="S333" i="48" s="1"/>
  <c r="N347" i="48"/>
  <c r="O347" i="48" s="1"/>
  <c r="M347" i="48"/>
  <c r="R347" i="48"/>
  <c r="M143" i="48"/>
  <c r="R143" i="48"/>
  <c r="M151" i="48"/>
  <c r="R151" i="48"/>
  <c r="S151" i="48" s="1"/>
  <c r="M159" i="48"/>
  <c r="R159" i="48"/>
  <c r="S159" i="48" s="1"/>
  <c r="R164" i="48"/>
  <c r="S164" i="48" s="1"/>
  <c r="N164" i="48"/>
  <c r="M164" i="48"/>
  <c r="Q214" i="48"/>
  <c r="M214" i="48"/>
  <c r="M57" i="48"/>
  <c r="R59" i="48"/>
  <c r="S59" i="48" s="1"/>
  <c r="M68" i="48"/>
  <c r="R70" i="48"/>
  <c r="S70" i="48" s="1"/>
  <c r="M72" i="48"/>
  <c r="R74" i="48"/>
  <c r="M76" i="48"/>
  <c r="R78" i="48"/>
  <c r="S78" i="48" s="1"/>
  <c r="M80" i="48"/>
  <c r="R88" i="48"/>
  <c r="S88" i="48" s="1"/>
  <c r="M90" i="48"/>
  <c r="R92" i="48"/>
  <c r="S92" i="48" s="1"/>
  <c r="M94" i="48"/>
  <c r="R96" i="48"/>
  <c r="S96" i="48" s="1"/>
  <c r="N103" i="48"/>
  <c r="O103" i="48" s="1"/>
  <c r="N107" i="48"/>
  <c r="O107" i="48" s="1"/>
  <c r="M113" i="48"/>
  <c r="R115" i="48"/>
  <c r="S115" i="48" s="1"/>
  <c r="M119" i="48"/>
  <c r="R121" i="48"/>
  <c r="M127" i="48"/>
  <c r="M133" i="48"/>
  <c r="M142" i="48"/>
  <c r="R142" i="48"/>
  <c r="S142" i="48" s="1"/>
  <c r="N143" i="48"/>
  <c r="O143" i="48" s="1"/>
  <c r="M150" i="48"/>
  <c r="R150" i="48"/>
  <c r="S150" i="48" s="1"/>
  <c r="N151" i="48"/>
  <c r="O151" i="48" s="1"/>
  <c r="M158" i="48"/>
  <c r="R158" i="48"/>
  <c r="S158" i="48" s="1"/>
  <c r="N159" i="48"/>
  <c r="O159" i="48" s="1"/>
  <c r="M163" i="48"/>
  <c r="R163" i="48"/>
  <c r="S163" i="48" s="1"/>
  <c r="Q188" i="48"/>
  <c r="Q190" i="48" s="1"/>
  <c r="M188" i="48"/>
  <c r="K218" i="48"/>
  <c r="M289" i="48"/>
  <c r="R289" i="48"/>
  <c r="S289" i="48" s="1"/>
  <c r="N289" i="48"/>
  <c r="O289" i="48" s="1"/>
  <c r="M293" i="48"/>
  <c r="R293" i="48"/>
  <c r="S293" i="48" s="1"/>
  <c r="N293" i="48"/>
  <c r="O293" i="48" s="1"/>
  <c r="M297" i="48"/>
  <c r="R297" i="48"/>
  <c r="N297" i="48"/>
  <c r="O297" i="48" s="1"/>
  <c r="M301" i="48"/>
  <c r="R301" i="48"/>
  <c r="S301" i="48" s="1"/>
  <c r="N301" i="48"/>
  <c r="O301" i="48" s="1"/>
  <c r="M307" i="48"/>
  <c r="R307" i="48"/>
  <c r="S307" i="48" s="1"/>
  <c r="N307" i="48"/>
  <c r="O307" i="48" s="1"/>
  <c r="M311" i="48"/>
  <c r="R311" i="48"/>
  <c r="S311" i="48" s="1"/>
  <c r="N311" i="48"/>
  <c r="O311" i="48" s="1"/>
  <c r="M315" i="48"/>
  <c r="R315" i="48"/>
  <c r="S315" i="48" s="1"/>
  <c r="N315" i="48"/>
  <c r="O315" i="48" s="1"/>
  <c r="R334" i="48"/>
  <c r="S334" i="48" s="1"/>
  <c r="N334" i="48"/>
  <c r="O334" i="48" s="1"/>
  <c r="M334" i="48"/>
  <c r="R340" i="48"/>
  <c r="N340" i="48"/>
  <c r="O340" i="48" s="1"/>
  <c r="M340" i="48"/>
  <c r="K175" i="48"/>
  <c r="R141" i="48"/>
  <c r="S141" i="48" s="1"/>
  <c r="M141" i="48"/>
  <c r="R149" i="48"/>
  <c r="M149" i="48"/>
  <c r="R157" i="48"/>
  <c r="S157" i="48" s="1"/>
  <c r="M157" i="48"/>
  <c r="R197" i="48"/>
  <c r="N197" i="48"/>
  <c r="O197" i="48" s="1"/>
  <c r="M197" i="48"/>
  <c r="S234" i="48"/>
  <c r="M69" i="48"/>
  <c r="M73" i="48"/>
  <c r="M77" i="48"/>
  <c r="M81" i="48"/>
  <c r="M87" i="48"/>
  <c r="M91" i="48"/>
  <c r="M95" i="48"/>
  <c r="M114" i="48"/>
  <c r="M120" i="48"/>
  <c r="R140" i="48"/>
  <c r="S140" i="48" s="1"/>
  <c r="M140" i="48"/>
  <c r="N141" i="48"/>
  <c r="O141" i="48" s="1"/>
  <c r="R148" i="48"/>
  <c r="S148" i="48" s="1"/>
  <c r="M148" i="48"/>
  <c r="N149" i="48"/>
  <c r="O149" i="48" s="1"/>
  <c r="R156" i="48"/>
  <c r="S156" i="48" s="1"/>
  <c r="M156" i="48"/>
  <c r="N157" i="48"/>
  <c r="O157" i="48" s="1"/>
  <c r="M162" i="48"/>
  <c r="R162" i="48"/>
  <c r="S162" i="48" s="1"/>
  <c r="Q215" i="48"/>
  <c r="M215" i="48"/>
  <c r="N69" i="48"/>
  <c r="O69" i="48" s="1"/>
  <c r="N73" i="48"/>
  <c r="O73" i="48" s="1"/>
  <c r="R294" i="48"/>
  <c r="N294" i="48"/>
  <c r="O294" i="48" s="1"/>
  <c r="M294" i="48"/>
  <c r="N77" i="48"/>
  <c r="O77" i="48" s="1"/>
  <c r="N81" i="48"/>
  <c r="O81" i="48" s="1"/>
  <c r="N87" i="48"/>
  <c r="O87" i="48" s="1"/>
  <c r="N91" i="48"/>
  <c r="O91" i="48" s="1"/>
  <c r="R312" i="48"/>
  <c r="S312" i="48" s="1"/>
  <c r="N312" i="48"/>
  <c r="O312" i="48" s="1"/>
  <c r="M312" i="48"/>
  <c r="N95" i="48"/>
  <c r="O95" i="48" s="1"/>
  <c r="N114" i="48"/>
  <c r="O114" i="48" s="1"/>
  <c r="N120" i="48"/>
  <c r="O120" i="48" s="1"/>
  <c r="M147" i="48"/>
  <c r="R147" i="48"/>
  <c r="S147" i="48" s="1"/>
  <c r="M155" i="48"/>
  <c r="R155" i="48"/>
  <c r="S155" i="48" s="1"/>
  <c r="N166" i="48"/>
  <c r="O166" i="48" s="1"/>
  <c r="M166" i="48"/>
  <c r="R166" i="48"/>
  <c r="S166" i="48" s="1"/>
  <c r="R226" i="48"/>
  <c r="S226" i="48" s="1"/>
  <c r="N226" i="48"/>
  <c r="O226" i="48" s="1"/>
  <c r="M226" i="48"/>
  <c r="R195" i="48"/>
  <c r="S195" i="48" s="1"/>
  <c r="M210" i="48"/>
  <c r="R224" i="48"/>
  <c r="S224" i="48" s="1"/>
  <c r="R228" i="48"/>
  <c r="S228" i="48" s="1"/>
  <c r="Q213" i="48"/>
  <c r="C291" i="48"/>
  <c r="C292" i="48" s="1"/>
  <c r="M161" i="48"/>
  <c r="M165" i="48"/>
  <c r="R167" i="48"/>
  <c r="S167" i="48" s="1"/>
  <c r="R192" i="48"/>
  <c r="S192" i="48" s="1"/>
  <c r="M194" i="48"/>
  <c r="R196" i="48"/>
  <c r="S196" i="48" s="1"/>
  <c r="R225" i="48"/>
  <c r="S225" i="48" s="1"/>
  <c r="R229" i="48"/>
  <c r="S229" i="48" s="1"/>
  <c r="F260" i="48"/>
  <c r="B261" i="48"/>
  <c r="K305" i="48"/>
  <c r="K248" i="48"/>
  <c r="M195" i="48"/>
  <c r="M224" i="48"/>
  <c r="M228" i="48"/>
  <c r="C338" i="48"/>
  <c r="C339" i="48" s="1"/>
  <c r="C340" i="48" s="1"/>
  <c r="C341" i="48" s="1"/>
  <c r="C277" i="48"/>
  <c r="C278" i="48" s="1"/>
  <c r="C279" i="48" s="1"/>
  <c r="Q248" i="48"/>
  <c r="C345" i="48"/>
  <c r="C346" i="48" s="1"/>
  <c r="C347" i="48" s="1"/>
  <c r="O99" i="48" l="1"/>
  <c r="S99" i="48"/>
  <c r="M99" i="48"/>
  <c r="G18" i="53" s="1"/>
  <c r="K356" i="48"/>
  <c r="R245" i="48"/>
  <c r="S245" i="48" s="1"/>
  <c r="K136" i="48"/>
  <c r="S22" i="48"/>
  <c r="M313" i="48"/>
  <c r="N313" i="48"/>
  <c r="O313" i="48" s="1"/>
  <c r="S294" i="48"/>
  <c r="T294" i="48"/>
  <c r="U294" i="48" s="1"/>
  <c r="S297" i="48"/>
  <c r="T297" i="48"/>
  <c r="U297" i="48" s="1"/>
  <c r="S74" i="48"/>
  <c r="T74" i="48"/>
  <c r="U74" i="48" s="1"/>
  <c r="Q134" i="48"/>
  <c r="Q135" i="48" s="1"/>
  <c r="T133" i="48"/>
  <c r="U133" i="48" s="1"/>
  <c r="U135" i="48" s="1"/>
  <c r="O70" i="48"/>
  <c r="O85" i="48" s="1"/>
  <c r="T69" i="48"/>
  <c r="U69" i="48" s="1"/>
  <c r="Q342" i="48"/>
  <c r="Q344" i="48" s="1"/>
  <c r="T339" i="48"/>
  <c r="U339" i="48" s="1"/>
  <c r="S139" i="48"/>
  <c r="T139" i="48"/>
  <c r="U139" i="48" s="1"/>
  <c r="S121" i="48"/>
  <c r="T121" i="48"/>
  <c r="U121" i="48" s="1"/>
  <c r="S143" i="48"/>
  <c r="T143" i="48"/>
  <c r="U143" i="48" s="1"/>
  <c r="S179" i="48"/>
  <c r="T179" i="48"/>
  <c r="U179" i="48" s="1"/>
  <c r="S340" i="48"/>
  <c r="T340" i="48"/>
  <c r="U340" i="48" s="1"/>
  <c r="S149" i="48"/>
  <c r="T149" i="48"/>
  <c r="U149" i="48" s="1"/>
  <c r="O153" i="48"/>
  <c r="T152" i="48"/>
  <c r="U152" i="48" s="1"/>
  <c r="S126" i="48"/>
  <c r="T126" i="48"/>
  <c r="U126" i="48" s="1"/>
  <c r="O164" i="48"/>
  <c r="T163" i="48"/>
  <c r="U163" i="48" s="1"/>
  <c r="S347" i="48"/>
  <c r="T347" i="48"/>
  <c r="U347" i="48" s="1"/>
  <c r="S193" i="48"/>
  <c r="T193" i="48"/>
  <c r="U193" i="48" s="1"/>
  <c r="S127" i="48"/>
  <c r="T127" i="48"/>
  <c r="U127" i="48" s="1"/>
  <c r="S24" i="48"/>
  <c r="S28" i="48" s="1"/>
  <c r="T24" i="48"/>
  <c r="U24" i="48" s="1"/>
  <c r="U28" i="48" s="1"/>
  <c r="Q354" i="48"/>
  <c r="Q355" i="48" s="1"/>
  <c r="T353" i="48"/>
  <c r="U353" i="48" s="1"/>
  <c r="U355" i="48" s="1"/>
  <c r="S120" i="48"/>
  <c r="T120" i="48"/>
  <c r="U120" i="48" s="1"/>
  <c r="O290" i="48"/>
  <c r="T289" i="48"/>
  <c r="U289" i="48" s="1"/>
  <c r="S197" i="48"/>
  <c r="T197" i="48"/>
  <c r="U197" i="48" s="1"/>
  <c r="O145" i="48"/>
  <c r="T144" i="48"/>
  <c r="U144" i="48" s="1"/>
  <c r="S77" i="48"/>
  <c r="T77" i="48"/>
  <c r="U77" i="48" s="1"/>
  <c r="S346" i="48"/>
  <c r="T346" i="48"/>
  <c r="U346" i="48" s="1"/>
  <c r="S30" i="48"/>
  <c r="S31" i="48" s="1"/>
  <c r="T30" i="48"/>
  <c r="U30" i="48" s="1"/>
  <c r="U31" i="48" s="1"/>
  <c r="S206" i="48"/>
  <c r="T206" i="48"/>
  <c r="U206" i="48" s="1"/>
  <c r="S208" i="48"/>
  <c r="T208" i="48"/>
  <c r="U208" i="48" s="1"/>
  <c r="S178" i="48"/>
  <c r="T178" i="48"/>
  <c r="U178" i="48" s="1"/>
  <c r="S337" i="48"/>
  <c r="S117" i="48"/>
  <c r="M117" i="48"/>
  <c r="G21" i="53" s="1"/>
  <c r="R323" i="48"/>
  <c r="S323" i="48" s="1"/>
  <c r="O117" i="48"/>
  <c r="N308" i="48"/>
  <c r="O308" i="48" s="1"/>
  <c r="M279" i="48"/>
  <c r="M354" i="48"/>
  <c r="N279" i="48"/>
  <c r="O279" i="48" s="1"/>
  <c r="M308" i="48"/>
  <c r="M323" i="48"/>
  <c r="M348" i="48"/>
  <c r="C242" i="48"/>
  <c r="C240" i="48"/>
  <c r="C241" i="48" s="1"/>
  <c r="N287" i="48"/>
  <c r="O287" i="48" s="1"/>
  <c r="R244" i="48"/>
  <c r="N309" i="48"/>
  <c r="O309" i="48" s="1"/>
  <c r="M295" i="48"/>
  <c r="N316" i="48"/>
  <c r="O316" i="48" s="1"/>
  <c r="M244" i="48"/>
  <c r="R316" i="48"/>
  <c r="S316" i="48" s="1"/>
  <c r="P281" i="48"/>
  <c r="Q281" i="48" s="1"/>
  <c r="M270" i="48"/>
  <c r="M245" i="48"/>
  <c r="S51" i="48"/>
  <c r="M321" i="48"/>
  <c r="P280" i="48"/>
  <c r="Q280" i="48" s="1"/>
  <c r="M341" i="48"/>
  <c r="N295" i="48"/>
  <c r="O295" i="48" s="1"/>
  <c r="R341" i="48"/>
  <c r="M288" i="48"/>
  <c r="S40" i="48"/>
  <c r="R288" i="48"/>
  <c r="S288" i="48" s="1"/>
  <c r="N239" i="48"/>
  <c r="O239" i="48" s="1"/>
  <c r="N339" i="48"/>
  <c r="O339" i="48" s="1"/>
  <c r="O344" i="48" s="1"/>
  <c r="M309" i="48"/>
  <c r="M343" i="48"/>
  <c r="R287" i="48"/>
  <c r="S287" i="48" s="1"/>
  <c r="R239" i="48"/>
  <c r="S239" i="48" s="1"/>
  <c r="N270" i="48"/>
  <c r="O270" i="48" s="1"/>
  <c r="M257" i="48"/>
  <c r="O124" i="48"/>
  <c r="M298" i="48"/>
  <c r="M290" i="48"/>
  <c r="M335" i="48"/>
  <c r="M337" i="48" s="1"/>
  <c r="N298" i="48"/>
  <c r="O298" i="48" s="1"/>
  <c r="R290" i="48"/>
  <c r="S290" i="48" s="1"/>
  <c r="R339" i="48"/>
  <c r="S339" i="48" s="1"/>
  <c r="R314" i="48"/>
  <c r="S314" i="48" s="1"/>
  <c r="S319" i="48" s="1"/>
  <c r="M31" i="48"/>
  <c r="G13" i="53" s="1"/>
  <c r="N335" i="48"/>
  <c r="O335" i="48" s="1"/>
  <c r="O337" i="48" s="1"/>
  <c r="R257" i="48"/>
  <c r="S257" i="48" s="1"/>
  <c r="Q85" i="48"/>
  <c r="M246" i="48"/>
  <c r="N314" i="48"/>
  <c r="O314" i="48" s="1"/>
  <c r="R250" i="48"/>
  <c r="S47" i="48"/>
  <c r="N238" i="48"/>
  <c r="O238" i="48" s="1"/>
  <c r="O234" i="48"/>
  <c r="R325" i="48"/>
  <c r="S325" i="48" s="1"/>
  <c r="Q124" i="48"/>
  <c r="O230" i="48"/>
  <c r="N321" i="48"/>
  <c r="O321" i="48" s="1"/>
  <c r="M342" i="48"/>
  <c r="N258" i="48"/>
  <c r="O258" i="48" s="1"/>
  <c r="R238" i="48"/>
  <c r="M28" i="48"/>
  <c r="G15" i="53" s="1"/>
  <c r="R277" i="48"/>
  <c r="S277" i="48" s="1"/>
  <c r="M250" i="48"/>
  <c r="M300" i="48"/>
  <c r="M277" i="48"/>
  <c r="M317" i="48"/>
  <c r="M276" i="48"/>
  <c r="M240" i="48"/>
  <c r="M263" i="48"/>
  <c r="N317" i="48"/>
  <c r="O317" i="48" s="1"/>
  <c r="N263" i="48"/>
  <c r="O263" i="48" s="1"/>
  <c r="M241" i="48"/>
  <c r="Q31" i="48"/>
  <c r="N346" i="48"/>
  <c r="O346" i="48" s="1"/>
  <c r="O350" i="48" s="1"/>
  <c r="M258" i="48"/>
  <c r="R324" i="48"/>
  <c r="S324" i="48" s="1"/>
  <c r="M329" i="48"/>
  <c r="M324" i="48"/>
  <c r="N329" i="48"/>
  <c r="O329" i="48" s="1"/>
  <c r="R262" i="48"/>
  <c r="S262" i="48" s="1"/>
  <c r="M353" i="48"/>
  <c r="Q242" i="48"/>
  <c r="M262" i="48"/>
  <c r="N353" i="48"/>
  <c r="O353" i="48" s="1"/>
  <c r="O355" i="48" s="1"/>
  <c r="M325" i="48"/>
  <c r="M22" i="48"/>
  <c r="G14" i="53" s="1"/>
  <c r="N300" i="48"/>
  <c r="O300" i="48" s="1"/>
  <c r="R296" i="48"/>
  <c r="S296" i="48" s="1"/>
  <c r="M296" i="48"/>
  <c r="Q22" i="48"/>
  <c r="Q350" i="48"/>
  <c r="M349" i="48"/>
  <c r="O135" i="48"/>
  <c r="M346" i="48"/>
  <c r="Q175" i="48"/>
  <c r="O218" i="48"/>
  <c r="M330" i="48"/>
  <c r="R352" i="48"/>
  <c r="S352" i="48" s="1"/>
  <c r="S355" i="48" s="1"/>
  <c r="M352" i="48"/>
  <c r="S111" i="48"/>
  <c r="M198" i="48"/>
  <c r="Q251" i="48"/>
  <c r="Q218" i="48"/>
  <c r="N246" i="48"/>
  <c r="O246" i="48" s="1"/>
  <c r="O248" i="48" s="1"/>
  <c r="M230" i="48"/>
  <c r="M62" i="48"/>
  <c r="G24" i="53" s="1"/>
  <c r="M47" i="48"/>
  <c r="G22" i="53" s="1"/>
  <c r="M218" i="48"/>
  <c r="M302" i="48"/>
  <c r="M175" i="48"/>
  <c r="O111" i="48"/>
  <c r="P266" i="48"/>
  <c r="Q266" i="48" s="1"/>
  <c r="Q267" i="48" s="1"/>
  <c r="R276" i="48"/>
  <c r="S276" i="48" s="1"/>
  <c r="S62" i="48"/>
  <c r="M40" i="48"/>
  <c r="G16" i="53" s="1"/>
  <c r="R328" i="48"/>
  <c r="S328" i="48" s="1"/>
  <c r="O47" i="48"/>
  <c r="M328" i="48"/>
  <c r="O198" i="48"/>
  <c r="O62" i="48"/>
  <c r="M111" i="48"/>
  <c r="G20" i="53" s="1"/>
  <c r="O28" i="48"/>
  <c r="O190" i="48"/>
  <c r="S230" i="48"/>
  <c r="M190" i="48"/>
  <c r="M85" i="48"/>
  <c r="G17" i="53" s="1"/>
  <c r="K235" i="48"/>
  <c r="N264" i="48"/>
  <c r="O264" i="48" s="1"/>
  <c r="M264" i="48"/>
  <c r="R264" i="48"/>
  <c r="S264" i="48" s="1"/>
  <c r="R269" i="48"/>
  <c r="S269" i="48" s="1"/>
  <c r="S271" i="48" s="1"/>
  <c r="N269" i="48"/>
  <c r="O269" i="48" s="1"/>
  <c r="M269" i="48"/>
  <c r="M124" i="48"/>
  <c r="C22" i="48"/>
  <c r="C20" i="48"/>
  <c r="M135" i="48"/>
  <c r="G23" i="53" s="1"/>
  <c r="M278" i="48"/>
  <c r="R278" i="48"/>
  <c r="S278" i="48" s="1"/>
  <c r="N278" i="48"/>
  <c r="O278" i="48" s="1"/>
  <c r="M284" i="48"/>
  <c r="M285" i="48" s="1"/>
  <c r="R284" i="48"/>
  <c r="S284" i="48" s="1"/>
  <c r="S285" i="48" s="1"/>
  <c r="N284" i="48"/>
  <c r="O284" i="48" s="1"/>
  <c r="O285" i="48" s="1"/>
  <c r="R322" i="48"/>
  <c r="S322" i="48" s="1"/>
  <c r="N322" i="48"/>
  <c r="O322" i="48" s="1"/>
  <c r="M322" i="48"/>
  <c r="M130" i="48"/>
  <c r="R326" i="48"/>
  <c r="S326" i="48" s="1"/>
  <c r="N326" i="48"/>
  <c r="O326" i="48" s="1"/>
  <c r="M326" i="48"/>
  <c r="C71" i="48"/>
  <c r="C72" i="48" s="1"/>
  <c r="C69" i="48"/>
  <c r="M273" i="48"/>
  <c r="M274" i="48" s="1"/>
  <c r="R273" i="48"/>
  <c r="S273" i="48" s="1"/>
  <c r="S274" i="48" s="1"/>
  <c r="N273" i="48"/>
  <c r="O273" i="48" s="1"/>
  <c r="O274" i="48" s="1"/>
  <c r="F47" i="48"/>
  <c r="B48" i="48"/>
  <c r="F267" i="48"/>
  <c r="B268" i="48"/>
  <c r="R259" i="48"/>
  <c r="S259" i="48" s="1"/>
  <c r="N259" i="48"/>
  <c r="O259" i="48" s="1"/>
  <c r="M259" i="48"/>
  <c r="I15" i="53" l="1"/>
  <c r="I23" i="53"/>
  <c r="I22" i="53"/>
  <c r="O319" i="48"/>
  <c r="M319" i="48"/>
  <c r="U190" i="48"/>
  <c r="O136" i="48"/>
  <c r="U305" i="48"/>
  <c r="I24" i="53"/>
  <c r="Q136" i="48"/>
  <c r="I21" i="53"/>
  <c r="G25" i="53"/>
  <c r="I25" i="53" s="1"/>
  <c r="S198" i="48"/>
  <c r="I18" i="53"/>
  <c r="I14" i="53"/>
  <c r="I17" i="53"/>
  <c r="I13" i="53"/>
  <c r="I16" i="53"/>
  <c r="I20" i="53"/>
  <c r="I19" i="53"/>
  <c r="S85" i="48"/>
  <c r="S130" i="48"/>
  <c r="M136" i="48"/>
  <c r="S190" i="48"/>
  <c r="S218" i="48"/>
  <c r="O175" i="48"/>
  <c r="O235" i="48" s="1"/>
  <c r="U218" i="48"/>
  <c r="S350" i="48"/>
  <c r="S175" i="48"/>
  <c r="S124" i="48"/>
  <c r="U175" i="48"/>
  <c r="S238" i="48"/>
  <c r="S242" i="48" s="1"/>
  <c r="T238" i="48"/>
  <c r="U238" i="48" s="1"/>
  <c r="U242" i="48" s="1"/>
  <c r="S341" i="48"/>
  <c r="S344" i="48" s="1"/>
  <c r="T341" i="48"/>
  <c r="U341" i="48" s="1"/>
  <c r="U344" i="48" s="1"/>
  <c r="S244" i="48"/>
  <c r="S248" i="48" s="1"/>
  <c r="T244" i="48"/>
  <c r="U244" i="48" s="1"/>
  <c r="U248" i="48" s="1"/>
  <c r="U350" i="48"/>
  <c r="U130" i="48"/>
  <c r="U124" i="48"/>
  <c r="U198" i="48"/>
  <c r="U85" i="48"/>
  <c r="S250" i="48"/>
  <c r="S251" i="48" s="1"/>
  <c r="T250" i="48"/>
  <c r="U250" i="48" s="1"/>
  <c r="U251" i="48" s="1"/>
  <c r="O282" i="48"/>
  <c r="O242" i="48"/>
  <c r="C246" i="48"/>
  <c r="C243" i="48"/>
  <c r="C247" i="48" s="1"/>
  <c r="C248" i="48" s="1"/>
  <c r="C249" i="48" s="1"/>
  <c r="M248" i="48"/>
  <c r="Q282" i="48"/>
  <c r="O271" i="48"/>
  <c r="M271" i="48"/>
  <c r="M344" i="48"/>
  <c r="S260" i="48"/>
  <c r="O305" i="48"/>
  <c r="M242" i="48"/>
  <c r="S305" i="48"/>
  <c r="O260" i="48"/>
  <c r="M282" i="48"/>
  <c r="M251" i="48"/>
  <c r="M260" i="48"/>
  <c r="W22" i="48"/>
  <c r="S267" i="48"/>
  <c r="W28" i="48"/>
  <c r="M355" i="48"/>
  <c r="S282" i="48"/>
  <c r="M350" i="48"/>
  <c r="Q235" i="48"/>
  <c r="M235" i="48"/>
  <c r="G26" i="53" s="1"/>
  <c r="S331" i="48"/>
  <c r="M331" i="48"/>
  <c r="O331" i="48"/>
  <c r="M267" i="48"/>
  <c r="O267" i="48"/>
  <c r="C125" i="48"/>
  <c r="C126" i="48" s="1"/>
  <c r="C127" i="48" s="1"/>
  <c r="C70" i="48"/>
  <c r="F271" i="48"/>
  <c r="B272" i="48"/>
  <c r="F51" i="48"/>
  <c r="B52" i="48"/>
  <c r="C21" i="48"/>
  <c r="C25" i="48" s="1"/>
  <c r="C24" i="48"/>
  <c r="C26" i="48"/>
  <c r="C23" i="48"/>
  <c r="C27" i="48" s="1"/>
  <c r="C28" i="48" s="1"/>
  <c r="C29" i="48" s="1"/>
  <c r="U136" i="48" l="1"/>
  <c r="S356" i="48"/>
  <c r="S136" i="48"/>
  <c r="O356" i="48"/>
  <c r="U356" i="48"/>
  <c r="S235" i="48"/>
  <c r="W248" i="48"/>
  <c r="U235" i="48"/>
  <c r="W242" i="48"/>
  <c r="F54" i="48"/>
  <c r="B55" i="48"/>
  <c r="F274" i="48"/>
  <c r="B275" i="48"/>
  <c r="C100" i="48"/>
  <c r="C101" i="48" s="1"/>
  <c r="C102" i="48" s="1"/>
  <c r="C103" i="48" s="1"/>
  <c r="C104" i="48" s="1"/>
  <c r="C31" i="48"/>
  <c r="C32" i="48" s="1"/>
  <c r="C196" i="48"/>
  <c r="C197" i="48" s="1"/>
  <c r="C73" i="48"/>
  <c r="C36" i="48" l="1"/>
  <c r="C37" i="48" s="1"/>
  <c r="C38" i="48" s="1"/>
  <c r="C39" i="48" s="1"/>
  <c r="C33" i="48"/>
  <c r="C34" i="48" s="1"/>
  <c r="C35" i="48" s="1"/>
  <c r="C204" i="48"/>
  <c r="C205" i="48" s="1"/>
  <c r="C206" i="48" s="1"/>
  <c r="C207" i="48" s="1"/>
  <c r="C208" i="48" s="1"/>
  <c r="C105" i="48"/>
  <c r="C106" i="48" s="1"/>
  <c r="C107" i="48" s="1"/>
  <c r="C108" i="48" s="1"/>
  <c r="C109" i="48" s="1"/>
  <c r="C227" i="48"/>
  <c r="C228" i="48" s="1"/>
  <c r="C229" i="48" s="1"/>
  <c r="F282" i="48"/>
  <c r="B283" i="48"/>
  <c r="F62" i="48"/>
  <c r="B63" i="48"/>
  <c r="F65" i="48" l="1"/>
  <c r="B66" i="48"/>
  <c r="F285" i="48"/>
  <c r="B286" i="48"/>
  <c r="C222" i="48"/>
  <c r="C223" i="48" s="1"/>
  <c r="C224" i="48" s="1"/>
  <c r="C225" i="48" s="1"/>
  <c r="C226" i="48" s="1"/>
  <c r="C219" i="48"/>
  <c r="C220" i="48" s="1"/>
  <c r="C209" i="48"/>
  <c r="C216" i="48" s="1"/>
  <c r="C199" i="48"/>
  <c r="C200" i="48" s="1"/>
  <c r="C201" i="48" s="1"/>
  <c r="C202" i="48" s="1"/>
  <c r="C203" i="48" s="1"/>
  <c r="F85" i="48" l="1"/>
  <c r="B86" i="48"/>
  <c r="F305" i="48"/>
  <c r="B306" i="48"/>
  <c r="F99" i="48" l="1"/>
  <c r="B100" i="48"/>
  <c r="F319" i="48"/>
  <c r="B320" i="48"/>
  <c r="F331" i="48" l="1"/>
  <c r="B332" i="48"/>
  <c r="B112" i="48"/>
  <c r="F111" i="48"/>
  <c r="B118" i="48" l="1"/>
  <c r="F117" i="48"/>
  <c r="F337" i="48"/>
  <c r="B338" i="48"/>
  <c r="B345" i="48" l="1"/>
  <c r="F344" i="48"/>
  <c r="F124" i="48"/>
  <c r="B125" i="48"/>
  <c r="F130" i="48" l="1"/>
  <c r="B131" i="48"/>
  <c r="F135" i="48" s="1"/>
  <c r="F350" i="48"/>
  <c r="B351" i="48"/>
  <c r="F355" i="48" s="1"/>
  <c r="L444" i="44" l="1"/>
  <c r="L443" i="44"/>
  <c r="L442" i="44"/>
  <c r="L441" i="44"/>
  <c r="L440" i="44"/>
  <c r="L420" i="44"/>
  <c r="L392" i="44"/>
  <c r="L391" i="44"/>
  <c r="L390" i="44"/>
  <c r="L364" i="44"/>
  <c r="L363" i="44"/>
  <c r="L336" i="44"/>
  <c r="L330" i="44" l="1"/>
  <c r="L333" i="44"/>
  <c r="P333" i="44" s="1"/>
  <c r="Q333" i="44" s="1"/>
  <c r="I440" i="44"/>
  <c r="M392" i="44"/>
  <c r="I391" i="44"/>
  <c r="I303" i="48" s="1"/>
  <c r="I390" i="44"/>
  <c r="U440" i="44"/>
  <c r="S440" i="44"/>
  <c r="O440" i="44"/>
  <c r="P440" i="44"/>
  <c r="K440" i="44"/>
  <c r="U441" i="44"/>
  <c r="S441" i="44"/>
  <c r="O441" i="44"/>
  <c r="P441" i="44"/>
  <c r="Q441" i="44" s="1"/>
  <c r="K441" i="44"/>
  <c r="U444" i="44"/>
  <c r="S444" i="44"/>
  <c r="O444" i="44"/>
  <c r="P444" i="44"/>
  <c r="K444" i="44"/>
  <c r="U443" i="44"/>
  <c r="S443" i="44"/>
  <c r="O443" i="44"/>
  <c r="M443" i="44"/>
  <c r="P443" i="44"/>
  <c r="Q443" i="44" s="1"/>
  <c r="K443" i="44"/>
  <c r="U442" i="44"/>
  <c r="S442" i="44"/>
  <c r="O442" i="44"/>
  <c r="P442" i="44"/>
  <c r="Q442" i="44" s="1"/>
  <c r="K442" i="44"/>
  <c r="U420" i="44"/>
  <c r="S420" i="44"/>
  <c r="O420" i="44"/>
  <c r="P420" i="44"/>
  <c r="Q420" i="44" s="1"/>
  <c r="K420" i="44"/>
  <c r="U392" i="44"/>
  <c r="S392" i="44"/>
  <c r="O392" i="44"/>
  <c r="P392" i="44"/>
  <c r="K392" i="44"/>
  <c r="U391" i="44"/>
  <c r="S391" i="44"/>
  <c r="O391" i="44"/>
  <c r="P391" i="44"/>
  <c r="K391" i="44"/>
  <c r="U390" i="44"/>
  <c r="S390" i="44"/>
  <c r="O390" i="44"/>
  <c r="P390" i="44"/>
  <c r="K390" i="44"/>
  <c r="U364" i="44"/>
  <c r="S364" i="44"/>
  <c r="O364" i="44"/>
  <c r="P364" i="44"/>
  <c r="Q364" i="44" s="1"/>
  <c r="K364" i="44"/>
  <c r="U363" i="44"/>
  <c r="S363" i="44"/>
  <c r="O363" i="44"/>
  <c r="P363" i="44"/>
  <c r="Q363" i="44" s="1"/>
  <c r="K363" i="44"/>
  <c r="U333" i="44"/>
  <c r="S333" i="44"/>
  <c r="O333" i="44"/>
  <c r="K333" i="44"/>
  <c r="U320" i="44"/>
  <c r="S320" i="44"/>
  <c r="O320" i="44"/>
  <c r="P320" i="44"/>
  <c r="Q320" i="44" s="1"/>
  <c r="K320" i="44"/>
  <c r="C320" i="44"/>
  <c r="K142" i="44"/>
  <c r="O72" i="44"/>
  <c r="O71" i="44"/>
  <c r="M71" i="44"/>
  <c r="K72" i="44"/>
  <c r="K71" i="44"/>
  <c r="S28" i="44"/>
  <c r="M72" i="44"/>
  <c r="M41" i="44"/>
  <c r="Q391" i="44" l="1"/>
  <c r="Q254" i="48"/>
  <c r="Q255" i="48" s="1"/>
  <c r="M254" i="48"/>
  <c r="M255" i="48" s="1"/>
  <c r="M303" i="48"/>
  <c r="M305" i="48" s="1"/>
  <c r="Q303" i="48"/>
  <c r="Q305" i="48" s="1"/>
  <c r="Q444" i="44"/>
  <c r="T433" i="44"/>
  <c r="Q440" i="44"/>
  <c r="Q392" i="44"/>
  <c r="Q390" i="44"/>
  <c r="M440" i="44"/>
  <c r="M441" i="44"/>
  <c r="M444" i="44"/>
  <c r="M442" i="44"/>
  <c r="M420" i="44"/>
  <c r="M391" i="44"/>
  <c r="M390" i="44"/>
  <c r="M364" i="44"/>
  <c r="M363" i="44"/>
  <c r="M333" i="44"/>
  <c r="M320" i="44"/>
  <c r="Q356" i="48" l="1"/>
  <c r="M356" i="48"/>
  <c r="G27" i="53" s="1"/>
  <c r="U41" i="44"/>
  <c r="O41" i="44"/>
  <c r="R41" i="44"/>
  <c r="S41" i="44" s="1"/>
  <c r="K41" i="44"/>
  <c r="I26" i="53" l="1"/>
  <c r="I27" i="53"/>
  <c r="P41" i="44"/>
  <c r="Q41" i="44" s="1"/>
  <c r="C392" i="44" l="1"/>
  <c r="C391" i="44"/>
  <c r="C364" i="44"/>
  <c r="U273" i="44"/>
  <c r="S273" i="44"/>
  <c r="O273" i="44"/>
  <c r="K273" i="44"/>
  <c r="C273" i="44"/>
  <c r="U272" i="44"/>
  <c r="S272" i="44"/>
  <c r="O272" i="44"/>
  <c r="K272" i="44"/>
  <c r="C272" i="44"/>
  <c r="U271" i="44"/>
  <c r="S271" i="44"/>
  <c r="O271" i="44"/>
  <c r="K271" i="44"/>
  <c r="C271" i="44"/>
  <c r="U270" i="44"/>
  <c r="S270" i="44"/>
  <c r="O270" i="44"/>
  <c r="K270" i="44"/>
  <c r="C270" i="44"/>
  <c r="U269" i="44"/>
  <c r="S269" i="44"/>
  <c r="O269" i="44"/>
  <c r="K269" i="44"/>
  <c r="C269" i="44"/>
  <c r="U268" i="44"/>
  <c r="S268" i="44"/>
  <c r="O268" i="44"/>
  <c r="K268" i="44"/>
  <c r="C268" i="44"/>
  <c r="U267" i="44"/>
  <c r="S267" i="44"/>
  <c r="O267" i="44"/>
  <c r="K267" i="44"/>
  <c r="C267" i="44"/>
  <c r="U266" i="44"/>
  <c r="S266" i="44"/>
  <c r="O266" i="44"/>
  <c r="K266" i="44"/>
  <c r="C266" i="44"/>
  <c r="U265" i="44"/>
  <c r="S265" i="44"/>
  <c r="O265" i="44"/>
  <c r="K265" i="44"/>
  <c r="C265" i="44"/>
  <c r="U264" i="44"/>
  <c r="S264" i="44"/>
  <c r="O264" i="44"/>
  <c r="K264" i="44"/>
  <c r="C264" i="44"/>
  <c r="U263" i="44"/>
  <c r="S263" i="44"/>
  <c r="O263" i="44"/>
  <c r="K263" i="44"/>
  <c r="C263" i="44"/>
  <c r="U165" i="44"/>
  <c r="S165" i="44"/>
  <c r="O165" i="44"/>
  <c r="K165" i="44"/>
  <c r="C165" i="44"/>
  <c r="U100" i="44"/>
  <c r="S100" i="44"/>
  <c r="O100" i="44"/>
  <c r="K100" i="44"/>
  <c r="C100" i="44"/>
  <c r="U99" i="44"/>
  <c r="S99" i="44"/>
  <c r="O99" i="44"/>
  <c r="K99" i="44"/>
  <c r="C99" i="44"/>
  <c r="U72" i="44"/>
  <c r="S72" i="44"/>
  <c r="C72" i="44"/>
  <c r="L268" i="50" l="1"/>
  <c r="L267" i="50"/>
  <c r="L266" i="50"/>
  <c r="L265" i="50"/>
  <c r="L264" i="50"/>
  <c r="L258" i="50"/>
  <c r="L257" i="50"/>
  <c r="L256" i="50"/>
  <c r="L255" i="50"/>
  <c r="L254" i="50"/>
  <c r="L253" i="50"/>
  <c r="L252" i="50"/>
  <c r="L251" i="50"/>
  <c r="L248" i="50"/>
  <c r="L247" i="50"/>
  <c r="L246" i="50"/>
  <c r="L245" i="50"/>
  <c r="L244" i="50"/>
  <c r="L241" i="50"/>
  <c r="L240" i="50"/>
  <c r="L239" i="50"/>
  <c r="L238" i="50"/>
  <c r="L237" i="50"/>
  <c r="L236" i="50"/>
  <c r="L235" i="50"/>
  <c r="L234" i="50"/>
  <c r="L233" i="50"/>
  <c r="L232" i="50"/>
  <c r="L231" i="50"/>
  <c r="L230" i="50"/>
  <c r="L229" i="50"/>
  <c r="L228" i="50"/>
  <c r="L227" i="50"/>
  <c r="L226" i="50"/>
  <c r="L225" i="50"/>
  <c r="L222" i="50"/>
  <c r="L221" i="50"/>
  <c r="L220" i="50"/>
  <c r="L219" i="50"/>
  <c r="L218" i="50"/>
  <c r="L217" i="50"/>
  <c r="L216" i="50"/>
  <c r="L215" i="50"/>
  <c r="L211" i="50"/>
  <c r="L210" i="50"/>
  <c r="L209" i="50"/>
  <c r="L208" i="50"/>
  <c r="L207" i="50"/>
  <c r="L206" i="50"/>
  <c r="L205" i="50"/>
  <c r="L204" i="50"/>
  <c r="L203" i="50"/>
  <c r="L198" i="50"/>
  <c r="L197" i="50"/>
  <c r="L196" i="50"/>
  <c r="L195" i="50"/>
  <c r="L194" i="50"/>
  <c r="L193" i="50"/>
  <c r="L192" i="50"/>
  <c r="L191" i="50"/>
  <c r="L190" i="50"/>
  <c r="L189" i="50"/>
  <c r="L188" i="50"/>
  <c r="L187" i="50"/>
  <c r="L183" i="50"/>
  <c r="L182" i="50"/>
  <c r="L181" i="50"/>
  <c r="L180" i="50"/>
  <c r="L179" i="50"/>
  <c r="L178" i="50"/>
  <c r="L177" i="50"/>
  <c r="L176" i="50"/>
  <c r="L175" i="50"/>
  <c r="L174" i="50"/>
  <c r="L173" i="50"/>
  <c r="L170" i="50"/>
  <c r="L169" i="50"/>
  <c r="I100" i="7" l="1"/>
  <c r="I300" i="44" l="1"/>
  <c r="I289" i="44" l="1"/>
  <c r="I225" i="44"/>
  <c r="I224" i="44"/>
  <c r="I203" i="44"/>
  <c r="I98" i="44"/>
  <c r="Q339" i="44" l="1"/>
  <c r="K338" i="44"/>
  <c r="L353" i="44"/>
  <c r="L352" i="44"/>
  <c r="C443" i="44"/>
  <c r="C442" i="44"/>
  <c r="C441" i="44"/>
  <c r="C440" i="44"/>
  <c r="C444" i="44" s="1"/>
  <c r="C420" i="44"/>
  <c r="C390" i="44"/>
  <c r="C363" i="44"/>
  <c r="U299" i="44"/>
  <c r="S299" i="44"/>
  <c r="O299" i="44"/>
  <c r="K299" i="44"/>
  <c r="C299" i="44"/>
  <c r="U262" i="44"/>
  <c r="S262" i="44"/>
  <c r="O262" i="44"/>
  <c r="K262" i="44"/>
  <c r="C262" i="44"/>
  <c r="U226" i="44"/>
  <c r="S226" i="44"/>
  <c r="O226" i="44"/>
  <c r="K226" i="44"/>
  <c r="C226" i="44"/>
  <c r="U225" i="44"/>
  <c r="S225" i="44"/>
  <c r="O225" i="44"/>
  <c r="K225" i="44"/>
  <c r="C225" i="44"/>
  <c r="U204" i="44"/>
  <c r="S204" i="44"/>
  <c r="O204" i="44"/>
  <c r="K204" i="44"/>
  <c r="U208" i="44"/>
  <c r="S208" i="44"/>
  <c r="O208" i="44"/>
  <c r="K208" i="44"/>
  <c r="U203" i="44"/>
  <c r="S203" i="44"/>
  <c r="O203" i="44"/>
  <c r="K203" i="44"/>
  <c r="M32" i="50" l="1"/>
  <c r="U151" i="44" l="1"/>
  <c r="S151" i="44"/>
  <c r="O151" i="44"/>
  <c r="K151" i="44"/>
  <c r="C151" i="44"/>
  <c r="U150" i="44"/>
  <c r="S150" i="44"/>
  <c r="O150" i="44"/>
  <c r="K150" i="44"/>
  <c r="C150" i="44"/>
  <c r="U149" i="44"/>
  <c r="S149" i="44"/>
  <c r="O149" i="44"/>
  <c r="K149" i="44"/>
  <c r="C149" i="44"/>
  <c r="U301" i="44"/>
  <c r="S301" i="44"/>
  <c r="O301" i="44"/>
  <c r="K301" i="44"/>
  <c r="C301" i="44"/>
  <c r="C270" i="50" l="1"/>
  <c r="C269" i="50"/>
  <c r="U268" i="50"/>
  <c r="R268" i="50"/>
  <c r="S268" i="50" s="1"/>
  <c r="Q268" i="50"/>
  <c r="N268" i="50"/>
  <c r="O268" i="50" s="1"/>
  <c r="M268" i="50"/>
  <c r="K268" i="50"/>
  <c r="U267" i="50"/>
  <c r="R267" i="50"/>
  <c r="S267" i="50" s="1"/>
  <c r="Q267" i="50"/>
  <c r="N267" i="50"/>
  <c r="O267" i="50" s="1"/>
  <c r="M267" i="50"/>
  <c r="K267" i="50"/>
  <c r="U266" i="50"/>
  <c r="R266" i="50"/>
  <c r="S266" i="50" s="1"/>
  <c r="Q266" i="50"/>
  <c r="N266" i="50"/>
  <c r="O266" i="50" s="1"/>
  <c r="M266" i="50"/>
  <c r="K266" i="50"/>
  <c r="U265" i="50"/>
  <c r="R265" i="50"/>
  <c r="S265" i="50" s="1"/>
  <c r="Q265" i="50"/>
  <c r="N265" i="50"/>
  <c r="O265" i="50" s="1"/>
  <c r="M265" i="50"/>
  <c r="K265" i="50"/>
  <c r="U264" i="50"/>
  <c r="R264" i="50"/>
  <c r="S264" i="50" s="1"/>
  <c r="Q264" i="50"/>
  <c r="N264" i="50"/>
  <c r="O264" i="50" s="1"/>
  <c r="M264" i="50"/>
  <c r="K264" i="50"/>
  <c r="C262" i="50"/>
  <c r="C263" i="50" s="1"/>
  <c r="C264" i="50" s="1"/>
  <c r="C265" i="50" s="1"/>
  <c r="C266" i="50" s="1"/>
  <c r="C267" i="50" s="1"/>
  <c r="C268" i="50" s="1"/>
  <c r="U258" i="50"/>
  <c r="R258" i="50"/>
  <c r="S258" i="50" s="1"/>
  <c r="Q258" i="50"/>
  <c r="N258" i="50"/>
  <c r="O258" i="50" s="1"/>
  <c r="M258" i="50"/>
  <c r="K258" i="50"/>
  <c r="U257" i="50"/>
  <c r="R257" i="50"/>
  <c r="S257" i="50" s="1"/>
  <c r="Q257" i="50"/>
  <c r="N257" i="50"/>
  <c r="O257" i="50" s="1"/>
  <c r="M257" i="50"/>
  <c r="K257" i="50"/>
  <c r="U256" i="50"/>
  <c r="R256" i="50"/>
  <c r="S256" i="50" s="1"/>
  <c r="Q256" i="50"/>
  <c r="N256" i="50"/>
  <c r="O256" i="50" s="1"/>
  <c r="M256" i="50"/>
  <c r="K256" i="50"/>
  <c r="U255" i="50"/>
  <c r="R255" i="50"/>
  <c r="S255" i="50" s="1"/>
  <c r="Q255" i="50"/>
  <c r="N255" i="50"/>
  <c r="O255" i="50" s="1"/>
  <c r="M255" i="50"/>
  <c r="K255" i="50"/>
  <c r="U254" i="50"/>
  <c r="R254" i="50"/>
  <c r="S254" i="50" s="1"/>
  <c r="Q254" i="50"/>
  <c r="N254" i="50"/>
  <c r="O254" i="50" s="1"/>
  <c r="M254" i="50"/>
  <c r="K254" i="50"/>
  <c r="U253" i="50"/>
  <c r="R253" i="50"/>
  <c r="S253" i="50" s="1"/>
  <c r="Q253" i="50"/>
  <c r="N253" i="50"/>
  <c r="O253" i="50" s="1"/>
  <c r="M253" i="50"/>
  <c r="K253" i="50"/>
  <c r="U252" i="50"/>
  <c r="R252" i="50"/>
  <c r="S252" i="50" s="1"/>
  <c r="Q252" i="50"/>
  <c r="N252" i="50"/>
  <c r="O252" i="50" s="1"/>
  <c r="M252" i="50"/>
  <c r="K252" i="50"/>
  <c r="U251" i="50"/>
  <c r="R251" i="50"/>
  <c r="S251" i="50" s="1"/>
  <c r="Q251" i="50"/>
  <c r="N251" i="50"/>
  <c r="O251" i="50" s="1"/>
  <c r="M251" i="50"/>
  <c r="K251" i="50"/>
  <c r="C249" i="50"/>
  <c r="C250" i="50" s="1"/>
  <c r="C251" i="50" s="1"/>
  <c r="C252" i="50" s="1"/>
  <c r="C253" i="50" s="1"/>
  <c r="C254" i="50" s="1"/>
  <c r="C255" i="50" s="1"/>
  <c r="C256" i="50" s="1"/>
  <c r="C257" i="50" s="1"/>
  <c r="C258" i="50" s="1"/>
  <c r="C259" i="50" s="1"/>
  <c r="C260" i="50" s="1"/>
  <c r="C261" i="50" s="1"/>
  <c r="U248" i="50"/>
  <c r="R248" i="50"/>
  <c r="S248" i="50" s="1"/>
  <c r="Q248" i="50"/>
  <c r="N248" i="50"/>
  <c r="O248" i="50" s="1"/>
  <c r="M248" i="50"/>
  <c r="K248" i="50"/>
  <c r="U247" i="50"/>
  <c r="R247" i="50"/>
  <c r="S247" i="50" s="1"/>
  <c r="Q247" i="50"/>
  <c r="N247" i="50"/>
  <c r="O247" i="50" s="1"/>
  <c r="M247" i="50"/>
  <c r="K247" i="50"/>
  <c r="U246" i="50"/>
  <c r="R246" i="50"/>
  <c r="S246" i="50" s="1"/>
  <c r="Q246" i="50"/>
  <c r="N246" i="50"/>
  <c r="O246" i="50" s="1"/>
  <c r="M246" i="50"/>
  <c r="K246" i="50"/>
  <c r="U245" i="50"/>
  <c r="R245" i="50"/>
  <c r="S245" i="50" s="1"/>
  <c r="Q245" i="50"/>
  <c r="N245" i="50"/>
  <c r="O245" i="50" s="1"/>
  <c r="M245" i="50"/>
  <c r="K245" i="50"/>
  <c r="U244" i="50"/>
  <c r="R244" i="50"/>
  <c r="S244" i="50" s="1"/>
  <c r="Q244" i="50"/>
  <c r="N244" i="50"/>
  <c r="O244" i="50" s="1"/>
  <c r="M244" i="50"/>
  <c r="K244" i="50"/>
  <c r="U241" i="50"/>
  <c r="R241" i="50"/>
  <c r="S241" i="50" s="1"/>
  <c r="Q241" i="50"/>
  <c r="N241" i="50"/>
  <c r="O241" i="50" s="1"/>
  <c r="M241" i="50"/>
  <c r="K241" i="50"/>
  <c r="U240" i="50"/>
  <c r="R240" i="50"/>
  <c r="S240" i="50" s="1"/>
  <c r="Q240" i="50"/>
  <c r="N240" i="50"/>
  <c r="O240" i="50" s="1"/>
  <c r="M240" i="50"/>
  <c r="K240" i="50"/>
  <c r="U239" i="50"/>
  <c r="R239" i="50"/>
  <c r="S239" i="50" s="1"/>
  <c r="Q239" i="50"/>
  <c r="N239" i="50"/>
  <c r="O239" i="50" s="1"/>
  <c r="M239" i="50"/>
  <c r="K239" i="50"/>
  <c r="U238" i="50"/>
  <c r="R238" i="50"/>
  <c r="S238" i="50" s="1"/>
  <c r="Q238" i="50"/>
  <c r="N238" i="50"/>
  <c r="O238" i="50" s="1"/>
  <c r="M238" i="50"/>
  <c r="K238" i="50"/>
  <c r="U237" i="50"/>
  <c r="R237" i="50"/>
  <c r="S237" i="50" s="1"/>
  <c r="Q237" i="50"/>
  <c r="N237" i="50"/>
  <c r="O237" i="50" s="1"/>
  <c r="M237" i="50"/>
  <c r="K237" i="50"/>
  <c r="U236" i="50"/>
  <c r="R236" i="50"/>
  <c r="S236" i="50" s="1"/>
  <c r="Q236" i="50"/>
  <c r="N236" i="50"/>
  <c r="O236" i="50" s="1"/>
  <c r="M236" i="50"/>
  <c r="K236" i="50"/>
  <c r="U235" i="50"/>
  <c r="R235" i="50"/>
  <c r="S235" i="50" s="1"/>
  <c r="Q235" i="50"/>
  <c r="N235" i="50"/>
  <c r="O235" i="50" s="1"/>
  <c r="M235" i="50"/>
  <c r="K235" i="50"/>
  <c r="U234" i="50"/>
  <c r="R234" i="50"/>
  <c r="S234" i="50" s="1"/>
  <c r="Q234" i="50"/>
  <c r="N234" i="50"/>
  <c r="O234" i="50" s="1"/>
  <c r="M234" i="50"/>
  <c r="K234" i="50"/>
  <c r="U233" i="50"/>
  <c r="R233" i="50"/>
  <c r="S233" i="50" s="1"/>
  <c r="Q233" i="50"/>
  <c r="N233" i="50"/>
  <c r="O233" i="50" s="1"/>
  <c r="M233" i="50"/>
  <c r="K233" i="50"/>
  <c r="U232" i="50"/>
  <c r="R232" i="50"/>
  <c r="S232" i="50" s="1"/>
  <c r="Q232" i="50"/>
  <c r="N232" i="50"/>
  <c r="O232" i="50" s="1"/>
  <c r="M232" i="50"/>
  <c r="K232" i="50"/>
  <c r="U231" i="50"/>
  <c r="R231" i="50"/>
  <c r="S231" i="50" s="1"/>
  <c r="Q231" i="50"/>
  <c r="N231" i="50"/>
  <c r="O231" i="50" s="1"/>
  <c r="M231" i="50"/>
  <c r="K231" i="50"/>
  <c r="U230" i="50"/>
  <c r="R230" i="50"/>
  <c r="S230" i="50" s="1"/>
  <c r="Q230" i="50"/>
  <c r="N230" i="50"/>
  <c r="O230" i="50" s="1"/>
  <c r="M230" i="50"/>
  <c r="K230" i="50"/>
  <c r="U229" i="50"/>
  <c r="R229" i="50"/>
  <c r="S229" i="50" s="1"/>
  <c r="Q229" i="50"/>
  <c r="N229" i="50"/>
  <c r="O229" i="50" s="1"/>
  <c r="M229" i="50"/>
  <c r="K229" i="50"/>
  <c r="U228" i="50"/>
  <c r="R228" i="50"/>
  <c r="S228" i="50" s="1"/>
  <c r="Q228" i="50"/>
  <c r="N228" i="50"/>
  <c r="O228" i="50" s="1"/>
  <c r="M228" i="50"/>
  <c r="K228" i="50"/>
  <c r="U227" i="50"/>
  <c r="R227" i="50"/>
  <c r="S227" i="50" s="1"/>
  <c r="Q227" i="50"/>
  <c r="N227" i="50"/>
  <c r="O227" i="50" s="1"/>
  <c r="M227" i="50"/>
  <c r="K227" i="50"/>
  <c r="U226" i="50"/>
  <c r="R226" i="50"/>
  <c r="S226" i="50" s="1"/>
  <c r="Q226" i="50"/>
  <c r="N226" i="50"/>
  <c r="O226" i="50" s="1"/>
  <c r="M226" i="50"/>
  <c r="K226" i="50"/>
  <c r="U225" i="50"/>
  <c r="R225" i="50"/>
  <c r="S225" i="50" s="1"/>
  <c r="Q225" i="50"/>
  <c r="N225" i="50"/>
  <c r="O225" i="50" s="1"/>
  <c r="M225" i="50"/>
  <c r="K225" i="50"/>
  <c r="C223" i="50"/>
  <c r="C224" i="50" s="1"/>
  <c r="C237" i="50" s="1"/>
  <c r="C238" i="50" s="1"/>
  <c r="C233" i="50"/>
  <c r="C234" i="50" s="1"/>
  <c r="C235" i="50" s="1"/>
  <c r="C236" i="50" s="1"/>
  <c r="U222" i="50"/>
  <c r="R222" i="50"/>
  <c r="S222" i="50" s="1"/>
  <c r="Q222" i="50"/>
  <c r="N222" i="50"/>
  <c r="O222" i="50" s="1"/>
  <c r="M222" i="50"/>
  <c r="K222" i="50"/>
  <c r="U221" i="50"/>
  <c r="R221" i="50"/>
  <c r="S221" i="50" s="1"/>
  <c r="Q221" i="50"/>
  <c r="N221" i="50"/>
  <c r="O221" i="50" s="1"/>
  <c r="M221" i="50"/>
  <c r="K221" i="50"/>
  <c r="U220" i="50"/>
  <c r="R220" i="50"/>
  <c r="S220" i="50" s="1"/>
  <c r="Q220" i="50"/>
  <c r="N220" i="50"/>
  <c r="O220" i="50" s="1"/>
  <c r="M220" i="50"/>
  <c r="K220" i="50"/>
  <c r="U219" i="50"/>
  <c r="R219" i="50"/>
  <c r="S219" i="50" s="1"/>
  <c r="Q219" i="50"/>
  <c r="N219" i="50"/>
  <c r="O219" i="50" s="1"/>
  <c r="M219" i="50"/>
  <c r="K219" i="50"/>
  <c r="U218" i="50"/>
  <c r="R218" i="50"/>
  <c r="S218" i="50" s="1"/>
  <c r="Q218" i="50"/>
  <c r="N218" i="50"/>
  <c r="O218" i="50" s="1"/>
  <c r="M218" i="50"/>
  <c r="K218" i="50"/>
  <c r="U217" i="50"/>
  <c r="R217" i="50"/>
  <c r="S217" i="50" s="1"/>
  <c r="Q217" i="50"/>
  <c r="N217" i="50"/>
  <c r="O217" i="50" s="1"/>
  <c r="M217" i="50"/>
  <c r="K217" i="50"/>
  <c r="U216" i="50"/>
  <c r="R216" i="50"/>
  <c r="S216" i="50" s="1"/>
  <c r="Q216" i="50"/>
  <c r="N216" i="50"/>
  <c r="O216" i="50" s="1"/>
  <c r="M216" i="50"/>
  <c r="K216" i="50"/>
  <c r="U215" i="50"/>
  <c r="R215" i="50"/>
  <c r="S215" i="50" s="1"/>
  <c r="Q215" i="50"/>
  <c r="N215" i="50"/>
  <c r="O215" i="50" s="1"/>
  <c r="M215" i="50"/>
  <c r="K215" i="50"/>
  <c r="C213" i="50"/>
  <c r="C214" i="50" s="1"/>
  <c r="C215" i="50" s="1"/>
  <c r="U211" i="50"/>
  <c r="R211" i="50"/>
  <c r="S211" i="50" s="1"/>
  <c r="Q211" i="50"/>
  <c r="N211" i="50"/>
  <c r="O211" i="50" s="1"/>
  <c r="M211" i="50"/>
  <c r="K211" i="50"/>
  <c r="U210" i="50"/>
  <c r="R210" i="50"/>
  <c r="S210" i="50" s="1"/>
  <c r="Q210" i="50"/>
  <c r="N210" i="50"/>
  <c r="O210" i="50" s="1"/>
  <c r="M210" i="50"/>
  <c r="K210" i="50"/>
  <c r="U209" i="50"/>
  <c r="R209" i="50"/>
  <c r="S209" i="50" s="1"/>
  <c r="Q209" i="50"/>
  <c r="N209" i="50"/>
  <c r="O209" i="50" s="1"/>
  <c r="M209" i="50"/>
  <c r="K209" i="50"/>
  <c r="U208" i="50"/>
  <c r="R208" i="50"/>
  <c r="S208" i="50" s="1"/>
  <c r="Q208" i="50"/>
  <c r="N208" i="50"/>
  <c r="O208" i="50" s="1"/>
  <c r="M208" i="50"/>
  <c r="K208" i="50"/>
  <c r="U207" i="50"/>
  <c r="R207" i="50"/>
  <c r="S207" i="50" s="1"/>
  <c r="Q207" i="50"/>
  <c r="N207" i="50"/>
  <c r="O207" i="50" s="1"/>
  <c r="M207" i="50"/>
  <c r="K207" i="50"/>
  <c r="U206" i="50"/>
  <c r="R206" i="50"/>
  <c r="S206" i="50" s="1"/>
  <c r="Q206" i="50"/>
  <c r="N206" i="50"/>
  <c r="O206" i="50" s="1"/>
  <c r="M206" i="50"/>
  <c r="K206" i="50"/>
  <c r="U205" i="50"/>
  <c r="R205" i="50"/>
  <c r="S205" i="50" s="1"/>
  <c r="Q205" i="50"/>
  <c r="N205" i="50"/>
  <c r="O205" i="50" s="1"/>
  <c r="M205" i="50"/>
  <c r="K205" i="50"/>
  <c r="U204" i="50"/>
  <c r="R204" i="50"/>
  <c r="S204" i="50" s="1"/>
  <c r="Q204" i="50"/>
  <c r="N204" i="50"/>
  <c r="O204" i="50" s="1"/>
  <c r="M204" i="50"/>
  <c r="K204" i="50"/>
  <c r="U203" i="50"/>
  <c r="R203" i="50"/>
  <c r="S203" i="50" s="1"/>
  <c r="Q203" i="50"/>
  <c r="N203" i="50"/>
  <c r="O203" i="50" s="1"/>
  <c r="M203" i="50"/>
  <c r="K203" i="50"/>
  <c r="U198" i="50"/>
  <c r="R198" i="50"/>
  <c r="S198" i="50" s="1"/>
  <c r="Q198" i="50"/>
  <c r="N198" i="50"/>
  <c r="O198" i="50" s="1"/>
  <c r="M198" i="50"/>
  <c r="K198" i="50"/>
  <c r="U197" i="50"/>
  <c r="R197" i="50"/>
  <c r="S197" i="50" s="1"/>
  <c r="Q197" i="50"/>
  <c r="N197" i="50"/>
  <c r="O197" i="50" s="1"/>
  <c r="M197" i="50"/>
  <c r="K197" i="50"/>
  <c r="U196" i="50"/>
  <c r="R196" i="50"/>
  <c r="S196" i="50" s="1"/>
  <c r="Q196" i="50"/>
  <c r="N196" i="50"/>
  <c r="O196" i="50" s="1"/>
  <c r="M196" i="50"/>
  <c r="K196" i="50"/>
  <c r="U195" i="50"/>
  <c r="R195" i="50"/>
  <c r="S195" i="50" s="1"/>
  <c r="Q195" i="50"/>
  <c r="N195" i="50"/>
  <c r="O195" i="50" s="1"/>
  <c r="M195" i="50"/>
  <c r="K195" i="50"/>
  <c r="U194" i="50"/>
  <c r="R194" i="50"/>
  <c r="S194" i="50" s="1"/>
  <c r="Q194" i="50"/>
  <c r="N194" i="50"/>
  <c r="O194" i="50" s="1"/>
  <c r="M194" i="50"/>
  <c r="K194" i="50"/>
  <c r="U193" i="50"/>
  <c r="R193" i="50"/>
  <c r="S193" i="50" s="1"/>
  <c r="Q193" i="50"/>
  <c r="N193" i="50"/>
  <c r="O193" i="50" s="1"/>
  <c r="M193" i="50"/>
  <c r="K193" i="50"/>
  <c r="U192" i="50"/>
  <c r="R192" i="50"/>
  <c r="S192" i="50" s="1"/>
  <c r="Q192" i="50"/>
  <c r="N192" i="50"/>
  <c r="O192" i="50" s="1"/>
  <c r="M192" i="50"/>
  <c r="K192" i="50"/>
  <c r="U191" i="50"/>
  <c r="R191" i="50"/>
  <c r="S191" i="50" s="1"/>
  <c r="Q191" i="50"/>
  <c r="N191" i="50"/>
  <c r="O191" i="50" s="1"/>
  <c r="M191" i="50"/>
  <c r="K191" i="50"/>
  <c r="U190" i="50"/>
  <c r="R190" i="50"/>
  <c r="S190" i="50" s="1"/>
  <c r="Q190" i="50"/>
  <c r="N190" i="50"/>
  <c r="O190" i="50" s="1"/>
  <c r="M190" i="50"/>
  <c r="K190" i="50"/>
  <c r="U189" i="50"/>
  <c r="R189" i="50"/>
  <c r="S189" i="50" s="1"/>
  <c r="Q189" i="50"/>
  <c r="N189" i="50"/>
  <c r="O189" i="50" s="1"/>
  <c r="M189" i="50"/>
  <c r="K189" i="50"/>
  <c r="U188" i="50"/>
  <c r="R188" i="50"/>
  <c r="S188" i="50" s="1"/>
  <c r="Q188" i="50"/>
  <c r="N188" i="50"/>
  <c r="O188" i="50" s="1"/>
  <c r="M188" i="50"/>
  <c r="K188" i="50"/>
  <c r="U187" i="50"/>
  <c r="R187" i="50"/>
  <c r="S187" i="50" s="1"/>
  <c r="Q187" i="50"/>
  <c r="N187" i="50"/>
  <c r="O187" i="50" s="1"/>
  <c r="M187" i="50"/>
  <c r="K187" i="50"/>
  <c r="U183" i="50"/>
  <c r="R183" i="50"/>
  <c r="S183" i="50" s="1"/>
  <c r="Q183" i="50"/>
  <c r="N183" i="50"/>
  <c r="O183" i="50" s="1"/>
  <c r="M183" i="50"/>
  <c r="K183" i="50"/>
  <c r="U182" i="50"/>
  <c r="R182" i="50"/>
  <c r="S182" i="50" s="1"/>
  <c r="Q182" i="50"/>
  <c r="N182" i="50"/>
  <c r="O182" i="50" s="1"/>
  <c r="M182" i="50"/>
  <c r="K182" i="50"/>
  <c r="U181" i="50"/>
  <c r="R181" i="50"/>
  <c r="S181" i="50" s="1"/>
  <c r="Q181" i="50"/>
  <c r="N181" i="50"/>
  <c r="O181" i="50" s="1"/>
  <c r="M181" i="50"/>
  <c r="K181" i="50"/>
  <c r="U180" i="50"/>
  <c r="R180" i="50"/>
  <c r="S180" i="50" s="1"/>
  <c r="Q180" i="50"/>
  <c r="N180" i="50"/>
  <c r="O180" i="50" s="1"/>
  <c r="M180" i="50"/>
  <c r="K180" i="50"/>
  <c r="U179" i="50"/>
  <c r="R179" i="50"/>
  <c r="S179" i="50" s="1"/>
  <c r="Q179" i="50"/>
  <c r="N179" i="50"/>
  <c r="O179" i="50" s="1"/>
  <c r="M179" i="50"/>
  <c r="K179" i="50"/>
  <c r="U178" i="50"/>
  <c r="R178" i="50"/>
  <c r="S178" i="50" s="1"/>
  <c r="Q178" i="50"/>
  <c r="N178" i="50"/>
  <c r="O178" i="50" s="1"/>
  <c r="M178" i="50"/>
  <c r="K178" i="50"/>
  <c r="U177" i="50"/>
  <c r="R177" i="50"/>
  <c r="S177" i="50" s="1"/>
  <c r="Q177" i="50"/>
  <c r="N177" i="50"/>
  <c r="O177" i="50" s="1"/>
  <c r="M177" i="50"/>
  <c r="K177" i="50"/>
  <c r="U176" i="50"/>
  <c r="R176" i="50"/>
  <c r="S176" i="50" s="1"/>
  <c r="Q176" i="50"/>
  <c r="N176" i="50"/>
  <c r="O176" i="50" s="1"/>
  <c r="M176" i="50"/>
  <c r="K176" i="50"/>
  <c r="U175" i="50"/>
  <c r="R175" i="50"/>
  <c r="S175" i="50" s="1"/>
  <c r="Q175" i="50"/>
  <c r="N175" i="50"/>
  <c r="O175" i="50" s="1"/>
  <c r="M175" i="50"/>
  <c r="K175" i="50"/>
  <c r="U174" i="50"/>
  <c r="R174" i="50"/>
  <c r="S174" i="50" s="1"/>
  <c r="Q174" i="50"/>
  <c r="N174" i="50"/>
  <c r="O174" i="50" s="1"/>
  <c r="M174" i="50"/>
  <c r="K174" i="50"/>
  <c r="U173" i="50"/>
  <c r="R173" i="50"/>
  <c r="S173" i="50" s="1"/>
  <c r="Q173" i="50"/>
  <c r="N173" i="50"/>
  <c r="O173" i="50" s="1"/>
  <c r="M173" i="50"/>
  <c r="K173" i="50"/>
  <c r="C173" i="50"/>
  <c r="C178" i="50" s="1"/>
  <c r="C187" i="50" s="1"/>
  <c r="C192" i="50" s="1"/>
  <c r="C198" i="50" s="1"/>
  <c r="B172" i="50"/>
  <c r="B186" i="50" s="1"/>
  <c r="F171" i="50"/>
  <c r="U170" i="50"/>
  <c r="R170" i="50"/>
  <c r="S170" i="50" s="1"/>
  <c r="Q170" i="50"/>
  <c r="N170" i="50"/>
  <c r="O170" i="50" s="1"/>
  <c r="M170" i="50"/>
  <c r="K170" i="50"/>
  <c r="U169" i="50"/>
  <c r="R169" i="50"/>
  <c r="S169" i="50" s="1"/>
  <c r="Q169" i="50"/>
  <c r="N169" i="50"/>
  <c r="O169" i="50" s="1"/>
  <c r="M169" i="50"/>
  <c r="K169" i="50"/>
  <c r="C169" i="50"/>
  <c r="B169" i="50"/>
  <c r="B170" i="50" s="1"/>
  <c r="C166" i="50"/>
  <c r="F165" i="50"/>
  <c r="C165" i="50"/>
  <c r="U164" i="50"/>
  <c r="R164" i="50"/>
  <c r="S164" i="50" s="1"/>
  <c r="Q164" i="50"/>
  <c r="N164" i="50"/>
  <c r="O164" i="50" s="1"/>
  <c r="M164" i="50"/>
  <c r="K164" i="50"/>
  <c r="U163" i="50"/>
  <c r="R163" i="50"/>
  <c r="S163" i="50" s="1"/>
  <c r="Q163" i="50"/>
  <c r="N163" i="50"/>
  <c r="O163" i="50" s="1"/>
  <c r="M163" i="50"/>
  <c r="K163" i="50"/>
  <c r="B163" i="50"/>
  <c r="B164" i="50" s="1"/>
  <c r="C161" i="50"/>
  <c r="C162" i="50" s="1"/>
  <c r="C163" i="50" s="1"/>
  <c r="C164" i="50" s="1"/>
  <c r="U160" i="50"/>
  <c r="R160" i="50"/>
  <c r="S160" i="50" s="1"/>
  <c r="Q160" i="50"/>
  <c r="N160" i="50"/>
  <c r="O160" i="50" s="1"/>
  <c r="M160" i="50"/>
  <c r="K160" i="50"/>
  <c r="U159" i="50"/>
  <c r="R159" i="50"/>
  <c r="S159" i="50" s="1"/>
  <c r="Q159" i="50"/>
  <c r="N159" i="50"/>
  <c r="O159" i="50" s="1"/>
  <c r="M159" i="50"/>
  <c r="K159" i="50"/>
  <c r="U158" i="50"/>
  <c r="R158" i="50"/>
  <c r="S158" i="50" s="1"/>
  <c r="Q158" i="50"/>
  <c r="N158" i="50"/>
  <c r="O158" i="50" s="1"/>
  <c r="M158" i="50"/>
  <c r="K158" i="50"/>
  <c r="U157" i="50"/>
  <c r="R157" i="50"/>
  <c r="S157" i="50" s="1"/>
  <c r="Q157" i="50"/>
  <c r="N157" i="50"/>
  <c r="O157" i="50" s="1"/>
  <c r="M157" i="50"/>
  <c r="K157" i="50"/>
  <c r="U156" i="50"/>
  <c r="R156" i="50"/>
  <c r="S156" i="50" s="1"/>
  <c r="Q156" i="50"/>
  <c r="N156" i="50"/>
  <c r="O156" i="50" s="1"/>
  <c r="M156" i="50"/>
  <c r="K156" i="50"/>
  <c r="C156" i="50"/>
  <c r="C157" i="50" s="1"/>
  <c r="C158" i="50" s="1"/>
  <c r="C159" i="50" s="1"/>
  <c r="C160" i="50" s="1"/>
  <c r="B156" i="50"/>
  <c r="B157" i="50" s="1"/>
  <c r="B158" i="50" s="1"/>
  <c r="B159" i="50" s="1"/>
  <c r="B160" i="50" s="1"/>
  <c r="F154" i="50"/>
  <c r="C154" i="50"/>
  <c r="C155" i="50" s="1"/>
  <c r="U153" i="50"/>
  <c r="R153" i="50"/>
  <c r="S153" i="50" s="1"/>
  <c r="Q153" i="50"/>
  <c r="N153" i="50"/>
  <c r="O153" i="50" s="1"/>
  <c r="M153" i="50"/>
  <c r="K153" i="50"/>
  <c r="U152" i="50"/>
  <c r="R152" i="50"/>
  <c r="S152" i="50" s="1"/>
  <c r="Q152" i="50"/>
  <c r="N152" i="50"/>
  <c r="O152" i="50" s="1"/>
  <c r="M152" i="50"/>
  <c r="K152" i="50"/>
  <c r="U151" i="50"/>
  <c r="R151" i="50"/>
  <c r="S151" i="50" s="1"/>
  <c r="Q151" i="50"/>
  <c r="N151" i="50"/>
  <c r="O151" i="50" s="1"/>
  <c r="M151" i="50"/>
  <c r="K151" i="50"/>
  <c r="B151" i="50"/>
  <c r="B152" i="50" s="1"/>
  <c r="B153" i="50" s="1"/>
  <c r="N149" i="50"/>
  <c r="F149" i="50"/>
  <c r="C149" i="50"/>
  <c r="C150" i="50" s="1"/>
  <c r="C151" i="50" s="1"/>
  <c r="C152" i="50" s="1"/>
  <c r="C153" i="50" s="1"/>
  <c r="U148" i="50"/>
  <c r="R148" i="50"/>
  <c r="S148" i="50" s="1"/>
  <c r="Q148" i="50"/>
  <c r="N148" i="50"/>
  <c r="O148" i="50" s="1"/>
  <c r="M148" i="50"/>
  <c r="K148" i="50"/>
  <c r="U147" i="50"/>
  <c r="R147" i="50"/>
  <c r="S147" i="50" s="1"/>
  <c r="Q147" i="50"/>
  <c r="N147" i="50"/>
  <c r="O147" i="50" s="1"/>
  <c r="M147" i="50"/>
  <c r="K147" i="50"/>
  <c r="B147" i="50"/>
  <c r="B148" i="50" s="1"/>
  <c r="F145" i="50"/>
  <c r="C145" i="50"/>
  <c r="C146" i="50" s="1"/>
  <c r="C147" i="50" s="1"/>
  <c r="C148" i="50" s="1"/>
  <c r="U144" i="50"/>
  <c r="R144" i="50"/>
  <c r="S144" i="50" s="1"/>
  <c r="Q144" i="50"/>
  <c r="N144" i="50"/>
  <c r="O144" i="50" s="1"/>
  <c r="M144" i="50"/>
  <c r="K144" i="50"/>
  <c r="U143" i="50"/>
  <c r="R143" i="50"/>
  <c r="S143" i="50" s="1"/>
  <c r="Q143" i="50"/>
  <c r="N143" i="50"/>
  <c r="O143" i="50" s="1"/>
  <c r="M143" i="50"/>
  <c r="K143" i="50"/>
  <c r="U142" i="50"/>
  <c r="R142" i="50"/>
  <c r="S142" i="50" s="1"/>
  <c r="Q142" i="50"/>
  <c r="N142" i="50"/>
  <c r="O142" i="50" s="1"/>
  <c r="M142" i="50"/>
  <c r="K142" i="50"/>
  <c r="U141" i="50"/>
  <c r="R141" i="50"/>
  <c r="S141" i="50" s="1"/>
  <c r="Q141" i="50"/>
  <c r="N141" i="50"/>
  <c r="O141" i="50" s="1"/>
  <c r="M141" i="50"/>
  <c r="K141" i="50"/>
  <c r="U140" i="50"/>
  <c r="R140" i="50"/>
  <c r="S140" i="50" s="1"/>
  <c r="Q140" i="50"/>
  <c r="N140" i="50"/>
  <c r="O140" i="50" s="1"/>
  <c r="M140" i="50"/>
  <c r="K140" i="50"/>
  <c r="U139" i="50"/>
  <c r="R139" i="50"/>
  <c r="S139" i="50" s="1"/>
  <c r="Q139" i="50"/>
  <c r="N139" i="50"/>
  <c r="O139" i="50" s="1"/>
  <c r="M139" i="50"/>
  <c r="K139" i="50"/>
  <c r="U138" i="50"/>
  <c r="R138" i="50"/>
  <c r="S138" i="50" s="1"/>
  <c r="Q138" i="50"/>
  <c r="N138" i="50"/>
  <c r="O138" i="50" s="1"/>
  <c r="M138" i="50"/>
  <c r="K138" i="50"/>
  <c r="B138" i="50"/>
  <c r="B139" i="50" s="1"/>
  <c r="B140" i="50" s="1"/>
  <c r="B141" i="50" s="1"/>
  <c r="B142" i="50" s="1"/>
  <c r="B143" i="50" s="1"/>
  <c r="B144" i="50" s="1"/>
  <c r="R136" i="50"/>
  <c r="N136" i="50"/>
  <c r="F136" i="50"/>
  <c r="C136" i="50"/>
  <c r="C137" i="50" s="1"/>
  <c r="C138" i="50" s="1"/>
  <c r="C139" i="50" s="1"/>
  <c r="C140" i="50" s="1"/>
  <c r="C141" i="50" s="1"/>
  <c r="C142" i="50" s="1"/>
  <c r="C143" i="50" s="1"/>
  <c r="C144" i="50" s="1"/>
  <c r="U135" i="50"/>
  <c r="R135" i="50"/>
  <c r="S135" i="50" s="1"/>
  <c r="Q135" i="50"/>
  <c r="N135" i="50"/>
  <c r="O135" i="50" s="1"/>
  <c r="M135" i="50"/>
  <c r="K135" i="50"/>
  <c r="U134" i="50"/>
  <c r="R134" i="50"/>
  <c r="S134" i="50" s="1"/>
  <c r="Q134" i="50"/>
  <c r="N134" i="50"/>
  <c r="O134" i="50" s="1"/>
  <c r="M134" i="50"/>
  <c r="K134" i="50"/>
  <c r="U133" i="50"/>
  <c r="R133" i="50"/>
  <c r="S133" i="50" s="1"/>
  <c r="Q133" i="50"/>
  <c r="N133" i="50"/>
  <c r="O133" i="50" s="1"/>
  <c r="M133" i="50"/>
  <c r="K133" i="50"/>
  <c r="U132" i="50"/>
  <c r="R132" i="50"/>
  <c r="S132" i="50" s="1"/>
  <c r="Q132" i="50"/>
  <c r="N132" i="50"/>
  <c r="O132" i="50" s="1"/>
  <c r="M132" i="50"/>
  <c r="K132" i="50"/>
  <c r="U131" i="50"/>
  <c r="R131" i="50"/>
  <c r="S131" i="50" s="1"/>
  <c r="Q131" i="50"/>
  <c r="N131" i="50"/>
  <c r="O131" i="50" s="1"/>
  <c r="M131" i="50"/>
  <c r="K131" i="50"/>
  <c r="U130" i="50"/>
  <c r="R130" i="50"/>
  <c r="S130" i="50" s="1"/>
  <c r="Q130" i="50"/>
  <c r="N130" i="50"/>
  <c r="O130" i="50" s="1"/>
  <c r="M130" i="50"/>
  <c r="K130" i="50"/>
  <c r="U129" i="50"/>
  <c r="R129" i="50"/>
  <c r="S129" i="50" s="1"/>
  <c r="Q129" i="50"/>
  <c r="N129" i="50"/>
  <c r="O129" i="50" s="1"/>
  <c r="M129" i="50"/>
  <c r="K129" i="50"/>
  <c r="U128" i="50"/>
  <c r="R128" i="50"/>
  <c r="S128" i="50" s="1"/>
  <c r="Q128" i="50"/>
  <c r="N128" i="50"/>
  <c r="O128" i="50" s="1"/>
  <c r="M128" i="50"/>
  <c r="K128" i="50"/>
  <c r="U127" i="50"/>
  <c r="R127" i="50"/>
  <c r="S127" i="50" s="1"/>
  <c r="Q127" i="50"/>
  <c r="N127" i="50"/>
  <c r="O127" i="50" s="1"/>
  <c r="M127" i="50"/>
  <c r="K127" i="50"/>
  <c r="U126" i="50"/>
  <c r="R126" i="50"/>
  <c r="S126" i="50" s="1"/>
  <c r="Q126" i="50"/>
  <c r="N126" i="50"/>
  <c r="O126" i="50" s="1"/>
  <c r="M126" i="50"/>
  <c r="K126" i="50"/>
  <c r="U125" i="50"/>
  <c r="R125" i="50"/>
  <c r="S125" i="50" s="1"/>
  <c r="Q125" i="50"/>
  <c r="N125" i="50"/>
  <c r="O125" i="50" s="1"/>
  <c r="M125" i="50"/>
  <c r="K125" i="50"/>
  <c r="U124" i="50"/>
  <c r="R124" i="50"/>
  <c r="S124" i="50" s="1"/>
  <c r="Q124" i="50"/>
  <c r="N124" i="50"/>
  <c r="O124" i="50" s="1"/>
  <c r="M124" i="50"/>
  <c r="K124" i="50"/>
  <c r="U123" i="50"/>
  <c r="R123" i="50"/>
  <c r="S123" i="50" s="1"/>
  <c r="Q123" i="50"/>
  <c r="N123" i="50"/>
  <c r="O123" i="50" s="1"/>
  <c r="M123" i="50"/>
  <c r="K123" i="50"/>
  <c r="U122" i="50"/>
  <c r="R122" i="50"/>
  <c r="S122" i="50" s="1"/>
  <c r="Q122" i="50"/>
  <c r="N122" i="50"/>
  <c r="O122" i="50" s="1"/>
  <c r="M122" i="50"/>
  <c r="K122" i="50"/>
  <c r="B122" i="50"/>
  <c r="B123" i="50" s="1"/>
  <c r="B124" i="50" s="1"/>
  <c r="B125" i="50" s="1"/>
  <c r="B126" i="50" s="1"/>
  <c r="B127" i="50" s="1"/>
  <c r="B128" i="50" s="1"/>
  <c r="B129" i="50" s="1"/>
  <c r="B130" i="50" s="1"/>
  <c r="B131" i="50" s="1"/>
  <c r="B132" i="50" s="1"/>
  <c r="B133" i="50" s="1"/>
  <c r="B134" i="50" s="1"/>
  <c r="B135" i="50" s="1"/>
  <c r="C119" i="50"/>
  <c r="C120" i="50" s="1"/>
  <c r="C121" i="50" s="1"/>
  <c r="C122" i="50" s="1"/>
  <c r="C123" i="50" s="1"/>
  <c r="C124" i="50" s="1"/>
  <c r="C125" i="50" s="1"/>
  <c r="C126" i="50" s="1"/>
  <c r="C127" i="50" s="1"/>
  <c r="C128" i="50" s="1"/>
  <c r="C129" i="50" s="1"/>
  <c r="C130" i="50" s="1"/>
  <c r="C131" i="50" s="1"/>
  <c r="C132" i="50" s="1"/>
  <c r="C133" i="50" s="1"/>
  <c r="C134" i="50" s="1"/>
  <c r="C135" i="50" s="1"/>
  <c r="C118" i="50"/>
  <c r="U117" i="50"/>
  <c r="R117" i="50"/>
  <c r="S117" i="50" s="1"/>
  <c r="Q117" i="50"/>
  <c r="N117" i="50"/>
  <c r="O117" i="50" s="1"/>
  <c r="M117" i="50"/>
  <c r="K117" i="50"/>
  <c r="U116" i="50"/>
  <c r="R116" i="50"/>
  <c r="S116" i="50" s="1"/>
  <c r="Q116" i="50"/>
  <c r="N116" i="50"/>
  <c r="O116" i="50" s="1"/>
  <c r="M116" i="50"/>
  <c r="K116" i="50"/>
  <c r="U115" i="50"/>
  <c r="R115" i="50"/>
  <c r="S115" i="50" s="1"/>
  <c r="Q115" i="50"/>
  <c r="N115" i="50"/>
  <c r="O115" i="50" s="1"/>
  <c r="M115" i="50"/>
  <c r="K115" i="50"/>
  <c r="U114" i="50"/>
  <c r="R114" i="50"/>
  <c r="S114" i="50" s="1"/>
  <c r="Q114" i="50"/>
  <c r="N114" i="50"/>
  <c r="O114" i="50" s="1"/>
  <c r="M114" i="50"/>
  <c r="K114" i="50"/>
  <c r="U113" i="50"/>
  <c r="R113" i="50"/>
  <c r="S113" i="50" s="1"/>
  <c r="Q113" i="50"/>
  <c r="N113" i="50"/>
  <c r="O113" i="50" s="1"/>
  <c r="M113" i="50"/>
  <c r="K113" i="50"/>
  <c r="C111" i="50"/>
  <c r="C112" i="50" s="1"/>
  <c r="C113" i="50" s="1"/>
  <c r="C114" i="50" s="1"/>
  <c r="C115" i="50" s="1"/>
  <c r="C116" i="50" s="1"/>
  <c r="C117" i="50" s="1"/>
  <c r="U107" i="50"/>
  <c r="R107" i="50"/>
  <c r="S107" i="50" s="1"/>
  <c r="Q107" i="50"/>
  <c r="N107" i="50"/>
  <c r="O107" i="50" s="1"/>
  <c r="M107" i="50"/>
  <c r="K107" i="50"/>
  <c r="U106" i="50"/>
  <c r="R106" i="50"/>
  <c r="S106" i="50" s="1"/>
  <c r="Q106" i="50"/>
  <c r="N106" i="50"/>
  <c r="O106" i="50" s="1"/>
  <c r="M106" i="50"/>
  <c r="K106" i="50"/>
  <c r="U105" i="50"/>
  <c r="R105" i="50"/>
  <c r="S105" i="50" s="1"/>
  <c r="Q105" i="50"/>
  <c r="N105" i="50"/>
  <c r="O105" i="50" s="1"/>
  <c r="M105" i="50"/>
  <c r="K105" i="50"/>
  <c r="U104" i="50"/>
  <c r="R104" i="50"/>
  <c r="S104" i="50" s="1"/>
  <c r="Q104" i="50"/>
  <c r="N104" i="50"/>
  <c r="O104" i="50" s="1"/>
  <c r="M104" i="50"/>
  <c r="K104" i="50"/>
  <c r="U103" i="50"/>
  <c r="R103" i="50"/>
  <c r="S103" i="50" s="1"/>
  <c r="Q103" i="50"/>
  <c r="N103" i="50"/>
  <c r="O103" i="50" s="1"/>
  <c r="M103" i="50"/>
  <c r="K103" i="50"/>
  <c r="U102" i="50"/>
  <c r="R102" i="50"/>
  <c r="S102" i="50" s="1"/>
  <c r="Q102" i="50"/>
  <c r="N102" i="50"/>
  <c r="O102" i="50" s="1"/>
  <c r="M102" i="50"/>
  <c r="K102" i="50"/>
  <c r="U101" i="50"/>
  <c r="R101" i="50"/>
  <c r="S101" i="50" s="1"/>
  <c r="Q101" i="50"/>
  <c r="N101" i="50"/>
  <c r="O101" i="50" s="1"/>
  <c r="M101" i="50"/>
  <c r="K101" i="50"/>
  <c r="U100" i="50"/>
  <c r="U111" i="50" s="1"/>
  <c r="R100" i="50"/>
  <c r="S100" i="50" s="1"/>
  <c r="Q100" i="50"/>
  <c r="N100" i="50"/>
  <c r="O100" i="50" s="1"/>
  <c r="M100" i="50"/>
  <c r="K100" i="50"/>
  <c r="C98" i="50"/>
  <c r="C99" i="50" s="1"/>
  <c r="C100" i="50" s="1"/>
  <c r="C101" i="50" s="1"/>
  <c r="C102" i="50" s="1"/>
  <c r="C103" i="50" s="1"/>
  <c r="C104" i="50" s="1"/>
  <c r="C105" i="50" s="1"/>
  <c r="C106" i="50" s="1"/>
  <c r="C107" i="50" s="1"/>
  <c r="C108" i="50" s="1"/>
  <c r="C109" i="50" s="1"/>
  <c r="C110" i="50" s="1"/>
  <c r="U97" i="50"/>
  <c r="R97" i="50"/>
  <c r="S97" i="50" s="1"/>
  <c r="Q97" i="50"/>
  <c r="N97" i="50"/>
  <c r="O97" i="50" s="1"/>
  <c r="M97" i="50"/>
  <c r="K97" i="50"/>
  <c r="U96" i="50"/>
  <c r="R96" i="50"/>
  <c r="S96" i="50" s="1"/>
  <c r="Q96" i="50"/>
  <c r="N96" i="50"/>
  <c r="O96" i="50" s="1"/>
  <c r="M96" i="50"/>
  <c r="K96" i="50"/>
  <c r="U95" i="50"/>
  <c r="R95" i="50"/>
  <c r="S95" i="50" s="1"/>
  <c r="Q95" i="50"/>
  <c r="N95" i="50"/>
  <c r="O95" i="50" s="1"/>
  <c r="M95" i="50"/>
  <c r="K95" i="50"/>
  <c r="U94" i="50"/>
  <c r="R94" i="50"/>
  <c r="S94" i="50" s="1"/>
  <c r="Q94" i="50"/>
  <c r="N94" i="50"/>
  <c r="O94" i="50" s="1"/>
  <c r="M94" i="50"/>
  <c r="K94" i="50"/>
  <c r="U93" i="50"/>
  <c r="R93" i="50"/>
  <c r="S93" i="50" s="1"/>
  <c r="Q93" i="50"/>
  <c r="N93" i="50"/>
  <c r="O93" i="50" s="1"/>
  <c r="M93" i="50"/>
  <c r="K93" i="50"/>
  <c r="U90" i="50"/>
  <c r="R90" i="50"/>
  <c r="S90" i="50" s="1"/>
  <c r="Q90" i="50"/>
  <c r="N90" i="50"/>
  <c r="O90" i="50" s="1"/>
  <c r="M90" i="50"/>
  <c r="K90" i="50"/>
  <c r="U89" i="50"/>
  <c r="R89" i="50"/>
  <c r="S89" i="50" s="1"/>
  <c r="Q89" i="50"/>
  <c r="N89" i="50"/>
  <c r="O89" i="50" s="1"/>
  <c r="M89" i="50"/>
  <c r="K89" i="50"/>
  <c r="U88" i="50"/>
  <c r="R88" i="50"/>
  <c r="S88" i="50" s="1"/>
  <c r="Q88" i="50"/>
  <c r="N88" i="50"/>
  <c r="O88" i="50" s="1"/>
  <c r="M88" i="50"/>
  <c r="K88" i="50"/>
  <c r="U87" i="50"/>
  <c r="R87" i="50"/>
  <c r="S87" i="50" s="1"/>
  <c r="Q87" i="50"/>
  <c r="N87" i="50"/>
  <c r="O87" i="50" s="1"/>
  <c r="M87" i="50"/>
  <c r="K87" i="50"/>
  <c r="U86" i="50"/>
  <c r="R86" i="50"/>
  <c r="S86" i="50" s="1"/>
  <c r="Q86" i="50"/>
  <c r="N86" i="50"/>
  <c r="O86" i="50" s="1"/>
  <c r="M86" i="50"/>
  <c r="K86" i="50"/>
  <c r="U85" i="50"/>
  <c r="R85" i="50"/>
  <c r="S85" i="50" s="1"/>
  <c r="Q85" i="50"/>
  <c r="N85" i="50"/>
  <c r="O85" i="50" s="1"/>
  <c r="M85" i="50"/>
  <c r="K85" i="50"/>
  <c r="U84" i="50"/>
  <c r="R84" i="50"/>
  <c r="S84" i="50" s="1"/>
  <c r="Q84" i="50"/>
  <c r="N84" i="50"/>
  <c r="O84" i="50" s="1"/>
  <c r="M84" i="50"/>
  <c r="K84" i="50"/>
  <c r="U83" i="50"/>
  <c r="R83" i="50"/>
  <c r="S83" i="50" s="1"/>
  <c r="Q83" i="50"/>
  <c r="N83" i="50"/>
  <c r="O83" i="50" s="1"/>
  <c r="M83" i="50"/>
  <c r="K83" i="50"/>
  <c r="U82" i="50"/>
  <c r="R82" i="50"/>
  <c r="S82" i="50" s="1"/>
  <c r="Q82" i="50"/>
  <c r="N82" i="50"/>
  <c r="O82" i="50" s="1"/>
  <c r="M82" i="50"/>
  <c r="K82" i="50"/>
  <c r="U81" i="50"/>
  <c r="R81" i="50"/>
  <c r="S81" i="50" s="1"/>
  <c r="Q81" i="50"/>
  <c r="N81" i="50"/>
  <c r="O81" i="50" s="1"/>
  <c r="M81" i="50"/>
  <c r="K81" i="50"/>
  <c r="U80" i="50"/>
  <c r="R80" i="50"/>
  <c r="S80" i="50" s="1"/>
  <c r="Q80" i="50"/>
  <c r="N80" i="50"/>
  <c r="O80" i="50" s="1"/>
  <c r="M80" i="50"/>
  <c r="K80" i="50"/>
  <c r="U79" i="50"/>
  <c r="R79" i="50"/>
  <c r="S79" i="50" s="1"/>
  <c r="Q79" i="50"/>
  <c r="N79" i="50"/>
  <c r="O79" i="50" s="1"/>
  <c r="M79" i="50"/>
  <c r="K79" i="50"/>
  <c r="U78" i="50"/>
  <c r="R78" i="50"/>
  <c r="S78" i="50" s="1"/>
  <c r="Q78" i="50"/>
  <c r="N78" i="50"/>
  <c r="O78" i="50" s="1"/>
  <c r="M78" i="50"/>
  <c r="K78" i="50"/>
  <c r="U77" i="50"/>
  <c r="R77" i="50"/>
  <c r="S77" i="50" s="1"/>
  <c r="Q77" i="50"/>
  <c r="N77" i="50"/>
  <c r="O77" i="50" s="1"/>
  <c r="M77" i="50"/>
  <c r="K77" i="50"/>
  <c r="U76" i="50"/>
  <c r="R76" i="50"/>
  <c r="S76" i="50" s="1"/>
  <c r="Q76" i="50"/>
  <c r="N76" i="50"/>
  <c r="O76" i="50" s="1"/>
  <c r="M76" i="50"/>
  <c r="K76" i="50"/>
  <c r="U75" i="50"/>
  <c r="R75" i="50"/>
  <c r="S75" i="50" s="1"/>
  <c r="Q75" i="50"/>
  <c r="N75" i="50"/>
  <c r="O75" i="50" s="1"/>
  <c r="M75" i="50"/>
  <c r="K75" i="50"/>
  <c r="U74" i="50"/>
  <c r="R74" i="50"/>
  <c r="S74" i="50" s="1"/>
  <c r="Q74" i="50"/>
  <c r="N74" i="50"/>
  <c r="O74" i="50" s="1"/>
  <c r="M74" i="50"/>
  <c r="K74" i="50"/>
  <c r="C72" i="50"/>
  <c r="C73" i="50" s="1"/>
  <c r="C86" i="50" s="1"/>
  <c r="C87" i="50" s="1"/>
  <c r="C82" i="50"/>
  <c r="C83" i="50" s="1"/>
  <c r="C84" i="50" s="1"/>
  <c r="C85" i="50" s="1"/>
  <c r="U71" i="50"/>
  <c r="R71" i="50"/>
  <c r="S71" i="50" s="1"/>
  <c r="Q71" i="50"/>
  <c r="N71" i="50"/>
  <c r="O71" i="50" s="1"/>
  <c r="M71" i="50"/>
  <c r="K71" i="50"/>
  <c r="U70" i="50"/>
  <c r="R70" i="50"/>
  <c r="S70" i="50" s="1"/>
  <c r="Q70" i="50"/>
  <c r="N70" i="50"/>
  <c r="O70" i="50" s="1"/>
  <c r="M70" i="50"/>
  <c r="K70" i="50"/>
  <c r="U69" i="50"/>
  <c r="R69" i="50"/>
  <c r="S69" i="50" s="1"/>
  <c r="Q69" i="50"/>
  <c r="N69" i="50"/>
  <c r="O69" i="50" s="1"/>
  <c r="M69" i="50"/>
  <c r="K69" i="50"/>
  <c r="U68" i="50"/>
  <c r="R68" i="50"/>
  <c r="S68" i="50" s="1"/>
  <c r="Q68" i="50"/>
  <c r="N68" i="50"/>
  <c r="O68" i="50" s="1"/>
  <c r="M68" i="50"/>
  <c r="K68" i="50"/>
  <c r="U67" i="50"/>
  <c r="R67" i="50"/>
  <c r="S67" i="50" s="1"/>
  <c r="Q67" i="50"/>
  <c r="N67" i="50"/>
  <c r="O67" i="50" s="1"/>
  <c r="M67" i="50"/>
  <c r="K67" i="50"/>
  <c r="U66" i="50"/>
  <c r="R66" i="50"/>
  <c r="S66" i="50" s="1"/>
  <c r="Q66" i="50"/>
  <c r="N66" i="50"/>
  <c r="O66" i="50" s="1"/>
  <c r="M66" i="50"/>
  <c r="K66" i="50"/>
  <c r="U65" i="50"/>
  <c r="R65" i="50"/>
  <c r="S65" i="50" s="1"/>
  <c r="Q65" i="50"/>
  <c r="N65" i="50"/>
  <c r="O65" i="50" s="1"/>
  <c r="M65" i="50"/>
  <c r="K65" i="50"/>
  <c r="U64" i="50"/>
  <c r="R64" i="50"/>
  <c r="S64" i="50" s="1"/>
  <c r="Q64" i="50"/>
  <c r="N64" i="50"/>
  <c r="O64" i="50" s="1"/>
  <c r="M64" i="50"/>
  <c r="K64" i="50"/>
  <c r="C62" i="50"/>
  <c r="C63" i="50" s="1"/>
  <c r="C64" i="50" s="1"/>
  <c r="U60" i="50"/>
  <c r="R60" i="50"/>
  <c r="S60" i="50" s="1"/>
  <c r="Q60" i="50"/>
  <c r="N60" i="50"/>
  <c r="O60" i="50" s="1"/>
  <c r="M60" i="50"/>
  <c r="K60" i="50"/>
  <c r="U59" i="50"/>
  <c r="R59" i="50"/>
  <c r="S59" i="50" s="1"/>
  <c r="Q59" i="50"/>
  <c r="N59" i="50"/>
  <c r="O59" i="50" s="1"/>
  <c r="M59" i="50"/>
  <c r="K59" i="50"/>
  <c r="U58" i="50"/>
  <c r="R58" i="50"/>
  <c r="S58" i="50" s="1"/>
  <c r="Q58" i="50"/>
  <c r="N58" i="50"/>
  <c r="O58" i="50" s="1"/>
  <c r="M58" i="50"/>
  <c r="K58" i="50"/>
  <c r="U57" i="50"/>
  <c r="R57" i="50"/>
  <c r="S57" i="50" s="1"/>
  <c r="Q57" i="50"/>
  <c r="N57" i="50"/>
  <c r="O57" i="50" s="1"/>
  <c r="M57" i="50"/>
  <c r="K57" i="50"/>
  <c r="U56" i="50"/>
  <c r="R56" i="50"/>
  <c r="S56" i="50" s="1"/>
  <c r="Q56" i="50"/>
  <c r="N56" i="50"/>
  <c r="O56" i="50" s="1"/>
  <c r="M56" i="50"/>
  <c r="K56" i="50"/>
  <c r="U55" i="50"/>
  <c r="R55" i="50"/>
  <c r="S55" i="50" s="1"/>
  <c r="Q55" i="50"/>
  <c r="N55" i="50"/>
  <c r="O55" i="50" s="1"/>
  <c r="M55" i="50"/>
  <c r="K55" i="50"/>
  <c r="U54" i="50"/>
  <c r="R54" i="50"/>
  <c r="S54" i="50" s="1"/>
  <c r="Q54" i="50"/>
  <c r="N54" i="50"/>
  <c r="O54" i="50" s="1"/>
  <c r="M54" i="50"/>
  <c r="K54" i="50"/>
  <c r="U53" i="50"/>
  <c r="R53" i="50"/>
  <c r="S53" i="50" s="1"/>
  <c r="Q53" i="50"/>
  <c r="N53" i="50"/>
  <c r="O53" i="50" s="1"/>
  <c r="M53" i="50"/>
  <c r="K53" i="50"/>
  <c r="U52" i="50"/>
  <c r="R52" i="50"/>
  <c r="S52" i="50" s="1"/>
  <c r="Q52" i="50"/>
  <c r="N52" i="50"/>
  <c r="O52" i="50" s="1"/>
  <c r="M52" i="50"/>
  <c r="K52" i="50"/>
  <c r="U47" i="50"/>
  <c r="R47" i="50"/>
  <c r="S47" i="50" s="1"/>
  <c r="Q47" i="50"/>
  <c r="N47" i="50"/>
  <c r="O47" i="50" s="1"/>
  <c r="M47" i="50"/>
  <c r="K47" i="50"/>
  <c r="U46" i="50"/>
  <c r="R46" i="50"/>
  <c r="S46" i="50" s="1"/>
  <c r="Q46" i="50"/>
  <c r="N46" i="50"/>
  <c r="O46" i="50" s="1"/>
  <c r="M46" i="50"/>
  <c r="K46" i="50"/>
  <c r="U45" i="50"/>
  <c r="R45" i="50"/>
  <c r="S45" i="50" s="1"/>
  <c r="Q45" i="50"/>
  <c r="N45" i="50"/>
  <c r="O45" i="50" s="1"/>
  <c r="M45" i="50"/>
  <c r="K45" i="50"/>
  <c r="U44" i="50"/>
  <c r="R44" i="50"/>
  <c r="S44" i="50" s="1"/>
  <c r="Q44" i="50"/>
  <c r="N44" i="50"/>
  <c r="O44" i="50" s="1"/>
  <c r="M44" i="50"/>
  <c r="K44" i="50"/>
  <c r="U43" i="50"/>
  <c r="R43" i="50"/>
  <c r="S43" i="50" s="1"/>
  <c r="Q43" i="50"/>
  <c r="N43" i="50"/>
  <c r="O43" i="50" s="1"/>
  <c r="M43" i="50"/>
  <c r="K43" i="50"/>
  <c r="U42" i="50"/>
  <c r="R42" i="50"/>
  <c r="S42" i="50" s="1"/>
  <c r="Q42" i="50"/>
  <c r="N42" i="50"/>
  <c r="O42" i="50" s="1"/>
  <c r="M42" i="50"/>
  <c r="K42" i="50"/>
  <c r="U41" i="50"/>
  <c r="R41" i="50"/>
  <c r="S41" i="50" s="1"/>
  <c r="Q41" i="50"/>
  <c r="N41" i="50"/>
  <c r="O41" i="50" s="1"/>
  <c r="M41" i="50"/>
  <c r="K41" i="50"/>
  <c r="U40" i="50"/>
  <c r="R40" i="50"/>
  <c r="S40" i="50" s="1"/>
  <c r="Q40" i="50"/>
  <c r="N40" i="50"/>
  <c r="O40" i="50" s="1"/>
  <c r="M40" i="50"/>
  <c r="K40" i="50"/>
  <c r="U39" i="50"/>
  <c r="R39" i="50"/>
  <c r="S39" i="50" s="1"/>
  <c r="Q39" i="50"/>
  <c r="N39" i="50"/>
  <c r="O39" i="50" s="1"/>
  <c r="M39" i="50"/>
  <c r="K39" i="50"/>
  <c r="U38" i="50"/>
  <c r="R38" i="50"/>
  <c r="S38" i="50" s="1"/>
  <c r="Q38" i="50"/>
  <c r="N38" i="50"/>
  <c r="O38" i="50" s="1"/>
  <c r="M38" i="50"/>
  <c r="K38" i="50"/>
  <c r="U37" i="50"/>
  <c r="R37" i="50"/>
  <c r="S37" i="50" s="1"/>
  <c r="Q37" i="50"/>
  <c r="N37" i="50"/>
  <c r="O37" i="50" s="1"/>
  <c r="M37" i="50"/>
  <c r="K37" i="50"/>
  <c r="U36" i="50"/>
  <c r="R36" i="50"/>
  <c r="S36" i="50" s="1"/>
  <c r="S50" i="50" s="1"/>
  <c r="Q36" i="50"/>
  <c r="Q50" i="50" s="1"/>
  <c r="N36" i="50"/>
  <c r="O36" i="50" s="1"/>
  <c r="M36" i="50"/>
  <c r="K36" i="50"/>
  <c r="U32" i="50"/>
  <c r="R32" i="50"/>
  <c r="S32" i="50" s="1"/>
  <c r="Q32" i="50"/>
  <c r="N32" i="50"/>
  <c r="O32" i="50" s="1"/>
  <c r="K32" i="50"/>
  <c r="U31" i="50"/>
  <c r="R31" i="50"/>
  <c r="S31" i="50" s="1"/>
  <c r="Q31" i="50"/>
  <c r="N31" i="50"/>
  <c r="O31" i="50" s="1"/>
  <c r="M31" i="50"/>
  <c r="K31" i="50"/>
  <c r="U30" i="50"/>
  <c r="R30" i="50"/>
  <c r="S30" i="50" s="1"/>
  <c r="Q30" i="50"/>
  <c r="N30" i="50"/>
  <c r="O30" i="50" s="1"/>
  <c r="M30" i="50"/>
  <c r="K30" i="50"/>
  <c r="U29" i="50"/>
  <c r="R29" i="50"/>
  <c r="S29" i="50" s="1"/>
  <c r="Q29" i="50"/>
  <c r="N29" i="50"/>
  <c r="O29" i="50" s="1"/>
  <c r="M29" i="50"/>
  <c r="K29" i="50"/>
  <c r="U28" i="50"/>
  <c r="R28" i="50"/>
  <c r="S28" i="50" s="1"/>
  <c r="Q28" i="50"/>
  <c r="N28" i="50"/>
  <c r="O28" i="50" s="1"/>
  <c r="M28" i="50"/>
  <c r="K28" i="50"/>
  <c r="U27" i="50"/>
  <c r="R27" i="50"/>
  <c r="S27" i="50" s="1"/>
  <c r="Q27" i="50"/>
  <c r="N27" i="50"/>
  <c r="O27" i="50" s="1"/>
  <c r="M27" i="50"/>
  <c r="K27" i="50"/>
  <c r="U26" i="50"/>
  <c r="R26" i="50"/>
  <c r="S26" i="50" s="1"/>
  <c r="Q26" i="50"/>
  <c r="N26" i="50"/>
  <c r="O26" i="50" s="1"/>
  <c r="M26" i="50"/>
  <c r="K26" i="50"/>
  <c r="U25" i="50"/>
  <c r="R25" i="50"/>
  <c r="S25" i="50" s="1"/>
  <c r="Q25" i="50"/>
  <c r="N25" i="50"/>
  <c r="O25" i="50" s="1"/>
  <c r="M25" i="50"/>
  <c r="K25" i="50"/>
  <c r="U24" i="50"/>
  <c r="R24" i="50"/>
  <c r="S24" i="50" s="1"/>
  <c r="Q24" i="50"/>
  <c r="N24" i="50"/>
  <c r="O24" i="50" s="1"/>
  <c r="M24" i="50"/>
  <c r="K24" i="50"/>
  <c r="U23" i="50"/>
  <c r="R23" i="50"/>
  <c r="S23" i="50" s="1"/>
  <c r="Q23" i="50"/>
  <c r="N23" i="50"/>
  <c r="O23" i="50" s="1"/>
  <c r="M23" i="50"/>
  <c r="K23" i="50"/>
  <c r="U22" i="50"/>
  <c r="R22" i="50"/>
  <c r="S22" i="50" s="1"/>
  <c r="S34" i="50" s="1"/>
  <c r="Q22" i="50"/>
  <c r="N22" i="50"/>
  <c r="O22" i="50" s="1"/>
  <c r="M22" i="50"/>
  <c r="K22" i="50"/>
  <c r="C22" i="50"/>
  <c r="C27" i="50" s="1"/>
  <c r="B21" i="50"/>
  <c r="F34" i="50" s="1"/>
  <c r="F20" i="50"/>
  <c r="U19" i="50"/>
  <c r="R19" i="50"/>
  <c r="S19" i="50" s="1"/>
  <c r="Q19" i="50"/>
  <c r="N19" i="50"/>
  <c r="O19" i="50" s="1"/>
  <c r="M19" i="50"/>
  <c r="K19" i="50"/>
  <c r="U18" i="50"/>
  <c r="R18" i="50"/>
  <c r="S18" i="50" s="1"/>
  <c r="Q18" i="50"/>
  <c r="N18" i="50"/>
  <c r="O18" i="50" s="1"/>
  <c r="M18" i="50"/>
  <c r="K18" i="50"/>
  <c r="C18" i="50"/>
  <c r="C19" i="50" s="1"/>
  <c r="C20" i="50" s="1"/>
  <c r="B18" i="50"/>
  <c r="B19" i="50" s="1"/>
  <c r="S62" i="50" l="1"/>
  <c r="Q62" i="50"/>
  <c r="U34" i="50"/>
  <c r="U62" i="50"/>
  <c r="K111" i="50"/>
  <c r="U50" i="50"/>
  <c r="K62" i="50"/>
  <c r="O111" i="50"/>
  <c r="O34" i="50"/>
  <c r="Q111" i="50"/>
  <c r="M111" i="50"/>
  <c r="Q34" i="50"/>
  <c r="O50" i="50"/>
  <c r="O62" i="50"/>
  <c r="S111" i="50"/>
  <c r="K34" i="50"/>
  <c r="M50" i="50"/>
  <c r="M62" i="50"/>
  <c r="M34" i="50"/>
  <c r="G15" i="55" s="1"/>
  <c r="I15" i="55" s="1"/>
  <c r="K50" i="50"/>
  <c r="Q171" i="50"/>
  <c r="Q20" i="50"/>
  <c r="U171" i="50"/>
  <c r="U242" i="50"/>
  <c r="M154" i="50"/>
  <c r="U161" i="50"/>
  <c r="M165" i="50"/>
  <c r="K149" i="50"/>
  <c r="S154" i="50"/>
  <c r="K20" i="50"/>
  <c r="B22" i="50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C23" i="50"/>
  <c r="C28" i="50" s="1"/>
  <c r="C24" i="50"/>
  <c r="K223" i="50"/>
  <c r="K154" i="50"/>
  <c r="K165" i="50"/>
  <c r="M171" i="50"/>
  <c r="M20" i="50"/>
  <c r="G13" i="55" s="1"/>
  <c r="I13" i="55" s="1"/>
  <c r="B35" i="50"/>
  <c r="B51" i="50" s="1"/>
  <c r="B52" i="50" s="1"/>
  <c r="B53" i="50" s="1"/>
  <c r="B54" i="50" s="1"/>
  <c r="B55" i="50" s="1"/>
  <c r="B56" i="50" s="1"/>
  <c r="B57" i="50" s="1"/>
  <c r="B58" i="50" s="1"/>
  <c r="B59" i="50" s="1"/>
  <c r="B60" i="50" s="1"/>
  <c r="B61" i="50" s="1"/>
  <c r="S171" i="50"/>
  <c r="U91" i="50"/>
  <c r="Q98" i="50"/>
  <c r="U145" i="50"/>
  <c r="Q154" i="50"/>
  <c r="Q161" i="50"/>
  <c r="K171" i="50"/>
  <c r="B173" i="50"/>
  <c r="B174" i="50" s="1"/>
  <c r="B175" i="50" s="1"/>
  <c r="B176" i="50" s="1"/>
  <c r="B177" i="50" s="1"/>
  <c r="B178" i="50" s="1"/>
  <c r="B179" i="50" s="1"/>
  <c r="B180" i="50" s="1"/>
  <c r="B181" i="50" s="1"/>
  <c r="B182" i="50" s="1"/>
  <c r="B183" i="50" s="1"/>
  <c r="B184" i="50" s="1"/>
  <c r="Q249" i="50"/>
  <c r="K269" i="50"/>
  <c r="K249" i="50"/>
  <c r="S20" i="50"/>
  <c r="O171" i="50"/>
  <c r="U249" i="50"/>
  <c r="Q72" i="50"/>
  <c r="U20" i="50"/>
  <c r="Q223" i="50"/>
  <c r="Q269" i="50"/>
  <c r="U98" i="50"/>
  <c r="K118" i="50"/>
  <c r="M91" i="50"/>
  <c r="Q118" i="50"/>
  <c r="Q165" i="50"/>
  <c r="U72" i="50"/>
  <c r="Q149" i="50"/>
  <c r="S165" i="50"/>
  <c r="U269" i="50"/>
  <c r="B36" i="50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Q91" i="50"/>
  <c r="U118" i="50"/>
  <c r="U136" i="50"/>
  <c r="K145" i="50"/>
  <c r="U154" i="50"/>
  <c r="S161" i="50"/>
  <c r="S249" i="50"/>
  <c r="M242" i="50"/>
  <c r="O242" i="50"/>
  <c r="S242" i="50"/>
  <c r="O161" i="50"/>
  <c r="M161" i="50"/>
  <c r="O145" i="50"/>
  <c r="S145" i="50"/>
  <c r="M118" i="50"/>
  <c r="O118" i="50"/>
  <c r="S98" i="50"/>
  <c r="O98" i="50"/>
  <c r="M98" i="50"/>
  <c r="O72" i="50"/>
  <c r="M72" i="50"/>
  <c r="O20" i="50"/>
  <c r="Q136" i="50"/>
  <c r="M149" i="50"/>
  <c r="S149" i="50"/>
  <c r="M136" i="50"/>
  <c r="C38" i="50"/>
  <c r="B63" i="50"/>
  <c r="F62" i="50"/>
  <c r="C89" i="50"/>
  <c r="C88" i="50"/>
  <c r="C90" i="50" s="1"/>
  <c r="S91" i="50"/>
  <c r="K98" i="50"/>
  <c r="C36" i="50"/>
  <c r="C41" i="50" s="1"/>
  <c r="C47" i="50" s="1"/>
  <c r="C32" i="50"/>
  <c r="S72" i="50"/>
  <c r="K91" i="50"/>
  <c r="O136" i="50"/>
  <c r="C25" i="50"/>
  <c r="C30" i="50" s="1"/>
  <c r="C21" i="50"/>
  <c r="C74" i="50"/>
  <c r="C75" i="50" s="1"/>
  <c r="C76" i="50" s="1"/>
  <c r="C77" i="50" s="1"/>
  <c r="C65" i="50"/>
  <c r="C66" i="50" s="1"/>
  <c r="C67" i="50" s="1"/>
  <c r="C68" i="50" s="1"/>
  <c r="S118" i="50"/>
  <c r="K72" i="50"/>
  <c r="O91" i="50"/>
  <c r="S136" i="50"/>
  <c r="O149" i="50"/>
  <c r="U149" i="50"/>
  <c r="U165" i="50"/>
  <c r="S223" i="50"/>
  <c r="Q242" i="50"/>
  <c r="S269" i="50"/>
  <c r="U223" i="50"/>
  <c r="M145" i="50"/>
  <c r="O154" i="50"/>
  <c r="C216" i="50"/>
  <c r="C217" i="50" s="1"/>
  <c r="C218" i="50" s="1"/>
  <c r="C219" i="50" s="1"/>
  <c r="C225" i="50"/>
  <c r="C226" i="50" s="1"/>
  <c r="C227" i="50" s="1"/>
  <c r="C228" i="50" s="1"/>
  <c r="C239" i="50"/>
  <c r="C241" i="50" s="1"/>
  <c r="C240" i="50"/>
  <c r="C175" i="50"/>
  <c r="C170" i="50"/>
  <c r="C171" i="50" s="1"/>
  <c r="C174" i="50"/>
  <c r="M249" i="50"/>
  <c r="K136" i="50"/>
  <c r="K161" i="50"/>
  <c r="O165" i="50"/>
  <c r="M223" i="50"/>
  <c r="Q145" i="50"/>
  <c r="B187" i="50"/>
  <c r="B188" i="50" s="1"/>
  <c r="B189" i="50" s="1"/>
  <c r="B190" i="50" s="1"/>
  <c r="B191" i="50" s="1"/>
  <c r="B192" i="50" s="1"/>
  <c r="B193" i="50" s="1"/>
  <c r="B194" i="50" s="1"/>
  <c r="B195" i="50" s="1"/>
  <c r="B196" i="50" s="1"/>
  <c r="B197" i="50" s="1"/>
  <c r="B198" i="50" s="1"/>
  <c r="B199" i="50" s="1"/>
  <c r="B200" i="50" s="1"/>
  <c r="F201" i="50"/>
  <c r="B202" i="50"/>
  <c r="K242" i="50"/>
  <c r="O249" i="50"/>
  <c r="M269" i="50"/>
  <c r="O223" i="50"/>
  <c r="O269" i="50"/>
  <c r="C183" i="50"/>
  <c r="F185" i="50"/>
  <c r="S166" i="50" l="1"/>
  <c r="G17" i="55"/>
  <c r="G18" i="55"/>
  <c r="G19" i="55"/>
  <c r="F50" i="50"/>
  <c r="C29" i="50"/>
  <c r="C37" i="50" s="1"/>
  <c r="C43" i="50" s="1"/>
  <c r="W20" i="50"/>
  <c r="W171" i="50"/>
  <c r="U119" i="50"/>
  <c r="L12" i="49" s="1"/>
  <c r="Q119" i="50"/>
  <c r="J12" i="49" s="1"/>
  <c r="Q166" i="50"/>
  <c r="J13" i="49" s="1"/>
  <c r="O166" i="50"/>
  <c r="I13" i="49" s="1"/>
  <c r="W98" i="50"/>
  <c r="K166" i="50"/>
  <c r="G13" i="49" s="1"/>
  <c r="M166" i="50"/>
  <c r="U166" i="50"/>
  <c r="L13" i="49" s="1"/>
  <c r="K270" i="50"/>
  <c r="G14" i="49" s="1"/>
  <c r="W111" i="50"/>
  <c r="W185" i="50"/>
  <c r="W62" i="50"/>
  <c r="U270" i="50"/>
  <c r="L14" i="49" s="1"/>
  <c r="W118" i="50"/>
  <c r="O119" i="50"/>
  <c r="I12" i="49" s="1"/>
  <c r="K13" i="49"/>
  <c r="Q270" i="50"/>
  <c r="J14" i="49" s="1"/>
  <c r="M270" i="50"/>
  <c r="S270" i="50"/>
  <c r="K14" i="49" s="1"/>
  <c r="O270" i="50"/>
  <c r="I14" i="49" s="1"/>
  <c r="W72" i="50"/>
  <c r="M119" i="50"/>
  <c r="S119" i="50"/>
  <c r="K12" i="49" s="1"/>
  <c r="W50" i="50"/>
  <c r="W34" i="50"/>
  <c r="C176" i="50"/>
  <c r="C181" i="50" s="1"/>
  <c r="C172" i="50"/>
  <c r="K119" i="50"/>
  <c r="G12" i="49" s="1"/>
  <c r="C180" i="50"/>
  <c r="C179" i="50"/>
  <c r="C34" i="50"/>
  <c r="C26" i="50"/>
  <c r="C31" i="50" s="1"/>
  <c r="C91" i="50"/>
  <c r="C92" i="50" s="1"/>
  <c r="C93" i="50" s="1"/>
  <c r="C94" i="50" s="1"/>
  <c r="C95" i="50" s="1"/>
  <c r="C96" i="50" s="1"/>
  <c r="C97" i="50" s="1"/>
  <c r="C78" i="50"/>
  <c r="C79" i="50" s="1"/>
  <c r="C80" i="50" s="1"/>
  <c r="C81" i="50" s="1"/>
  <c r="C69" i="50"/>
  <c r="C70" i="50" s="1"/>
  <c r="C71" i="50" s="1"/>
  <c r="B64" i="50"/>
  <c r="B65" i="50" s="1"/>
  <c r="B66" i="50" s="1"/>
  <c r="B67" i="50" s="1"/>
  <c r="B68" i="50" s="1"/>
  <c r="B69" i="50" s="1"/>
  <c r="B70" i="50" s="1"/>
  <c r="B71" i="50" s="1"/>
  <c r="B73" i="50"/>
  <c r="F72" i="50"/>
  <c r="B214" i="50"/>
  <c r="B203" i="50"/>
  <c r="B204" i="50" s="1"/>
  <c r="B205" i="50" s="1"/>
  <c r="B206" i="50" s="1"/>
  <c r="B207" i="50" s="1"/>
  <c r="B208" i="50" s="1"/>
  <c r="B209" i="50" s="1"/>
  <c r="B210" i="50" s="1"/>
  <c r="B211" i="50" s="1"/>
  <c r="B212" i="50" s="1"/>
  <c r="F213" i="50"/>
  <c r="C242" i="50"/>
  <c r="C243" i="50" s="1"/>
  <c r="C244" i="50" s="1"/>
  <c r="C245" i="50" s="1"/>
  <c r="C246" i="50" s="1"/>
  <c r="C247" i="50" s="1"/>
  <c r="C248" i="50" s="1"/>
  <c r="W91" i="50"/>
  <c r="C220" i="50"/>
  <c r="C221" i="50" s="1"/>
  <c r="C222" i="50" s="1"/>
  <c r="C229" i="50"/>
  <c r="C230" i="50" s="1"/>
  <c r="C231" i="50" s="1"/>
  <c r="C232" i="50" s="1"/>
  <c r="H12" i="49" l="1"/>
  <c r="W119" i="50"/>
  <c r="I19" i="55"/>
  <c r="I18" i="55"/>
  <c r="I17" i="55"/>
  <c r="C42" i="50"/>
  <c r="H13" i="49"/>
  <c r="K23" i="49" s="1"/>
  <c r="G20" i="55"/>
  <c r="H14" i="49"/>
  <c r="K24" i="49" s="1"/>
  <c r="G21" i="55"/>
  <c r="J15" i="49"/>
  <c r="J16" i="49" s="1"/>
  <c r="L15" i="49"/>
  <c r="L17" i="49" s="1"/>
  <c r="G15" i="49"/>
  <c r="G17" i="49" s="1"/>
  <c r="I15" i="49"/>
  <c r="I16" i="49" s="1"/>
  <c r="K22" i="49"/>
  <c r="K15" i="49"/>
  <c r="B92" i="50"/>
  <c r="F91" i="50"/>
  <c r="B74" i="50"/>
  <c r="B75" i="50" s="1"/>
  <c r="B76" i="50" s="1"/>
  <c r="B77" i="50" s="1"/>
  <c r="B78" i="50" s="1"/>
  <c r="B79" i="50" s="1"/>
  <c r="B80" i="50" s="1"/>
  <c r="B81" i="50" s="1"/>
  <c r="B82" i="50" s="1"/>
  <c r="B83" i="50" s="1"/>
  <c r="B84" i="50" s="1"/>
  <c r="B85" i="50" s="1"/>
  <c r="B86" i="50" s="1"/>
  <c r="B87" i="50" s="1"/>
  <c r="B88" i="50" s="1"/>
  <c r="B89" i="50" s="1"/>
  <c r="B90" i="50" s="1"/>
  <c r="C39" i="50"/>
  <c r="C44" i="50" s="1"/>
  <c r="C35" i="50"/>
  <c r="C189" i="50"/>
  <c r="C188" i="50"/>
  <c r="C177" i="50"/>
  <c r="C182" i="50" s="1"/>
  <c r="C185" i="50"/>
  <c r="F223" i="50"/>
  <c r="B215" i="50"/>
  <c r="B216" i="50" s="1"/>
  <c r="B217" i="50" s="1"/>
  <c r="B218" i="50" s="1"/>
  <c r="B219" i="50" s="1"/>
  <c r="B220" i="50" s="1"/>
  <c r="B221" i="50" s="1"/>
  <c r="B222" i="50" s="1"/>
  <c r="B224" i="50"/>
  <c r="I21" i="55" l="1"/>
  <c r="I20" i="55"/>
  <c r="H15" i="49"/>
  <c r="K25" i="49" s="1"/>
  <c r="L16" i="49"/>
  <c r="L18" i="49" s="1"/>
  <c r="J17" i="49"/>
  <c r="J18" i="49" s="1"/>
  <c r="G16" i="49"/>
  <c r="G18" i="49" s="1"/>
  <c r="I17" i="49"/>
  <c r="I18" i="49" s="1"/>
  <c r="K16" i="49"/>
  <c r="K17" i="49"/>
  <c r="C194" i="50"/>
  <c r="C193" i="50"/>
  <c r="C40" i="50"/>
  <c r="F242" i="50"/>
  <c r="B225" i="50"/>
  <c r="B226" i="50" s="1"/>
  <c r="B227" i="50" s="1"/>
  <c r="B228" i="50" s="1"/>
  <c r="B229" i="50" s="1"/>
  <c r="B230" i="50" s="1"/>
  <c r="B231" i="50" s="1"/>
  <c r="B232" i="50" s="1"/>
  <c r="B233" i="50" s="1"/>
  <c r="B234" i="50" s="1"/>
  <c r="B235" i="50" s="1"/>
  <c r="B236" i="50" s="1"/>
  <c r="B237" i="50" s="1"/>
  <c r="B238" i="50" s="1"/>
  <c r="B239" i="50" s="1"/>
  <c r="B240" i="50" s="1"/>
  <c r="B241" i="50" s="1"/>
  <c r="B243" i="50"/>
  <c r="C190" i="50"/>
  <c r="C195" i="50" s="1"/>
  <c r="C186" i="50"/>
  <c r="B99" i="50"/>
  <c r="F98" i="50"/>
  <c r="B93" i="50"/>
  <c r="B94" i="50" s="1"/>
  <c r="B95" i="50" s="1"/>
  <c r="B96" i="50" s="1"/>
  <c r="H16" i="49" l="1"/>
  <c r="H17" i="49"/>
  <c r="G22" i="55" s="1"/>
  <c r="I22" i="55" s="1"/>
  <c r="I40" i="55" s="1"/>
  <c r="G20" i="49"/>
  <c r="J20" i="49"/>
  <c r="L20" i="49"/>
  <c r="I20" i="49"/>
  <c r="K18" i="49"/>
  <c r="B250" i="50"/>
  <c r="B244" i="50"/>
  <c r="B245" i="50" s="1"/>
  <c r="B246" i="50" s="1"/>
  <c r="B247" i="50" s="1"/>
  <c r="F249" i="50"/>
  <c r="B97" i="50"/>
  <c r="C46" i="50"/>
  <c r="C45" i="50"/>
  <c r="C50" i="50"/>
  <c r="C51" i="50" s="1"/>
  <c r="C52" i="50" s="1"/>
  <c r="C57" i="50" s="1"/>
  <c r="C58" i="50" s="1"/>
  <c r="C59" i="50" s="1"/>
  <c r="C60" i="50" s="1"/>
  <c r="C61" i="50" s="1"/>
  <c r="C53" i="50"/>
  <c r="C54" i="50" s="1"/>
  <c r="C55" i="50" s="1"/>
  <c r="C56" i="50" s="1"/>
  <c r="B100" i="50"/>
  <c r="B101" i="50" s="1"/>
  <c r="B102" i="50" s="1"/>
  <c r="B103" i="50" s="1"/>
  <c r="B104" i="50" s="1"/>
  <c r="B105" i="50" s="1"/>
  <c r="B106" i="50" s="1"/>
  <c r="B107" i="50" s="1"/>
  <c r="B108" i="50" s="1"/>
  <c r="B109" i="50" s="1"/>
  <c r="B110" i="50" s="1"/>
  <c r="B112" i="50"/>
  <c r="F111" i="50"/>
  <c r="C191" i="50"/>
  <c r="H18" i="49" l="1"/>
  <c r="D10" i="55" s="1"/>
  <c r="H22" i="55" s="1"/>
  <c r="J22" i="55" s="1"/>
  <c r="H21" i="55"/>
  <c r="H20" i="55"/>
  <c r="H19" i="55"/>
  <c r="H22" i="49"/>
  <c r="H23" i="49" s="1"/>
  <c r="K20" i="49"/>
  <c r="C201" i="50"/>
  <c r="C202" i="50" s="1"/>
  <c r="C203" i="50" s="1"/>
  <c r="C208" i="50" s="1"/>
  <c r="C209" i="50" s="1"/>
  <c r="C210" i="50" s="1"/>
  <c r="C211" i="50" s="1"/>
  <c r="C212" i="50" s="1"/>
  <c r="C204" i="50"/>
  <c r="C205" i="50" s="1"/>
  <c r="C206" i="50" s="1"/>
  <c r="C207" i="50" s="1"/>
  <c r="B248" i="50"/>
  <c r="C197" i="50"/>
  <c r="C196" i="50"/>
  <c r="B113" i="50"/>
  <c r="B114" i="50" s="1"/>
  <c r="B115" i="50" s="1"/>
  <c r="B116" i="50" s="1"/>
  <c r="B117" i="50" s="1"/>
  <c r="F118" i="50"/>
  <c r="F262" i="50"/>
  <c r="B263" i="50"/>
  <c r="B251" i="50"/>
  <c r="B252" i="50" s="1"/>
  <c r="B253" i="50" s="1"/>
  <c r="B254" i="50" s="1"/>
  <c r="B255" i="50" s="1"/>
  <c r="B256" i="50" s="1"/>
  <c r="B257" i="50" s="1"/>
  <c r="B258" i="50" s="1"/>
  <c r="B259" i="50" s="1"/>
  <c r="B260" i="50" s="1"/>
  <c r="B261" i="50" s="1"/>
  <c r="H18" i="55" l="1"/>
  <c r="H13" i="55"/>
  <c r="J13" i="55" s="1"/>
  <c r="M18" i="49"/>
  <c r="N10" i="55"/>
  <c r="H40" i="55"/>
  <c r="H20" i="49"/>
  <c r="J20" i="55"/>
  <c r="J15" i="55"/>
  <c r="B264" i="50"/>
  <c r="B265" i="50" s="1"/>
  <c r="B266" i="50" s="1"/>
  <c r="B267" i="50" s="1"/>
  <c r="B268" i="50" s="1"/>
  <c r="F269" i="50"/>
  <c r="J17" i="55" l="1"/>
  <c r="J40" i="55" s="1"/>
  <c r="H23" i="55"/>
  <c r="C24" i="55" l="1"/>
  <c r="L13" i="47"/>
  <c r="G13" i="47"/>
  <c r="G12" i="47"/>
  <c r="G14" i="47"/>
  <c r="L14" i="47"/>
  <c r="L12" i="47"/>
  <c r="L15" i="47" l="1"/>
  <c r="G15" i="47"/>
  <c r="L16" i="47" l="1"/>
  <c r="L17" i="47"/>
  <c r="G16" i="47"/>
  <c r="G17" i="47"/>
  <c r="G18" i="47" l="1"/>
  <c r="L18" i="47"/>
  <c r="L20" i="47" l="1"/>
  <c r="G20" i="47"/>
  <c r="C18" i="44" l="1"/>
  <c r="C19" i="44" s="1"/>
  <c r="C20" i="44" s="1"/>
  <c r="C21" i="44" s="1"/>
  <c r="C24" i="44" s="1"/>
  <c r="K18" i="44"/>
  <c r="Q18" i="44"/>
  <c r="K19" i="44"/>
  <c r="Q19" i="44"/>
  <c r="K20" i="44"/>
  <c r="Q20" i="44"/>
  <c r="K21" i="44"/>
  <c r="Q21" i="44"/>
  <c r="U21" i="44"/>
  <c r="C25" i="44"/>
  <c r="C26" i="44"/>
  <c r="C22" i="44"/>
  <c r="C27" i="44" s="1"/>
  <c r="C28" i="44" s="1"/>
  <c r="F22" i="44"/>
  <c r="K24" i="44"/>
  <c r="Q24" i="44"/>
  <c r="K25" i="44"/>
  <c r="Q25" i="44"/>
  <c r="U25" i="44"/>
  <c r="K26" i="44"/>
  <c r="Q26" i="44"/>
  <c r="K27" i="44"/>
  <c r="Q27" i="44"/>
  <c r="U27" i="44"/>
  <c r="B28" i="44"/>
  <c r="K28" i="44"/>
  <c r="O28" i="44"/>
  <c r="U28" i="44"/>
  <c r="C29" i="44"/>
  <c r="F29" i="44"/>
  <c r="C30" i="44"/>
  <c r="C31" i="44" s="1"/>
  <c r="K31" i="44"/>
  <c r="K32" i="44" s="1"/>
  <c r="Q31" i="44"/>
  <c r="Q32" i="44" s="1"/>
  <c r="C32" i="44"/>
  <c r="F32" i="44"/>
  <c r="K38" i="44"/>
  <c r="Q38" i="44"/>
  <c r="U38" i="44"/>
  <c r="K39" i="44"/>
  <c r="Q39" i="44"/>
  <c r="K40" i="44"/>
  <c r="Q40" i="44"/>
  <c r="U40" i="44"/>
  <c r="C42" i="44"/>
  <c r="C43" i="44" s="1"/>
  <c r="C44" i="44" s="1"/>
  <c r="F42" i="44"/>
  <c r="K44" i="44"/>
  <c r="Q44" i="44"/>
  <c r="K45" i="44"/>
  <c r="Q45" i="44"/>
  <c r="K46" i="44"/>
  <c r="Q47" i="44"/>
  <c r="C48" i="44"/>
  <c r="C49" i="44" s="1"/>
  <c r="C50" i="44" s="1"/>
  <c r="C51" i="44" s="1"/>
  <c r="F48" i="44"/>
  <c r="K50" i="44"/>
  <c r="Q50" i="44"/>
  <c r="U50" i="44"/>
  <c r="K51" i="44"/>
  <c r="Q51" i="44"/>
  <c r="U51" i="44"/>
  <c r="C52" i="44"/>
  <c r="C53" i="44" s="1"/>
  <c r="C54" i="44" s="1"/>
  <c r="C55" i="44" s="1"/>
  <c r="F52" i="44"/>
  <c r="K54" i="44"/>
  <c r="Q54" i="44"/>
  <c r="K55" i="44"/>
  <c r="Q55" i="44"/>
  <c r="C56" i="44"/>
  <c r="C57" i="44" s="1"/>
  <c r="C58" i="44" s="1"/>
  <c r="C59" i="44" s="1"/>
  <c r="F56" i="44"/>
  <c r="K58" i="44"/>
  <c r="Q58" i="44"/>
  <c r="K59" i="44"/>
  <c r="Q59" i="44"/>
  <c r="U59" i="44"/>
  <c r="K60" i="44"/>
  <c r="M60" i="44"/>
  <c r="N60" i="44"/>
  <c r="O60" i="44" s="1"/>
  <c r="Q60" i="44"/>
  <c r="R60" i="44"/>
  <c r="S60" i="44" s="1"/>
  <c r="U60" i="44"/>
  <c r="K61" i="44"/>
  <c r="M61" i="44"/>
  <c r="N61" i="44"/>
  <c r="O61" i="44" s="1"/>
  <c r="Q61" i="44"/>
  <c r="R61" i="44"/>
  <c r="S61" i="44" s="1"/>
  <c r="U61" i="44"/>
  <c r="K62" i="44"/>
  <c r="Q62" i="44"/>
  <c r="U62" i="44"/>
  <c r="K63" i="44"/>
  <c r="Q63" i="44"/>
  <c r="U63" i="44"/>
  <c r="K64" i="44"/>
  <c r="Q64" i="44"/>
  <c r="U64" i="44"/>
  <c r="K65" i="44"/>
  <c r="Q65" i="44"/>
  <c r="U65" i="44"/>
  <c r="K66" i="44"/>
  <c r="Q66" i="44"/>
  <c r="U66" i="44"/>
  <c r="K67" i="44"/>
  <c r="Q67" i="44"/>
  <c r="K68" i="44"/>
  <c r="Q68" i="44"/>
  <c r="U68" i="44"/>
  <c r="K69" i="44"/>
  <c r="Q69" i="44"/>
  <c r="U69" i="44"/>
  <c r="K70" i="44"/>
  <c r="Q70" i="44"/>
  <c r="U70" i="44"/>
  <c r="C71" i="44"/>
  <c r="C73" i="44" s="1"/>
  <c r="C74" i="44" s="1"/>
  <c r="C75" i="44" s="1"/>
  <c r="S71" i="44"/>
  <c r="U71" i="44"/>
  <c r="F73" i="44"/>
  <c r="K75" i="44"/>
  <c r="K76" i="44" s="1"/>
  <c r="Q75" i="44"/>
  <c r="U75" i="44"/>
  <c r="C76" i="44"/>
  <c r="C77" i="44" s="1"/>
  <c r="C78" i="44" s="1"/>
  <c r="C79" i="44" s="1"/>
  <c r="F76" i="44"/>
  <c r="K78" i="44"/>
  <c r="Q78" i="44"/>
  <c r="U78" i="44"/>
  <c r="K79" i="44"/>
  <c r="Q79" i="44"/>
  <c r="K80" i="44"/>
  <c r="Q80" i="44"/>
  <c r="U80" i="44"/>
  <c r="K81" i="44"/>
  <c r="Q81" i="44"/>
  <c r="U81" i="44"/>
  <c r="K82" i="44"/>
  <c r="Q82" i="44"/>
  <c r="K83" i="44"/>
  <c r="Q83" i="44"/>
  <c r="K84" i="44"/>
  <c r="Q84" i="44"/>
  <c r="U84" i="44"/>
  <c r="K85" i="44"/>
  <c r="Q85" i="44"/>
  <c r="K86" i="44"/>
  <c r="Q86" i="44"/>
  <c r="U86" i="44"/>
  <c r="K87" i="44"/>
  <c r="Q87" i="44"/>
  <c r="K88" i="44"/>
  <c r="Q88" i="44"/>
  <c r="K89" i="44"/>
  <c r="Q89" i="44"/>
  <c r="U89" i="44"/>
  <c r="K90" i="44"/>
  <c r="Q90" i="44"/>
  <c r="K91" i="44"/>
  <c r="Q91" i="44"/>
  <c r="U91" i="44"/>
  <c r="K92" i="44"/>
  <c r="Q92" i="44"/>
  <c r="U92" i="44"/>
  <c r="K93" i="44"/>
  <c r="Q93" i="44"/>
  <c r="U93" i="44"/>
  <c r="K94" i="44"/>
  <c r="Q94" i="44"/>
  <c r="U94" i="44"/>
  <c r="K95" i="44"/>
  <c r="Q95" i="44"/>
  <c r="K96" i="44"/>
  <c r="Q96" i="44"/>
  <c r="K97" i="44"/>
  <c r="Q97" i="44"/>
  <c r="C98" i="44"/>
  <c r="C101" i="44" s="1"/>
  <c r="C102" i="44" s="1"/>
  <c r="C103" i="44" s="1"/>
  <c r="C104" i="44" s="1"/>
  <c r="K98" i="44"/>
  <c r="O98" i="44"/>
  <c r="S98" i="44"/>
  <c r="U98" i="44"/>
  <c r="F101" i="44"/>
  <c r="K103" i="44"/>
  <c r="Q103" i="44"/>
  <c r="U103" i="44"/>
  <c r="K104" i="44"/>
  <c r="Q104" i="44"/>
  <c r="U104" i="44"/>
  <c r="K105" i="44"/>
  <c r="Q105" i="44"/>
  <c r="U105" i="44"/>
  <c r="K106" i="44"/>
  <c r="Q106" i="44"/>
  <c r="U106" i="44"/>
  <c r="K107" i="44"/>
  <c r="Q107" i="44"/>
  <c r="U107" i="44"/>
  <c r="K108" i="44"/>
  <c r="Q108" i="44"/>
  <c r="U108" i="44"/>
  <c r="K109" i="44"/>
  <c r="Q109" i="44"/>
  <c r="U109" i="44"/>
  <c r="K110" i="44"/>
  <c r="Q110" i="44"/>
  <c r="U110" i="44"/>
  <c r="K111" i="44"/>
  <c r="Q111" i="44"/>
  <c r="U111" i="44"/>
  <c r="K112" i="44"/>
  <c r="Q112" i="44"/>
  <c r="U112" i="44"/>
  <c r="K113" i="44"/>
  <c r="Q113" i="44"/>
  <c r="U113" i="44"/>
  <c r="K114" i="44"/>
  <c r="Q114" i="44"/>
  <c r="U114" i="44"/>
  <c r="K115" i="44"/>
  <c r="Q115" i="44"/>
  <c r="U115" i="44"/>
  <c r="C117" i="44"/>
  <c r="C118" i="44" s="1"/>
  <c r="C119" i="44" s="1"/>
  <c r="C120" i="44" s="1"/>
  <c r="C121" i="44" s="1"/>
  <c r="C122" i="44" s="1"/>
  <c r="C123" i="44" s="1"/>
  <c r="C124" i="44" s="1"/>
  <c r="C125" i="44" s="1"/>
  <c r="C126" i="44" s="1"/>
  <c r="C127" i="44" s="1"/>
  <c r="F117" i="44"/>
  <c r="K119" i="44"/>
  <c r="Q119" i="44"/>
  <c r="U119" i="44"/>
  <c r="K120" i="44"/>
  <c r="Q120" i="44"/>
  <c r="U120" i="44"/>
  <c r="K121" i="44"/>
  <c r="Q121" i="44"/>
  <c r="U121" i="44"/>
  <c r="K122" i="44"/>
  <c r="Q122" i="44"/>
  <c r="U122" i="44"/>
  <c r="K123" i="44"/>
  <c r="Q123" i="44"/>
  <c r="U123" i="44"/>
  <c r="K124" i="44"/>
  <c r="Q124" i="44"/>
  <c r="U124" i="44"/>
  <c r="K125" i="44"/>
  <c r="Q125" i="44"/>
  <c r="K126" i="44"/>
  <c r="Q126" i="44"/>
  <c r="U126" i="44"/>
  <c r="K127" i="44"/>
  <c r="Q127" i="44"/>
  <c r="U127" i="44"/>
  <c r="C128" i="44"/>
  <c r="C129" i="44" s="1"/>
  <c r="C130" i="44" s="1"/>
  <c r="C131" i="44" s="1"/>
  <c r="C132" i="44" s="1"/>
  <c r="C133" i="44" s="1"/>
  <c r="C134" i="44" s="1"/>
  <c r="O128" i="44"/>
  <c r="S128" i="44"/>
  <c r="U128" i="44"/>
  <c r="F129" i="44"/>
  <c r="K131" i="44"/>
  <c r="Q131" i="44"/>
  <c r="U131" i="44"/>
  <c r="K132" i="44"/>
  <c r="Q132" i="44"/>
  <c r="K133" i="44"/>
  <c r="Q133" i="44"/>
  <c r="U133" i="44"/>
  <c r="K134" i="44"/>
  <c r="Q134" i="44"/>
  <c r="U134" i="44"/>
  <c r="C136" i="44"/>
  <c r="C137" i="44" s="1"/>
  <c r="C138" i="44" s="1"/>
  <c r="C139" i="44" s="1"/>
  <c r="C140" i="44" s="1"/>
  <c r="C141" i="44" s="1"/>
  <c r="C142" i="44" s="1"/>
  <c r="C143" i="44" s="1"/>
  <c r="C144" i="44" s="1"/>
  <c r="C145" i="44" s="1"/>
  <c r="C146" i="44" s="1"/>
  <c r="C147" i="44" s="1"/>
  <c r="F136" i="44"/>
  <c r="K138" i="44"/>
  <c r="Q138" i="44"/>
  <c r="U138" i="44"/>
  <c r="K139" i="44"/>
  <c r="Q139" i="44"/>
  <c r="U139" i="44"/>
  <c r="K140" i="44"/>
  <c r="Q140" i="44"/>
  <c r="U140" i="44"/>
  <c r="K141" i="44"/>
  <c r="Q141" i="44"/>
  <c r="Q142" i="44"/>
  <c r="U142" i="44"/>
  <c r="K143" i="44"/>
  <c r="Q143" i="44"/>
  <c r="U143" i="44"/>
  <c r="K144" i="44"/>
  <c r="Q144" i="44"/>
  <c r="U144" i="44"/>
  <c r="K145" i="44"/>
  <c r="Q145" i="44"/>
  <c r="U145" i="44"/>
  <c r="K146" i="44"/>
  <c r="Q146" i="44"/>
  <c r="K147" i="44"/>
  <c r="Q147" i="44"/>
  <c r="C148" i="44"/>
  <c r="C152" i="44" s="1"/>
  <c r="C153" i="44" s="1"/>
  <c r="K148" i="44"/>
  <c r="O148" i="44"/>
  <c r="S148" i="44"/>
  <c r="U148" i="44"/>
  <c r="K152" i="44"/>
  <c r="O152" i="44"/>
  <c r="S152" i="44"/>
  <c r="U152" i="44"/>
  <c r="F153" i="44"/>
  <c r="C154" i="44"/>
  <c r="C155" i="44" s="1"/>
  <c r="C156" i="44" s="1"/>
  <c r="C157" i="44" s="1"/>
  <c r="C158" i="44" s="1"/>
  <c r="C159" i="44" s="1"/>
  <c r="C160" i="44" s="1"/>
  <c r="C161" i="44" s="1"/>
  <c r="C162" i="44" s="1"/>
  <c r="C163" i="44" s="1"/>
  <c r="C164" i="44" s="1"/>
  <c r="K157" i="44"/>
  <c r="Q157" i="44"/>
  <c r="U157" i="44"/>
  <c r="K158" i="44"/>
  <c r="Q158" i="44"/>
  <c r="U158" i="44"/>
  <c r="K159" i="44"/>
  <c r="Q159" i="44"/>
  <c r="U159" i="44"/>
  <c r="K160" i="44"/>
  <c r="Q160" i="44"/>
  <c r="U160" i="44"/>
  <c r="K161" i="44"/>
  <c r="Q161" i="44"/>
  <c r="U161" i="44"/>
  <c r="K162" i="44"/>
  <c r="M162" i="44"/>
  <c r="N162" i="44"/>
  <c r="O162" i="44" s="1"/>
  <c r="Q162" i="44"/>
  <c r="R162" i="44"/>
  <c r="S162" i="44" s="1"/>
  <c r="U162" i="44"/>
  <c r="K163" i="44"/>
  <c r="Q163" i="44"/>
  <c r="U163" i="44"/>
  <c r="K164" i="44"/>
  <c r="Q164" i="44"/>
  <c r="U164" i="44"/>
  <c r="C166" i="44"/>
  <c r="C167" i="44" s="1"/>
  <c r="C168" i="44" s="1"/>
  <c r="C169" i="44" s="1"/>
  <c r="C170" i="44" s="1"/>
  <c r="C171" i="44" s="1"/>
  <c r="C172" i="44" s="1"/>
  <c r="C173" i="44" s="1"/>
  <c r="C174" i="44" s="1"/>
  <c r="F166" i="44"/>
  <c r="N166" i="44"/>
  <c r="R166" i="44"/>
  <c r="K168" i="44"/>
  <c r="Q168" i="44"/>
  <c r="K169" i="44"/>
  <c r="Q169" i="44"/>
  <c r="K170" i="44"/>
  <c r="Q170" i="44"/>
  <c r="U170" i="44"/>
  <c r="K171" i="44"/>
  <c r="Q171" i="44"/>
  <c r="K172" i="44"/>
  <c r="Q172" i="44"/>
  <c r="K173" i="44"/>
  <c r="Q173" i="44"/>
  <c r="U173" i="44"/>
  <c r="K174" i="44"/>
  <c r="Q174" i="44"/>
  <c r="K175" i="44"/>
  <c r="Q175" i="44"/>
  <c r="K176" i="44"/>
  <c r="Q176" i="44"/>
  <c r="K177" i="44"/>
  <c r="Q177" i="44"/>
  <c r="U177" i="44"/>
  <c r="K178" i="44"/>
  <c r="Q178" i="44"/>
  <c r="U178" i="44"/>
  <c r="K179" i="44"/>
  <c r="Q179" i="44"/>
  <c r="U179" i="44"/>
  <c r="K180" i="44"/>
  <c r="Q180" i="44"/>
  <c r="K181" i="44"/>
  <c r="Q181" i="44"/>
  <c r="U181" i="44"/>
  <c r="K182" i="44"/>
  <c r="Q182" i="44"/>
  <c r="K183" i="44"/>
  <c r="Q183" i="44"/>
  <c r="U183" i="44"/>
  <c r="K184" i="44"/>
  <c r="Q184" i="44"/>
  <c r="U184" i="44"/>
  <c r="K185" i="44"/>
  <c r="Q185" i="44"/>
  <c r="U185" i="44"/>
  <c r="K186" i="44"/>
  <c r="Q186" i="44"/>
  <c r="U186" i="44"/>
  <c r="K187" i="44"/>
  <c r="Q187" i="44"/>
  <c r="U187" i="44"/>
  <c r="K188" i="44"/>
  <c r="Q188" i="44"/>
  <c r="K189" i="44"/>
  <c r="Q189" i="44"/>
  <c r="U189" i="44"/>
  <c r="K190" i="44"/>
  <c r="Q190" i="44"/>
  <c r="U190" i="44"/>
  <c r="K191" i="44"/>
  <c r="Q191" i="44"/>
  <c r="U191" i="44"/>
  <c r="K192" i="44"/>
  <c r="Q192" i="44"/>
  <c r="U192" i="44"/>
  <c r="K193" i="44"/>
  <c r="Q193" i="44"/>
  <c r="U193" i="44"/>
  <c r="K194" i="44"/>
  <c r="Q194" i="44"/>
  <c r="U194" i="44"/>
  <c r="K195" i="44"/>
  <c r="Q195" i="44"/>
  <c r="U195" i="44"/>
  <c r="K196" i="44"/>
  <c r="Q196" i="44"/>
  <c r="K197" i="44"/>
  <c r="Q197" i="44"/>
  <c r="U197" i="44"/>
  <c r="K198" i="44"/>
  <c r="Q198" i="44"/>
  <c r="U198" i="44"/>
  <c r="K199" i="44"/>
  <c r="Q199" i="44"/>
  <c r="K200" i="44"/>
  <c r="Q200" i="44"/>
  <c r="U200" i="44"/>
  <c r="K201" i="44"/>
  <c r="Q201" i="44"/>
  <c r="U201" i="44"/>
  <c r="K202" i="44"/>
  <c r="Q202" i="44"/>
  <c r="U202" i="44"/>
  <c r="K209" i="44"/>
  <c r="O209" i="44"/>
  <c r="S209" i="44"/>
  <c r="U209" i="44"/>
  <c r="F210" i="44"/>
  <c r="K212" i="44"/>
  <c r="Q212" i="44"/>
  <c r="K213" i="44"/>
  <c r="Q213" i="44"/>
  <c r="U213" i="44"/>
  <c r="K214" i="44"/>
  <c r="Q214" i="44"/>
  <c r="K215" i="44"/>
  <c r="Q215" i="44"/>
  <c r="K216" i="44"/>
  <c r="Q216" i="44"/>
  <c r="U216" i="44"/>
  <c r="K217" i="44"/>
  <c r="Q217" i="44"/>
  <c r="U217" i="44"/>
  <c r="K218" i="44"/>
  <c r="Q218" i="44"/>
  <c r="K219" i="44"/>
  <c r="Q219" i="44"/>
  <c r="U219" i="44"/>
  <c r="K220" i="44"/>
  <c r="Q220" i="44"/>
  <c r="U220" i="44"/>
  <c r="K221" i="44"/>
  <c r="Q221" i="44"/>
  <c r="U221" i="44"/>
  <c r="K222" i="44"/>
  <c r="Q222" i="44"/>
  <c r="K223" i="44"/>
  <c r="Q223" i="44"/>
  <c r="U223" i="44"/>
  <c r="C224" i="44"/>
  <c r="C227" i="44" s="1"/>
  <c r="C228" i="44" s="1"/>
  <c r="C229" i="44" s="1"/>
  <c r="C230" i="44" s="1"/>
  <c r="C231" i="44" s="1"/>
  <c r="C232" i="44" s="1"/>
  <c r="C233" i="44" s="1"/>
  <c r="C234" i="44" s="1"/>
  <c r="C235" i="44" s="1"/>
  <c r="C236" i="44" s="1"/>
  <c r="C237" i="44" s="1"/>
  <c r="K224" i="44"/>
  <c r="O224" i="44"/>
  <c r="S224" i="44"/>
  <c r="U224" i="44"/>
  <c r="K227" i="44"/>
  <c r="O227" i="44"/>
  <c r="S227" i="44"/>
  <c r="U227" i="44"/>
  <c r="F228" i="44"/>
  <c r="N228" i="44"/>
  <c r="R228" i="44"/>
  <c r="K230" i="44"/>
  <c r="Q230" i="44"/>
  <c r="U230" i="44"/>
  <c r="K231" i="44"/>
  <c r="Q231" i="44"/>
  <c r="U231" i="44"/>
  <c r="K232" i="44"/>
  <c r="Q232" i="44"/>
  <c r="U232" i="44"/>
  <c r="K233" i="44"/>
  <c r="Q233" i="44"/>
  <c r="K234" i="44"/>
  <c r="Q234" i="44"/>
  <c r="K235" i="44"/>
  <c r="Q235" i="44"/>
  <c r="K236" i="44"/>
  <c r="Q236" i="44"/>
  <c r="U236" i="44"/>
  <c r="K237" i="44"/>
  <c r="Q237" i="44"/>
  <c r="U237" i="44"/>
  <c r="C238" i="44"/>
  <c r="C239" i="44" s="1"/>
  <c r="C240" i="44" s="1"/>
  <c r="C241" i="44" s="1"/>
  <c r="C242" i="44" s="1"/>
  <c r="C243" i="44" s="1"/>
  <c r="C244" i="44" s="1"/>
  <c r="C245" i="44" s="1"/>
  <c r="C246" i="44" s="1"/>
  <c r="C247" i="44" s="1"/>
  <c r="C248" i="44" s="1"/>
  <c r="C249" i="44" s="1"/>
  <c r="C250" i="44" s="1"/>
  <c r="C251" i="44" s="1"/>
  <c r="C252" i="44" s="1"/>
  <c r="C253" i="44" s="1"/>
  <c r="C254" i="44" s="1"/>
  <c r="C255" i="44" s="1"/>
  <c r="C256" i="44" s="1"/>
  <c r="C257" i="44" s="1"/>
  <c r="C258" i="44" s="1"/>
  <c r="C259" i="44" s="1"/>
  <c r="C260" i="44" s="1"/>
  <c r="C261" i="44" s="1"/>
  <c r="F238" i="44"/>
  <c r="N238" i="44"/>
  <c r="R238" i="44"/>
  <c r="K240" i="44"/>
  <c r="Q240" i="44"/>
  <c r="U240" i="44"/>
  <c r="K241" i="44"/>
  <c r="Q241" i="44"/>
  <c r="K242" i="44"/>
  <c r="Q242" i="44"/>
  <c r="K243" i="44"/>
  <c r="Q243" i="44"/>
  <c r="K244" i="44"/>
  <c r="Q244" i="44"/>
  <c r="K245" i="44"/>
  <c r="Q245" i="44"/>
  <c r="K246" i="44"/>
  <c r="Q246" i="44"/>
  <c r="U246" i="44"/>
  <c r="K247" i="44"/>
  <c r="Q247" i="44"/>
  <c r="U247" i="44"/>
  <c r="K248" i="44"/>
  <c r="Q248" i="44"/>
  <c r="K249" i="44"/>
  <c r="Q249" i="44"/>
  <c r="K250" i="44"/>
  <c r="Q250" i="44"/>
  <c r="U250" i="44"/>
  <c r="K251" i="44"/>
  <c r="Q251" i="44"/>
  <c r="K252" i="44"/>
  <c r="Q252" i="44"/>
  <c r="K253" i="44"/>
  <c r="Q253" i="44"/>
  <c r="U253" i="44"/>
  <c r="K254" i="44"/>
  <c r="Q254" i="44"/>
  <c r="K255" i="44"/>
  <c r="Q255" i="44"/>
  <c r="U255" i="44"/>
  <c r="K256" i="44"/>
  <c r="Q256" i="44"/>
  <c r="K257" i="44"/>
  <c r="Q257" i="44"/>
  <c r="K258" i="44"/>
  <c r="Q258" i="44"/>
  <c r="K259" i="44"/>
  <c r="Q259" i="44"/>
  <c r="K260" i="44"/>
  <c r="Q260" i="44"/>
  <c r="K261" i="44"/>
  <c r="Q261" i="44"/>
  <c r="C274" i="44"/>
  <c r="C275" i="44" s="1"/>
  <c r="C276" i="44" s="1"/>
  <c r="C277" i="44" s="1"/>
  <c r="C278" i="44" s="1"/>
  <c r="C279" i="44" s="1"/>
  <c r="K274" i="44"/>
  <c r="O274" i="44"/>
  <c r="S274" i="44"/>
  <c r="U274" i="44"/>
  <c r="K275" i="44"/>
  <c r="O275" i="44"/>
  <c r="S275" i="44"/>
  <c r="U275" i="44"/>
  <c r="F276" i="44"/>
  <c r="K278" i="44"/>
  <c r="Q278" i="44"/>
  <c r="K279" i="44"/>
  <c r="Q279" i="44"/>
  <c r="C280" i="44"/>
  <c r="C281" i="44" s="1"/>
  <c r="C282" i="44" s="1"/>
  <c r="C283" i="44" s="1"/>
  <c r="C284" i="44" s="1"/>
  <c r="C285" i="44" s="1"/>
  <c r="C286" i="44" s="1"/>
  <c r="C287" i="44" s="1"/>
  <c r="F280" i="44"/>
  <c r="N280" i="44"/>
  <c r="R280" i="44"/>
  <c r="K282" i="44"/>
  <c r="Q282" i="44"/>
  <c r="U282" i="44"/>
  <c r="K283" i="44"/>
  <c r="Q283" i="44"/>
  <c r="U283" i="44"/>
  <c r="K284" i="44"/>
  <c r="Q284" i="44"/>
  <c r="U284" i="44"/>
  <c r="K285" i="44"/>
  <c r="Q285" i="44"/>
  <c r="U285" i="44"/>
  <c r="K286" i="44"/>
  <c r="M286" i="44"/>
  <c r="N286" i="44"/>
  <c r="O286" i="44" s="1"/>
  <c r="Q286" i="44"/>
  <c r="R286" i="44"/>
  <c r="S286" i="44" s="1"/>
  <c r="U286" i="44"/>
  <c r="K287" i="44"/>
  <c r="M287" i="44"/>
  <c r="N287" i="44"/>
  <c r="O287" i="44" s="1"/>
  <c r="Q287" i="44"/>
  <c r="R287" i="44"/>
  <c r="S287" i="44" s="1"/>
  <c r="U287" i="44"/>
  <c r="K288" i="44"/>
  <c r="Q288" i="44"/>
  <c r="U288" i="44"/>
  <c r="C289" i="44"/>
  <c r="C290" i="44" s="1"/>
  <c r="C291" i="44" s="1"/>
  <c r="C292" i="44" s="1"/>
  <c r="C293" i="44" s="1"/>
  <c r="C294" i="44" s="1"/>
  <c r="C295" i="44" s="1"/>
  <c r="C296" i="44" s="1"/>
  <c r="C297" i="44" s="1"/>
  <c r="C298" i="44" s="1"/>
  <c r="K289" i="44"/>
  <c r="O289" i="44"/>
  <c r="S289" i="44"/>
  <c r="U289" i="44"/>
  <c r="K290" i="44"/>
  <c r="O290" i="44"/>
  <c r="S290" i="44"/>
  <c r="U290" i="44"/>
  <c r="F291" i="44"/>
  <c r="K293" i="44"/>
  <c r="Q293" i="44"/>
  <c r="U293" i="44"/>
  <c r="K294" i="44"/>
  <c r="Q294" i="44"/>
  <c r="K295" i="44"/>
  <c r="Q295" i="44"/>
  <c r="U295" i="44"/>
  <c r="K296" i="44"/>
  <c r="M296" i="44"/>
  <c r="N296" i="44"/>
  <c r="O296" i="44" s="1"/>
  <c r="Q296" i="44"/>
  <c r="R296" i="44"/>
  <c r="K297" i="44"/>
  <c r="Q297" i="44"/>
  <c r="U297" i="44"/>
  <c r="K298" i="44"/>
  <c r="Q298" i="44"/>
  <c r="U298" i="44"/>
  <c r="C300" i="44"/>
  <c r="C302" i="44" s="1"/>
  <c r="C303" i="44" s="1"/>
  <c r="C304" i="44" s="1"/>
  <c r="C305" i="44" s="1"/>
  <c r="K300" i="44"/>
  <c r="O300" i="44"/>
  <c r="S300" i="44"/>
  <c r="U300" i="44"/>
  <c r="F302" i="44"/>
  <c r="K304" i="44"/>
  <c r="Q304" i="44"/>
  <c r="U304" i="44"/>
  <c r="K305" i="44"/>
  <c r="Q305" i="44"/>
  <c r="U305" i="44"/>
  <c r="C306" i="44"/>
  <c r="F306" i="44"/>
  <c r="C307" i="44"/>
  <c r="C310" i="44"/>
  <c r="C311" i="44" s="1"/>
  <c r="K310" i="44"/>
  <c r="Q310" i="44"/>
  <c r="K311" i="44"/>
  <c r="Q311" i="44"/>
  <c r="K312" i="44"/>
  <c r="Q312" i="44"/>
  <c r="K313" i="44"/>
  <c r="Q313" i="44"/>
  <c r="U313" i="44"/>
  <c r="C314" i="44"/>
  <c r="C315" i="44" s="1"/>
  <c r="F314" i="44"/>
  <c r="K316" i="44"/>
  <c r="Q316" i="44"/>
  <c r="K317" i="44"/>
  <c r="Q317" i="44"/>
  <c r="U317" i="44"/>
  <c r="K318" i="44"/>
  <c r="Q318" i="44"/>
  <c r="K319" i="44"/>
  <c r="Q319" i="44"/>
  <c r="U319" i="44"/>
  <c r="C321" i="44"/>
  <c r="F321" i="44"/>
  <c r="C322" i="44"/>
  <c r="C323" i="44" s="1"/>
  <c r="K323" i="44"/>
  <c r="K324" i="44" s="1"/>
  <c r="Q323" i="44"/>
  <c r="Q324" i="44" s="1"/>
  <c r="C324" i="44"/>
  <c r="C329" i="44" s="1"/>
  <c r="C330" i="44" s="1"/>
  <c r="C331" i="44" s="1"/>
  <c r="C332" i="44" s="1"/>
  <c r="C333" i="44" s="1"/>
  <c r="F324" i="44"/>
  <c r="K330" i="44"/>
  <c r="Q330" i="44"/>
  <c r="U330" i="44"/>
  <c r="K331" i="44"/>
  <c r="Q331" i="44"/>
  <c r="K332" i="44"/>
  <c r="Q332" i="44"/>
  <c r="U332" i="44"/>
  <c r="C334" i="44"/>
  <c r="C335" i="44" s="1"/>
  <c r="C336" i="44" s="1"/>
  <c r="F334" i="44"/>
  <c r="K336" i="44"/>
  <c r="Q336" i="44"/>
  <c r="K337" i="44"/>
  <c r="Q337" i="44"/>
  <c r="C340" i="44"/>
  <c r="C341" i="44" s="1"/>
  <c r="C342" i="44" s="1"/>
  <c r="C343" i="44" s="1"/>
  <c r="F340" i="44"/>
  <c r="K342" i="44"/>
  <c r="Q342" i="44"/>
  <c r="U342" i="44"/>
  <c r="K343" i="44"/>
  <c r="Q343" i="44"/>
  <c r="U343" i="44"/>
  <c r="C344" i="44"/>
  <c r="C345" i="44" s="1"/>
  <c r="C346" i="44" s="1"/>
  <c r="C347" i="44" s="1"/>
  <c r="F344" i="44"/>
  <c r="K346" i="44"/>
  <c r="Q346" i="44"/>
  <c r="K347" i="44"/>
  <c r="Q347" i="44"/>
  <c r="C348" i="44"/>
  <c r="C349" i="44" s="1"/>
  <c r="C350" i="44" s="1"/>
  <c r="C351" i="44" s="1"/>
  <c r="F348" i="44"/>
  <c r="K350" i="44"/>
  <c r="Q350" i="44"/>
  <c r="U350" i="44"/>
  <c r="K351" i="44"/>
  <c r="Q351" i="44"/>
  <c r="U351" i="44"/>
  <c r="K352" i="44"/>
  <c r="M352" i="44"/>
  <c r="N352" i="44"/>
  <c r="O352" i="44" s="1"/>
  <c r="Q352" i="44"/>
  <c r="R352" i="44"/>
  <c r="S352" i="44" s="1"/>
  <c r="U352" i="44"/>
  <c r="K353" i="44"/>
  <c r="M353" i="44"/>
  <c r="N353" i="44"/>
  <c r="O353" i="44" s="1"/>
  <c r="Q353" i="44"/>
  <c r="R353" i="44"/>
  <c r="S353" i="44" s="1"/>
  <c r="U353" i="44"/>
  <c r="K354" i="44"/>
  <c r="Q354" i="44"/>
  <c r="U354" i="44"/>
  <c r="K355" i="44"/>
  <c r="Q355" i="44"/>
  <c r="U355" i="44"/>
  <c r="K356" i="44"/>
  <c r="Q356" i="44"/>
  <c r="U356" i="44"/>
  <c r="K357" i="44"/>
  <c r="Q357" i="44"/>
  <c r="U357" i="44"/>
  <c r="K358" i="44"/>
  <c r="Q358" i="44"/>
  <c r="U358" i="44"/>
  <c r="K359" i="44"/>
  <c r="Q359" i="44"/>
  <c r="U359" i="44"/>
  <c r="K360" i="44"/>
  <c r="Q360" i="44"/>
  <c r="U360" i="44"/>
  <c r="K361" i="44"/>
  <c r="Q361" i="44"/>
  <c r="U361" i="44"/>
  <c r="K362" i="44"/>
  <c r="Q362" i="44"/>
  <c r="U362" i="44"/>
  <c r="C365" i="44"/>
  <c r="C366" i="44" s="1"/>
  <c r="C367" i="44" s="1"/>
  <c r="F365" i="44"/>
  <c r="K367" i="44"/>
  <c r="Q367" i="44"/>
  <c r="U367" i="44"/>
  <c r="C368" i="44"/>
  <c r="C369" i="44" s="1"/>
  <c r="C370" i="44" s="1"/>
  <c r="C371" i="44" s="1"/>
  <c r="F368" i="44"/>
  <c r="K370" i="44"/>
  <c r="Q370" i="44"/>
  <c r="U370" i="44"/>
  <c r="K371" i="44"/>
  <c r="Q371" i="44"/>
  <c r="K372" i="44"/>
  <c r="Q372" i="44"/>
  <c r="U372" i="44"/>
  <c r="K373" i="44"/>
  <c r="Q373" i="44"/>
  <c r="U373" i="44"/>
  <c r="K374" i="44"/>
  <c r="Q374" i="44"/>
  <c r="K375" i="44"/>
  <c r="Q375" i="44"/>
  <c r="K376" i="44"/>
  <c r="Q376" i="44"/>
  <c r="U376" i="44"/>
  <c r="K377" i="44"/>
  <c r="Q377" i="44"/>
  <c r="K378" i="44"/>
  <c r="Q378" i="44"/>
  <c r="U378" i="44"/>
  <c r="K379" i="44"/>
  <c r="Q379" i="44"/>
  <c r="U379" i="44"/>
  <c r="K380" i="44"/>
  <c r="Q380" i="44"/>
  <c r="K381" i="44"/>
  <c r="Q381" i="44"/>
  <c r="U381" i="44"/>
  <c r="K382" i="44"/>
  <c r="Q382" i="44"/>
  <c r="K383" i="44"/>
  <c r="Q383" i="44"/>
  <c r="U383" i="44"/>
  <c r="K384" i="44"/>
  <c r="Q384" i="44"/>
  <c r="U384" i="44"/>
  <c r="K385" i="44"/>
  <c r="Q385" i="44"/>
  <c r="U385" i="44"/>
  <c r="K386" i="44"/>
  <c r="Q386" i="44"/>
  <c r="U386" i="44"/>
  <c r="K387" i="44"/>
  <c r="Q387" i="44"/>
  <c r="K388" i="44"/>
  <c r="Q388" i="44"/>
  <c r="K389" i="44"/>
  <c r="Q389" i="44"/>
  <c r="C393" i="44"/>
  <c r="C394" i="44" s="1"/>
  <c r="C395" i="44" s="1"/>
  <c r="C396" i="44" s="1"/>
  <c r="F393" i="44"/>
  <c r="K395" i="44"/>
  <c r="Q395" i="44"/>
  <c r="U395" i="44"/>
  <c r="K396" i="44"/>
  <c r="Q396" i="44"/>
  <c r="U396" i="44"/>
  <c r="K397" i="44"/>
  <c r="Q397" i="44"/>
  <c r="U397" i="44"/>
  <c r="K398" i="44"/>
  <c r="Q398" i="44"/>
  <c r="U398" i="44"/>
  <c r="K399" i="44"/>
  <c r="Q399" i="44"/>
  <c r="U399" i="44"/>
  <c r="K400" i="44"/>
  <c r="Q400" i="44"/>
  <c r="U400" i="44"/>
  <c r="K401" i="44"/>
  <c r="Q401" i="44"/>
  <c r="U401" i="44"/>
  <c r="K402" i="44"/>
  <c r="Q402" i="44"/>
  <c r="U402" i="44"/>
  <c r="K403" i="44"/>
  <c r="Q403" i="44"/>
  <c r="U403" i="44"/>
  <c r="K404" i="44"/>
  <c r="Q404" i="44"/>
  <c r="U404" i="44"/>
  <c r="K405" i="44"/>
  <c r="Q405" i="44"/>
  <c r="U405" i="44"/>
  <c r="K406" i="44"/>
  <c r="Q406" i="44"/>
  <c r="U406" i="44"/>
  <c r="K407" i="44"/>
  <c r="Q407" i="44"/>
  <c r="U407" i="44"/>
  <c r="C409" i="44"/>
  <c r="C410" i="44" s="1"/>
  <c r="C411" i="44" s="1"/>
  <c r="C412" i="44" s="1"/>
  <c r="C413" i="44" s="1"/>
  <c r="C414" i="44" s="1"/>
  <c r="C415" i="44" s="1"/>
  <c r="C416" i="44" s="1"/>
  <c r="C417" i="44" s="1"/>
  <c r="C418" i="44" s="1"/>
  <c r="C419" i="44" s="1"/>
  <c r="F409" i="44"/>
  <c r="K411" i="44"/>
  <c r="Q411" i="44"/>
  <c r="U411" i="44"/>
  <c r="K412" i="44"/>
  <c r="Q412" i="44"/>
  <c r="U412" i="44"/>
  <c r="K413" i="44"/>
  <c r="Q413" i="44"/>
  <c r="U413" i="44"/>
  <c r="K414" i="44"/>
  <c r="Q414" i="44"/>
  <c r="U414" i="44"/>
  <c r="K415" i="44"/>
  <c r="Q415" i="44"/>
  <c r="U415" i="44"/>
  <c r="K416" i="44"/>
  <c r="Q416" i="44"/>
  <c r="U416" i="44"/>
  <c r="K417" i="44"/>
  <c r="Q417" i="44"/>
  <c r="K418" i="44"/>
  <c r="Q418" i="44"/>
  <c r="U418" i="44"/>
  <c r="K419" i="44"/>
  <c r="Q419" i="44"/>
  <c r="U419" i="44"/>
  <c r="C421" i="44"/>
  <c r="C422" i="44" s="1"/>
  <c r="C423" i="44" s="1"/>
  <c r="C424" i="44" s="1"/>
  <c r="C425" i="44" s="1"/>
  <c r="C426" i="44" s="1"/>
  <c r="F421" i="44"/>
  <c r="K423" i="44"/>
  <c r="Q423" i="44"/>
  <c r="U423" i="44"/>
  <c r="K424" i="44"/>
  <c r="Q424" i="44"/>
  <c r="K425" i="44"/>
  <c r="Q425" i="44"/>
  <c r="U425" i="44"/>
  <c r="K426" i="44"/>
  <c r="Q426" i="44"/>
  <c r="U426" i="44"/>
  <c r="C428" i="44"/>
  <c r="C429" i="44" s="1"/>
  <c r="C430" i="44" s="1"/>
  <c r="C431" i="44" s="1"/>
  <c r="C432" i="44" s="1"/>
  <c r="C433" i="44" s="1"/>
  <c r="C434" i="44" s="1"/>
  <c r="C435" i="44" s="1"/>
  <c r="C436" i="44" s="1"/>
  <c r="C437" i="44" s="1"/>
  <c r="C438" i="44" s="1"/>
  <c r="C439" i="44" s="1"/>
  <c r="F428" i="44"/>
  <c r="K430" i="44"/>
  <c r="Q430" i="44"/>
  <c r="U430" i="44"/>
  <c r="K431" i="44"/>
  <c r="Q431" i="44"/>
  <c r="U431" i="44"/>
  <c r="K432" i="44"/>
  <c r="Q432" i="44"/>
  <c r="U432" i="44"/>
  <c r="K433" i="44"/>
  <c r="Q433" i="44"/>
  <c r="U433" i="44"/>
  <c r="K434" i="44"/>
  <c r="Q434" i="44"/>
  <c r="U434" i="44"/>
  <c r="K435" i="44"/>
  <c r="Q435" i="44"/>
  <c r="U435" i="44"/>
  <c r="K436" i="44"/>
  <c r="Q436" i="44"/>
  <c r="U436" i="44"/>
  <c r="K437" i="44"/>
  <c r="Q437" i="44"/>
  <c r="U437" i="44"/>
  <c r="K438" i="44"/>
  <c r="Q438" i="44"/>
  <c r="K439" i="44"/>
  <c r="Q439" i="44"/>
  <c r="C445" i="44"/>
  <c r="F445" i="44"/>
  <c r="C446" i="44"/>
  <c r="K48" i="44" l="1"/>
  <c r="C37" i="44"/>
  <c r="C38" i="44" s="1"/>
  <c r="C39" i="44" s="1"/>
  <c r="C40" i="44" s="1"/>
  <c r="C33" i="44"/>
  <c r="C34" i="44" s="1"/>
  <c r="C35" i="44" s="1"/>
  <c r="Q428" i="44"/>
  <c r="K302" i="44"/>
  <c r="K428" i="44"/>
  <c r="S296" i="44"/>
  <c r="T296" i="44"/>
  <c r="U296" i="44" s="1"/>
  <c r="Q136" i="44"/>
  <c r="K136" i="44"/>
  <c r="K52" i="44"/>
  <c r="K314" i="44"/>
  <c r="K348" i="44"/>
  <c r="K344" i="44"/>
  <c r="K340" i="44"/>
  <c r="K153" i="44"/>
  <c r="Q334" i="44"/>
  <c r="K334" i="44"/>
  <c r="K321" i="44"/>
  <c r="K280" i="44"/>
  <c r="Q56" i="44"/>
  <c r="Q52" i="44"/>
  <c r="K166" i="44"/>
  <c r="K117" i="44"/>
  <c r="K73" i="44"/>
  <c r="K421" i="44"/>
  <c r="K210" i="44"/>
  <c r="U365" i="44"/>
  <c r="K101" i="44"/>
  <c r="Q48" i="44"/>
  <c r="K409" i="44"/>
  <c r="Q340" i="44"/>
  <c r="K276" i="44"/>
  <c r="K393" i="44"/>
  <c r="K365" i="44"/>
  <c r="K291" i="44"/>
  <c r="Q42" i="44"/>
  <c r="Q22" i="44"/>
  <c r="K445" i="44"/>
  <c r="U166" i="44"/>
  <c r="U52" i="44"/>
  <c r="K42" i="44"/>
  <c r="K29" i="44"/>
  <c r="K22" i="44"/>
  <c r="K238" i="44"/>
  <c r="K228" i="44"/>
  <c r="K129" i="44"/>
  <c r="C41" i="44"/>
  <c r="C337" i="44"/>
  <c r="C338" i="44"/>
  <c r="C45" i="44"/>
  <c r="C47" i="44" s="1"/>
  <c r="C46" i="44"/>
  <c r="K368" i="44"/>
  <c r="C319" i="44"/>
  <c r="U344" i="44"/>
  <c r="Q76" i="44"/>
  <c r="K306" i="44"/>
  <c r="U291" i="44"/>
  <c r="Q238" i="44"/>
  <c r="C397" i="44"/>
  <c r="C398" i="44" s="1"/>
  <c r="C399" i="44" s="1"/>
  <c r="C400" i="44" s="1"/>
  <c r="C401" i="44" s="1"/>
  <c r="C402" i="44" s="1"/>
  <c r="C403" i="44" s="1"/>
  <c r="C404" i="44" s="1"/>
  <c r="C405" i="44" s="1"/>
  <c r="C407" i="44"/>
  <c r="C408" i="44" s="1"/>
  <c r="U306" i="44"/>
  <c r="U76" i="44"/>
  <c r="C23" i="44"/>
  <c r="Q344" i="44"/>
  <c r="U368" i="44"/>
  <c r="Q280" i="44"/>
  <c r="C372" i="44"/>
  <c r="C373" i="44" s="1"/>
  <c r="C374" i="44" s="1"/>
  <c r="C375" i="44" s="1"/>
  <c r="C389" i="44"/>
  <c r="C352" i="44"/>
  <c r="C353" i="44" s="1"/>
  <c r="C354" i="44" s="1"/>
  <c r="C355" i="44" s="1"/>
  <c r="C362" i="44"/>
  <c r="C312" i="44"/>
  <c r="C313" i="44" s="1"/>
  <c r="C316" i="44" s="1"/>
  <c r="Q368" i="44"/>
  <c r="C202" i="44"/>
  <c r="C205" i="44" s="1"/>
  <c r="C175" i="44"/>
  <c r="C176" i="44" s="1"/>
  <c r="C177" i="44" s="1"/>
  <c r="C178" i="44" s="1"/>
  <c r="C179" i="44" s="1"/>
  <c r="C180" i="44" s="1"/>
  <c r="C181" i="44" s="1"/>
  <c r="C182" i="44" s="1"/>
  <c r="C183" i="44" s="1"/>
  <c r="C184" i="44" s="1"/>
  <c r="C185" i="44" s="1"/>
  <c r="C186" i="44" s="1"/>
  <c r="C187" i="44" s="1"/>
  <c r="C188" i="44" s="1"/>
  <c r="C189" i="44" s="1"/>
  <c r="C190" i="44" s="1"/>
  <c r="C191" i="44" s="1"/>
  <c r="C192" i="44" s="1"/>
  <c r="C193" i="44" s="1"/>
  <c r="C194" i="44" s="1"/>
  <c r="C195" i="44" s="1"/>
  <c r="C196" i="44" s="1"/>
  <c r="C197" i="44" s="1"/>
  <c r="C198" i="44" s="1"/>
  <c r="C199" i="44" s="1"/>
  <c r="C200" i="44" s="1"/>
  <c r="C201" i="44" s="1"/>
  <c r="C203" i="44" s="1"/>
  <c r="C208" i="44" s="1"/>
  <c r="C105" i="44"/>
  <c r="C106" i="44" s="1"/>
  <c r="C107" i="44" s="1"/>
  <c r="C108" i="44" s="1"/>
  <c r="C115" i="44"/>
  <c r="C116" i="44" s="1"/>
  <c r="Q348" i="44"/>
  <c r="Q314" i="44"/>
  <c r="Q306" i="44"/>
  <c r="C60" i="44"/>
  <c r="C61" i="44" s="1"/>
  <c r="C62" i="44" s="1"/>
  <c r="C63" i="44" s="1"/>
  <c r="C70" i="44"/>
  <c r="C80" i="44"/>
  <c r="C81" i="44" s="1"/>
  <c r="C82" i="44" s="1"/>
  <c r="C83" i="44" s="1"/>
  <c r="C97" i="44"/>
  <c r="K56" i="44"/>
  <c r="K446" i="44" l="1"/>
  <c r="G14" i="46" s="1"/>
  <c r="K154" i="44"/>
  <c r="G12" i="46" s="1"/>
  <c r="K307" i="44"/>
  <c r="G13" i="46" s="1"/>
  <c r="C406" i="44"/>
  <c r="C339" i="44"/>
  <c r="C204" i="44"/>
  <c r="C206" i="44" s="1"/>
  <c r="C317" i="44"/>
  <c r="C318" i="44"/>
  <c r="C361" i="44"/>
  <c r="C356" i="44"/>
  <c r="C357" i="44" s="1"/>
  <c r="C358" i="44" s="1"/>
  <c r="C359" i="44" s="1"/>
  <c r="C360" i="44" s="1"/>
  <c r="C69" i="44"/>
  <c r="C64" i="44"/>
  <c r="C65" i="44" s="1"/>
  <c r="C66" i="44" s="1"/>
  <c r="C67" i="44" s="1"/>
  <c r="C68" i="44" s="1"/>
  <c r="C109" i="44"/>
  <c r="C110" i="44" s="1"/>
  <c r="C111" i="44" s="1"/>
  <c r="C112" i="44" s="1"/>
  <c r="C113" i="44" s="1"/>
  <c r="C114" i="44"/>
  <c r="C381" i="44"/>
  <c r="C382" i="44" s="1"/>
  <c r="C383" i="44" s="1"/>
  <c r="C384" i="44" s="1"/>
  <c r="C385" i="44" s="1"/>
  <c r="C386" i="44" s="1"/>
  <c r="C387" i="44" s="1"/>
  <c r="C388" i="44" s="1"/>
  <c r="C376" i="44"/>
  <c r="C377" i="44" s="1"/>
  <c r="C378" i="44" s="1"/>
  <c r="C379" i="44" s="1"/>
  <c r="C380" i="44" s="1"/>
  <c r="C89" i="44"/>
  <c r="C90" i="44" s="1"/>
  <c r="C91" i="44" s="1"/>
  <c r="C92" i="44" s="1"/>
  <c r="C93" i="44" s="1"/>
  <c r="C94" i="44" s="1"/>
  <c r="C95" i="44" s="1"/>
  <c r="C96" i="44" s="1"/>
  <c r="C84" i="44"/>
  <c r="C85" i="44" s="1"/>
  <c r="C86" i="44" s="1"/>
  <c r="C87" i="44" s="1"/>
  <c r="C88" i="44" s="1"/>
  <c r="C209" i="44" l="1"/>
  <c r="C210" i="44" s="1"/>
  <c r="C211" i="44" s="1"/>
  <c r="C212" i="44" s="1"/>
  <c r="C213" i="44" s="1"/>
  <c r="C214" i="44" s="1"/>
  <c r="C215" i="44" s="1"/>
  <c r="C216" i="44" s="1"/>
  <c r="C217" i="44" s="1"/>
  <c r="C218" i="44" s="1"/>
  <c r="C223" i="44" s="1"/>
  <c r="C207" i="44"/>
  <c r="G15" i="46"/>
  <c r="G16" i="46" s="1"/>
  <c r="I324" i="7"/>
  <c r="I325" i="7"/>
  <c r="I291" i="7"/>
  <c r="I259" i="7"/>
  <c r="I261" i="7"/>
  <c r="I260" i="7"/>
  <c r="I193" i="7"/>
  <c r="I192" i="7"/>
  <c r="I250" i="7"/>
  <c r="I251" i="7" s="1"/>
  <c r="I204" i="7"/>
  <c r="I203" i="7"/>
  <c r="I202" i="7"/>
  <c r="I191" i="7"/>
  <c r="I190" i="7"/>
  <c r="I188" i="7"/>
  <c r="I187" i="7"/>
  <c r="I186" i="7"/>
  <c r="I185" i="7"/>
  <c r="I167" i="7"/>
  <c r="I166" i="7"/>
  <c r="I155" i="7"/>
  <c r="I154" i="7"/>
  <c r="I151" i="7"/>
  <c r="I150" i="7"/>
  <c r="I149" i="7"/>
  <c r="I148" i="7"/>
  <c r="I147" i="7"/>
  <c r="C219" i="44" l="1"/>
  <c r="C220" i="44" s="1"/>
  <c r="C221" i="44" s="1"/>
  <c r="C222" i="44" s="1"/>
  <c r="G17" i="46"/>
  <c r="G18" i="46" s="1"/>
  <c r="U350" i="7"/>
  <c r="Q350" i="7"/>
  <c r="K350" i="7"/>
  <c r="U349" i="7"/>
  <c r="Q349" i="7"/>
  <c r="K349" i="7"/>
  <c r="U348" i="7"/>
  <c r="Q348" i="7"/>
  <c r="K348" i="7"/>
  <c r="U347" i="7"/>
  <c r="Q347" i="7"/>
  <c r="K347" i="7"/>
  <c r="U346" i="7"/>
  <c r="Q346" i="7"/>
  <c r="K346" i="7"/>
  <c r="Q345" i="7"/>
  <c r="K345" i="7"/>
  <c r="U344" i="7"/>
  <c r="Q344" i="7"/>
  <c r="K344" i="7"/>
  <c r="U343" i="7"/>
  <c r="Q343" i="7"/>
  <c r="K343" i="7"/>
  <c r="U342" i="7"/>
  <c r="Q342" i="7"/>
  <c r="K342" i="7"/>
  <c r="Q341" i="7"/>
  <c r="K341" i="7"/>
  <c r="Q340" i="7"/>
  <c r="K340" i="7"/>
  <c r="U339" i="7"/>
  <c r="Q339" i="7"/>
  <c r="K339" i="7"/>
  <c r="U338" i="7"/>
  <c r="Q338" i="7"/>
  <c r="K338" i="7"/>
  <c r="U335" i="7"/>
  <c r="S335" i="7"/>
  <c r="O335" i="7"/>
  <c r="K335" i="7"/>
  <c r="U334" i="7"/>
  <c r="Q334" i="7"/>
  <c r="K334" i="7"/>
  <c r="U333" i="7"/>
  <c r="Q333" i="7"/>
  <c r="K333" i="7"/>
  <c r="U332" i="7"/>
  <c r="Q332" i="7"/>
  <c r="K332" i="7"/>
  <c r="U331" i="7"/>
  <c r="Q331" i="7"/>
  <c r="K331" i="7"/>
  <c r="U330" i="7"/>
  <c r="Q330" i="7"/>
  <c r="K330" i="7"/>
  <c r="U329" i="7"/>
  <c r="Q329" i="7"/>
  <c r="K329" i="7"/>
  <c r="U328" i="7"/>
  <c r="Q328" i="7"/>
  <c r="K328" i="7"/>
  <c r="U325" i="7"/>
  <c r="S325" i="7"/>
  <c r="O325" i="7"/>
  <c r="K325" i="7"/>
  <c r="U324" i="7"/>
  <c r="S324" i="7"/>
  <c r="O324" i="7"/>
  <c r="K324" i="7"/>
  <c r="U323" i="7"/>
  <c r="Q323" i="7"/>
  <c r="K323" i="7"/>
  <c r="Q322" i="7"/>
  <c r="K322" i="7"/>
  <c r="U321" i="7"/>
  <c r="Q321" i="7"/>
  <c r="K321" i="7"/>
  <c r="U320" i="7"/>
  <c r="Q320" i="7"/>
  <c r="K320" i="7"/>
  <c r="U319" i="7"/>
  <c r="Q319" i="7"/>
  <c r="K319" i="7"/>
  <c r="Q318" i="7"/>
  <c r="K318" i="7"/>
  <c r="U317" i="7"/>
  <c r="Q317" i="7"/>
  <c r="K317" i="7"/>
  <c r="U316" i="7"/>
  <c r="Q316" i="7"/>
  <c r="K316" i="7"/>
  <c r="U315" i="7"/>
  <c r="Q315" i="7"/>
  <c r="K315" i="7"/>
  <c r="U314" i="7"/>
  <c r="Q314" i="7"/>
  <c r="K314" i="7"/>
  <c r="U313" i="7"/>
  <c r="Q313" i="7"/>
  <c r="K313" i="7"/>
  <c r="U312" i="7"/>
  <c r="Q312" i="7"/>
  <c r="K312" i="7"/>
  <c r="U311" i="7"/>
  <c r="Q311" i="7"/>
  <c r="K311" i="7"/>
  <c r="U310" i="7"/>
  <c r="Q310" i="7"/>
  <c r="K310" i="7"/>
  <c r="U307" i="7"/>
  <c r="S307" i="7"/>
  <c r="O307" i="7"/>
  <c r="K307" i="7"/>
  <c r="U306" i="7"/>
  <c r="S306" i="7"/>
  <c r="O306" i="7"/>
  <c r="K306" i="7"/>
  <c r="U305" i="7"/>
  <c r="K305" i="7"/>
  <c r="U304" i="7"/>
  <c r="Q304" i="7"/>
  <c r="K304" i="7"/>
  <c r="U303" i="7"/>
  <c r="Q303" i="7"/>
  <c r="K303" i="7"/>
  <c r="U302" i="7"/>
  <c r="Q302" i="7"/>
  <c r="K302" i="7"/>
  <c r="U301" i="7"/>
  <c r="Q301" i="7"/>
  <c r="K301" i="7"/>
  <c r="U300" i="7"/>
  <c r="Q300" i="7"/>
  <c r="K300" i="7"/>
  <c r="U299" i="7"/>
  <c r="Q299" i="7"/>
  <c r="K299" i="7"/>
  <c r="U298" i="7"/>
  <c r="Q298" i="7"/>
  <c r="K298" i="7"/>
  <c r="U297" i="7"/>
  <c r="Q297" i="7"/>
  <c r="K297" i="7"/>
  <c r="U296" i="7"/>
  <c r="Q296" i="7"/>
  <c r="K296" i="7"/>
  <c r="U295" i="7"/>
  <c r="Q295" i="7"/>
  <c r="K295" i="7"/>
  <c r="U294" i="7"/>
  <c r="Q294" i="7"/>
  <c r="K294" i="7"/>
  <c r="U291" i="7"/>
  <c r="S291" i="7"/>
  <c r="O291" i="7"/>
  <c r="K291" i="7"/>
  <c r="Q290" i="7"/>
  <c r="K290" i="7"/>
  <c r="U289" i="7"/>
  <c r="Q289" i="7"/>
  <c r="K289" i="7"/>
  <c r="U288" i="7"/>
  <c r="Q288" i="7"/>
  <c r="K288" i="7"/>
  <c r="Q287" i="7"/>
  <c r="K287" i="7"/>
  <c r="Q286" i="7"/>
  <c r="K286" i="7"/>
  <c r="U285" i="7"/>
  <c r="Q285" i="7"/>
  <c r="K285" i="7"/>
  <c r="Q284" i="7"/>
  <c r="K284" i="7"/>
  <c r="U281" i="7"/>
  <c r="Q281" i="7"/>
  <c r="K281" i="7"/>
  <c r="U280" i="7"/>
  <c r="Q280" i="7"/>
  <c r="K280" i="7"/>
  <c r="U279" i="7"/>
  <c r="Q279" i="7"/>
  <c r="K279" i="7"/>
  <c r="U278" i="7"/>
  <c r="Q278" i="7"/>
  <c r="K278" i="7"/>
  <c r="U275" i="7"/>
  <c r="S275" i="7"/>
  <c r="O275" i="7"/>
  <c r="K275" i="7"/>
  <c r="U274" i="7"/>
  <c r="S274" i="7"/>
  <c r="O274" i="7"/>
  <c r="K274" i="7"/>
  <c r="U273" i="7"/>
  <c r="S273" i="7"/>
  <c r="O273" i="7"/>
  <c r="K273" i="7"/>
  <c r="U272" i="7"/>
  <c r="Q272" i="7"/>
  <c r="K272" i="7"/>
  <c r="U271" i="7"/>
  <c r="Q271" i="7"/>
  <c r="K271" i="7"/>
  <c r="U270" i="7"/>
  <c r="Q270" i="7"/>
  <c r="K270" i="7"/>
  <c r="U269" i="7"/>
  <c r="Q269" i="7"/>
  <c r="K269" i="7"/>
  <c r="Q268" i="7"/>
  <c r="K268" i="7"/>
  <c r="U267" i="7"/>
  <c r="Q267" i="7"/>
  <c r="K267" i="7"/>
  <c r="Q266" i="7"/>
  <c r="K266" i="7"/>
  <c r="U265" i="7"/>
  <c r="Q265" i="7"/>
  <c r="K265" i="7"/>
  <c r="U264" i="7"/>
  <c r="Q264" i="7"/>
  <c r="K264" i="7"/>
  <c r="U261" i="7"/>
  <c r="S261" i="7"/>
  <c r="O261" i="7"/>
  <c r="K261" i="7"/>
  <c r="U260" i="7"/>
  <c r="S260" i="7"/>
  <c r="O260" i="7"/>
  <c r="K260" i="7"/>
  <c r="U259" i="7"/>
  <c r="S259" i="7"/>
  <c r="O259" i="7"/>
  <c r="K259" i="7"/>
  <c r="Q258" i="7"/>
  <c r="K258" i="7"/>
  <c r="Q257" i="7"/>
  <c r="K257" i="7"/>
  <c r="Q256" i="7"/>
  <c r="K256" i="7"/>
  <c r="Q255" i="7"/>
  <c r="K255" i="7"/>
  <c r="Q254" i="7"/>
  <c r="K254" i="7"/>
  <c r="F252" i="7"/>
  <c r="U251" i="7"/>
  <c r="S251" i="7"/>
  <c r="O251" i="7"/>
  <c r="K251" i="7"/>
  <c r="U250" i="7"/>
  <c r="S250" i="7"/>
  <c r="O250" i="7"/>
  <c r="K250" i="7"/>
  <c r="Q247" i="7"/>
  <c r="Q248" i="7" s="1"/>
  <c r="K247" i="7"/>
  <c r="K248" i="7" s="1"/>
  <c r="B246" i="7"/>
  <c r="B253" i="7" s="1"/>
  <c r="F245" i="7"/>
  <c r="U244" i="7"/>
  <c r="Q244" i="7"/>
  <c r="K244" i="7"/>
  <c r="Q243" i="7"/>
  <c r="K243" i="7"/>
  <c r="C243" i="7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B243" i="7"/>
  <c r="B244" i="7" s="1"/>
  <c r="O252" i="7" l="1"/>
  <c r="S252" i="7"/>
  <c r="Q245" i="7"/>
  <c r="K245" i="7"/>
  <c r="Q282" i="7"/>
  <c r="K252" i="7"/>
  <c r="K292" i="7"/>
  <c r="K308" i="7"/>
  <c r="K351" i="7"/>
  <c r="K276" i="7"/>
  <c r="U252" i="7"/>
  <c r="K336" i="7"/>
  <c r="G20" i="46"/>
  <c r="Q351" i="7"/>
  <c r="U336" i="7"/>
  <c r="K326" i="7"/>
  <c r="U308" i="7"/>
  <c r="U282" i="7"/>
  <c r="K282" i="7"/>
  <c r="K262" i="7"/>
  <c r="B263" i="7"/>
  <c r="F262" i="7"/>
  <c r="B254" i="7"/>
  <c r="B255" i="7" s="1"/>
  <c r="B256" i="7" s="1"/>
  <c r="B257" i="7" s="1"/>
  <c r="B258" i="7" s="1"/>
  <c r="B259" i="7" s="1"/>
  <c r="B260" i="7" s="1"/>
  <c r="B261" i="7" s="1"/>
  <c r="B247" i="7"/>
  <c r="F248" i="7"/>
  <c r="K352" i="7" l="1"/>
  <c r="G14" i="13" s="1"/>
  <c r="G11" i="10" s="1"/>
  <c r="F276" i="7"/>
  <c r="B277" i="7"/>
  <c r="B264" i="7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83" i="7" l="1"/>
  <c r="B278" i="7"/>
  <c r="B279" i="7" s="1"/>
  <c r="B280" i="7" s="1"/>
  <c r="B281" i="7" s="1"/>
  <c r="F282" i="7"/>
  <c r="B293" i="7" l="1"/>
  <c r="F292" i="7"/>
  <c r="B284" i="7"/>
  <c r="B285" i="7" s="1"/>
  <c r="B286" i="7" s="1"/>
  <c r="B287" i="7" s="1"/>
  <c r="B288" i="7" s="1"/>
  <c r="B289" i="7" s="1"/>
  <c r="B290" i="7" s="1"/>
  <c r="B291" i="7" s="1"/>
  <c r="F308" i="7" l="1"/>
  <c r="B309" i="7"/>
  <c r="B294" i="7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10" i="7" l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F326" i="7"/>
  <c r="B327" i="7"/>
  <c r="F336" i="7" l="1"/>
  <c r="B328" i="7"/>
  <c r="B329" i="7" s="1"/>
  <c r="B330" i="7" s="1"/>
  <c r="B331" i="7" s="1"/>
  <c r="B332" i="7" s="1"/>
  <c r="B333" i="7" s="1"/>
  <c r="B334" i="7" s="1"/>
  <c r="B335" i="7" s="1"/>
  <c r="B337" i="7"/>
  <c r="F351" i="7" l="1"/>
  <c r="B338" i="7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S110" i="7" l="1"/>
  <c r="S100" i="7"/>
  <c r="S99" i="7"/>
  <c r="S82" i="7"/>
  <c r="S81" i="7"/>
  <c r="S66" i="7"/>
  <c r="S50" i="7"/>
  <c r="S49" i="7"/>
  <c r="S48" i="7"/>
  <c r="S36" i="7"/>
  <c r="S35" i="7"/>
  <c r="S34" i="7"/>
  <c r="S26" i="7"/>
  <c r="S25" i="7"/>
  <c r="R229" i="7"/>
  <c r="S229" i="7" s="1"/>
  <c r="R230" i="7"/>
  <c r="S230" i="7" s="1"/>
  <c r="R231" i="7"/>
  <c r="S231" i="7" s="1"/>
  <c r="R232" i="7"/>
  <c r="R233" i="7"/>
  <c r="S233" i="7" s="1"/>
  <c r="R234" i="7"/>
  <c r="S234" i="7" s="1"/>
  <c r="R135" i="7"/>
  <c r="S135" i="7" s="1"/>
  <c r="R136" i="7"/>
  <c r="S136" i="7" s="1"/>
  <c r="U238" i="7"/>
  <c r="U237" i="7"/>
  <c r="U234" i="7"/>
  <c r="U233" i="7"/>
  <c r="U232" i="7"/>
  <c r="U231" i="7"/>
  <c r="U230" i="7"/>
  <c r="U229" i="7"/>
  <c r="U228" i="7"/>
  <c r="U225" i="7"/>
  <c r="U224" i="7"/>
  <c r="U223" i="7"/>
  <c r="U221" i="7"/>
  <c r="U219" i="7"/>
  <c r="U218" i="7"/>
  <c r="U215" i="7"/>
  <c r="U214" i="7"/>
  <c r="U211" i="7"/>
  <c r="U209" i="7"/>
  <c r="U207" i="7"/>
  <c r="U204" i="7"/>
  <c r="U203" i="7"/>
  <c r="U202" i="7"/>
  <c r="U193" i="7"/>
  <c r="U192" i="7"/>
  <c r="U191" i="7"/>
  <c r="U190" i="7"/>
  <c r="U189" i="7"/>
  <c r="U188" i="7"/>
  <c r="U187" i="7"/>
  <c r="U186" i="7"/>
  <c r="U185" i="7"/>
  <c r="U182" i="7"/>
  <c r="U181" i="7"/>
  <c r="U180" i="7"/>
  <c r="U179" i="7"/>
  <c r="U178" i="7"/>
  <c r="U174" i="7"/>
  <c r="U173" i="7"/>
  <c r="U170" i="7"/>
  <c r="U167" i="7"/>
  <c r="U166" i="7"/>
  <c r="U165" i="7"/>
  <c r="U161" i="7"/>
  <c r="U159" i="7"/>
  <c r="U155" i="7"/>
  <c r="U154" i="7"/>
  <c r="U151" i="7"/>
  <c r="U150" i="7"/>
  <c r="U149" i="7"/>
  <c r="U148" i="7"/>
  <c r="U147" i="7"/>
  <c r="U146" i="7"/>
  <c r="U145" i="7"/>
  <c r="U144" i="7"/>
  <c r="U143" i="7"/>
  <c r="U136" i="7"/>
  <c r="U135" i="7"/>
  <c r="U134" i="7"/>
  <c r="U131" i="7"/>
  <c r="U125" i="7"/>
  <c r="U124" i="7"/>
  <c r="U123" i="7"/>
  <c r="U122" i="7"/>
  <c r="U121" i="7"/>
  <c r="U119" i="7"/>
  <c r="U118" i="7"/>
  <c r="U117" i="7"/>
  <c r="U114" i="7"/>
  <c r="U113" i="7"/>
  <c r="U110" i="7"/>
  <c r="U109" i="7"/>
  <c r="U108" i="7"/>
  <c r="U107" i="7"/>
  <c r="U106" i="7"/>
  <c r="U105" i="7"/>
  <c r="U104" i="7"/>
  <c r="U103" i="7"/>
  <c r="U100" i="7"/>
  <c r="U99" i="7"/>
  <c r="U98" i="7"/>
  <c r="U96" i="7"/>
  <c r="U95" i="7"/>
  <c r="U94" i="7"/>
  <c r="U92" i="7"/>
  <c r="U91" i="7"/>
  <c r="U90" i="7"/>
  <c r="U89" i="7"/>
  <c r="U88" i="7"/>
  <c r="U87" i="7"/>
  <c r="U86" i="7"/>
  <c r="U85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6" i="7"/>
  <c r="U64" i="7"/>
  <c r="U63" i="7"/>
  <c r="U60" i="7"/>
  <c r="U56" i="7"/>
  <c r="U55" i="7"/>
  <c r="U54" i="7"/>
  <c r="U53" i="7"/>
  <c r="U50" i="7"/>
  <c r="U49" i="7"/>
  <c r="U48" i="7"/>
  <c r="U47" i="7"/>
  <c r="U46" i="7"/>
  <c r="U45" i="7"/>
  <c r="U44" i="7"/>
  <c r="U42" i="7"/>
  <c r="U40" i="7"/>
  <c r="U39" i="7"/>
  <c r="U36" i="7"/>
  <c r="U35" i="7"/>
  <c r="U34" i="7"/>
  <c r="U26" i="7"/>
  <c r="U25" i="7"/>
  <c r="U19" i="7"/>
  <c r="S232" i="7"/>
  <c r="S204" i="7"/>
  <c r="S203" i="7"/>
  <c r="S202" i="7"/>
  <c r="S193" i="7"/>
  <c r="S192" i="7"/>
  <c r="S191" i="7"/>
  <c r="S190" i="7"/>
  <c r="S189" i="7"/>
  <c r="S188" i="7"/>
  <c r="S187" i="7"/>
  <c r="S186" i="7"/>
  <c r="S185" i="7"/>
  <c r="S167" i="7"/>
  <c r="S166" i="7"/>
  <c r="S155" i="7"/>
  <c r="S154" i="7"/>
  <c r="S151" i="7"/>
  <c r="S150" i="7"/>
  <c r="S149" i="7"/>
  <c r="S148" i="7"/>
  <c r="S147" i="7"/>
  <c r="S146" i="7"/>
  <c r="S145" i="7"/>
  <c r="U239" i="7" l="1"/>
  <c r="S27" i="7"/>
  <c r="U27" i="7"/>
  <c r="U57" i="7"/>
  <c r="U111" i="7"/>
  <c r="U216" i="7"/>
  <c r="U83" i="7"/>
  <c r="U235" i="7"/>
  <c r="O202" i="7"/>
  <c r="O203" i="7"/>
  <c r="O204" i="7"/>
  <c r="O185" i="7"/>
  <c r="O186" i="7"/>
  <c r="O187" i="7"/>
  <c r="O188" i="7"/>
  <c r="O189" i="7"/>
  <c r="O190" i="7"/>
  <c r="O191" i="7"/>
  <c r="O192" i="7"/>
  <c r="O193" i="7"/>
  <c r="O166" i="7"/>
  <c r="O167" i="7"/>
  <c r="O145" i="7"/>
  <c r="O146" i="7"/>
  <c r="O147" i="7"/>
  <c r="O148" i="7"/>
  <c r="O149" i="7"/>
  <c r="O150" i="7"/>
  <c r="O151" i="7"/>
  <c r="O154" i="7"/>
  <c r="O155" i="7"/>
  <c r="O110" i="7"/>
  <c r="O99" i="7"/>
  <c r="O100" i="7"/>
  <c r="O81" i="7"/>
  <c r="O82" i="7"/>
  <c r="O66" i="7"/>
  <c r="O48" i="7"/>
  <c r="O49" i="7"/>
  <c r="O50" i="7"/>
  <c r="O34" i="7"/>
  <c r="O35" i="7"/>
  <c r="O36" i="7"/>
  <c r="O26" i="7"/>
  <c r="O25" i="7"/>
  <c r="Q238" i="7"/>
  <c r="Q237" i="7"/>
  <c r="Q234" i="7"/>
  <c r="Q233" i="7"/>
  <c r="Q232" i="7"/>
  <c r="Q231" i="7"/>
  <c r="Q230" i="7"/>
  <c r="Q229" i="7"/>
  <c r="Q228" i="7"/>
  <c r="Q225" i="7"/>
  <c r="Q224" i="7"/>
  <c r="Q223" i="7"/>
  <c r="Q222" i="7"/>
  <c r="Q221" i="7"/>
  <c r="Q220" i="7"/>
  <c r="Q219" i="7"/>
  <c r="Q218" i="7"/>
  <c r="Q215" i="7"/>
  <c r="Q214" i="7"/>
  <c r="Q211" i="7"/>
  <c r="Q210" i="7"/>
  <c r="Q209" i="7"/>
  <c r="Q208" i="7"/>
  <c r="Q207" i="7"/>
  <c r="Q201" i="7"/>
  <c r="Q200" i="7"/>
  <c r="Q199" i="7"/>
  <c r="Q198" i="7"/>
  <c r="Q197" i="7"/>
  <c r="Q184" i="7"/>
  <c r="Q183" i="7"/>
  <c r="Q182" i="7"/>
  <c r="Q181" i="7"/>
  <c r="Q180" i="7"/>
  <c r="Q179" i="7"/>
  <c r="Q178" i="7"/>
  <c r="Q175" i="7"/>
  <c r="Q174" i="7"/>
  <c r="Q173" i="7"/>
  <c r="Q172" i="7"/>
  <c r="Q171" i="7"/>
  <c r="Q170" i="7"/>
  <c r="Q165" i="7"/>
  <c r="Q164" i="7"/>
  <c r="Q163" i="7"/>
  <c r="Q162" i="7"/>
  <c r="Q161" i="7"/>
  <c r="Q160" i="7"/>
  <c r="Q159" i="7"/>
  <c r="Q158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09" i="7"/>
  <c r="Q108" i="7"/>
  <c r="Q107" i="7"/>
  <c r="Q106" i="7"/>
  <c r="Q105" i="7"/>
  <c r="Q104" i="7"/>
  <c r="Q103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79" i="7"/>
  <c r="Q78" i="7"/>
  <c r="Q77" i="7"/>
  <c r="Q76" i="7"/>
  <c r="Q75" i="7"/>
  <c r="Q74" i="7"/>
  <c r="Q73" i="7"/>
  <c r="Q72" i="7"/>
  <c r="Q71" i="7"/>
  <c r="Q70" i="7"/>
  <c r="Q69" i="7"/>
  <c r="Q65" i="7"/>
  <c r="Q64" i="7"/>
  <c r="Q63" i="7"/>
  <c r="Q62" i="7"/>
  <c r="Q61" i="7"/>
  <c r="Q60" i="7"/>
  <c r="Q59" i="7"/>
  <c r="Q56" i="7"/>
  <c r="Q55" i="7"/>
  <c r="Q54" i="7"/>
  <c r="Q53" i="7"/>
  <c r="Q47" i="7"/>
  <c r="Q46" i="7"/>
  <c r="Q45" i="7"/>
  <c r="Q44" i="7"/>
  <c r="Q43" i="7"/>
  <c r="Q42" i="7"/>
  <c r="Q41" i="7"/>
  <c r="Q40" i="7"/>
  <c r="Q39" i="7"/>
  <c r="Q33" i="7"/>
  <c r="Q32" i="7"/>
  <c r="Q31" i="7"/>
  <c r="Q30" i="7"/>
  <c r="Q29" i="7"/>
  <c r="Q22" i="7"/>
  <c r="Q23" i="7" s="1"/>
  <c r="Q19" i="7"/>
  <c r="Q18" i="7"/>
  <c r="N229" i="7"/>
  <c r="O229" i="7" s="1"/>
  <c r="N230" i="7"/>
  <c r="O230" i="7" s="1"/>
  <c r="N231" i="7"/>
  <c r="O231" i="7" s="1"/>
  <c r="N232" i="7"/>
  <c r="O232" i="7" s="1"/>
  <c r="N233" i="7"/>
  <c r="O233" i="7" s="1"/>
  <c r="N234" i="7"/>
  <c r="O234" i="7" s="1"/>
  <c r="N135" i="7"/>
  <c r="O135" i="7" s="1"/>
  <c r="N136" i="7"/>
  <c r="O136" i="7" s="1"/>
  <c r="Q239" i="7" l="1"/>
  <c r="Q57" i="7"/>
  <c r="Q176" i="7"/>
  <c r="Q20" i="7"/>
  <c r="Q216" i="7"/>
  <c r="Q212" i="7"/>
  <c r="Q226" i="7"/>
  <c r="Q235" i="7"/>
  <c r="Q126" i="7"/>
  <c r="M234" i="7" l="1"/>
  <c r="M233" i="7"/>
  <c r="M232" i="7"/>
  <c r="M231" i="7"/>
  <c r="M230" i="7"/>
  <c r="M229" i="7"/>
  <c r="M228" i="7"/>
  <c r="M218" i="7"/>
  <c r="M136" i="7"/>
  <c r="M135" i="7"/>
  <c r="K238" i="7"/>
  <c r="K237" i="7"/>
  <c r="K224" i="7"/>
  <c r="K225" i="7"/>
  <c r="K178" i="7"/>
  <c r="K215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59" i="7"/>
  <c r="K160" i="7"/>
  <c r="K161" i="7"/>
  <c r="K162" i="7"/>
  <c r="K163" i="7"/>
  <c r="K164" i="7"/>
  <c r="K165" i="7"/>
  <c r="K166" i="7"/>
  <c r="K167" i="7"/>
  <c r="K158" i="7"/>
  <c r="K155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4" i="7"/>
  <c r="K130" i="7"/>
  <c r="K59" i="7"/>
  <c r="K104" i="7"/>
  <c r="K103" i="7"/>
  <c r="K32" i="7"/>
  <c r="K33" i="7"/>
  <c r="K34" i="7"/>
  <c r="K35" i="7"/>
  <c r="K36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09" i="7"/>
  <c r="K110" i="7"/>
  <c r="K99" i="7"/>
  <c r="K100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40" i="7"/>
  <c r="K41" i="7"/>
  <c r="K42" i="7"/>
  <c r="K43" i="7"/>
  <c r="K44" i="7"/>
  <c r="K45" i="7"/>
  <c r="K46" i="7"/>
  <c r="K47" i="7"/>
  <c r="K48" i="7"/>
  <c r="K49" i="7"/>
  <c r="K50" i="7"/>
  <c r="K30" i="7"/>
  <c r="K31" i="7"/>
  <c r="F226" i="7"/>
  <c r="F216" i="7"/>
  <c r="F212" i="7"/>
  <c r="F194" i="7"/>
  <c r="F176" i="7"/>
  <c r="F168" i="7"/>
  <c r="F156" i="7"/>
  <c r="F27" i="7"/>
  <c r="F20" i="7"/>
  <c r="C18" i="7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l="1"/>
  <c r="C148" i="7" s="1"/>
  <c r="C149" i="7" s="1"/>
  <c r="K239" i="7"/>
  <c r="M235" i="7"/>
  <c r="K156" i="7"/>
  <c r="K168" i="7"/>
  <c r="C150" i="7" l="1"/>
  <c r="C151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40" i="7" s="1"/>
  <c r="C152" i="7"/>
  <c r="C153" i="7" s="1"/>
  <c r="B227" i="7"/>
  <c r="B219" i="7"/>
  <c r="B220" i="7" s="1"/>
  <c r="B221" i="7" s="1"/>
  <c r="B222" i="7" s="1"/>
  <c r="B223" i="7" s="1"/>
  <c r="B224" i="7" s="1"/>
  <c r="B225" i="7" s="1"/>
  <c r="B214" i="7"/>
  <c r="B215" i="7" s="1"/>
  <c r="B207" i="7"/>
  <c r="B208" i="7" s="1"/>
  <c r="B209" i="7" s="1"/>
  <c r="B210" i="7" s="1"/>
  <c r="B211" i="7" s="1"/>
  <c r="B197" i="7"/>
  <c r="B198" i="7" s="1"/>
  <c r="B199" i="7" s="1"/>
  <c r="B200" i="7" s="1"/>
  <c r="B178" i="7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70" i="7"/>
  <c r="B171" i="7" s="1"/>
  <c r="B172" i="7" s="1"/>
  <c r="B173" i="7" s="1"/>
  <c r="B174" i="7" s="1"/>
  <c r="B175" i="7" s="1"/>
  <c r="B158" i="7"/>
  <c r="B159" i="7" s="1"/>
  <c r="B160" i="7" s="1"/>
  <c r="B161" i="7" s="1"/>
  <c r="B162" i="7" s="1"/>
  <c r="B163" i="7" s="1"/>
  <c r="B164" i="7" s="1"/>
  <c r="B165" i="7" s="1"/>
  <c r="B166" i="7" s="1"/>
  <c r="B167" i="7" s="1"/>
  <c r="B130" i="7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21" i="7"/>
  <c r="B18" i="7"/>
  <c r="B19" i="7" s="1"/>
  <c r="B150" i="7" l="1"/>
  <c r="B151" i="7" s="1"/>
  <c r="B152" i="7" s="1"/>
  <c r="B153" i="7" s="1"/>
  <c r="B154" i="7" s="1"/>
  <c r="B155" i="7" s="1"/>
  <c r="C239" i="7"/>
  <c r="B228" i="7"/>
  <c r="B229" i="7" s="1"/>
  <c r="B230" i="7" s="1"/>
  <c r="B231" i="7" s="1"/>
  <c r="B232" i="7" s="1"/>
  <c r="B233" i="7" s="1"/>
  <c r="B234" i="7" s="1"/>
  <c r="F235" i="7"/>
  <c r="F239" i="7"/>
  <c r="B22" i="7"/>
  <c r="F23" i="7"/>
  <c r="B236" i="7"/>
  <c r="B237" i="7" s="1"/>
  <c r="B238" i="7" s="1"/>
  <c r="B28" i="7"/>
  <c r="F37" i="7" s="1"/>
  <c r="B29" i="7" l="1"/>
  <c r="B30" i="7" s="1"/>
  <c r="B31" i="7" s="1"/>
  <c r="B32" i="7" s="1"/>
  <c r="B33" i="7" s="1"/>
  <c r="B34" i="7" s="1"/>
  <c r="B35" i="7" s="1"/>
  <c r="B36" i="7" s="1"/>
  <c r="B38" i="7"/>
  <c r="F51" i="7" s="1"/>
  <c r="B52" i="7" l="1"/>
  <c r="F57" i="7" s="1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3" i="7" l="1"/>
  <c r="B54" i="7" s="1"/>
  <c r="B55" i="7" s="1"/>
  <c r="B56" i="7" s="1"/>
  <c r="B58" i="7"/>
  <c r="F67" i="7" s="1"/>
  <c r="B68" i="7" l="1"/>
  <c r="F83" i="7" s="1"/>
  <c r="B59" i="7"/>
  <c r="B60" i="7" s="1"/>
  <c r="B61" i="7" s="1"/>
  <c r="B62" i="7" s="1"/>
  <c r="B63" i="7" s="1"/>
  <c r="B64" i="7" s="1"/>
  <c r="B65" i="7" s="1"/>
  <c r="B66" i="7" s="1"/>
  <c r="B69" i="7" l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4" i="7"/>
  <c r="F101" i="7" s="1"/>
  <c r="B102" i="7" l="1"/>
  <c r="F111" i="7" s="1"/>
  <c r="B85" i="7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12" i="7" l="1"/>
  <c r="B103" i="7"/>
  <c r="B104" i="7" s="1"/>
  <c r="B105" i="7" s="1"/>
  <c r="B106" i="7" s="1"/>
  <c r="B107" i="7" s="1"/>
  <c r="B108" i="7" s="1"/>
  <c r="B109" i="7" s="1"/>
  <c r="B110" i="7" s="1"/>
  <c r="B113" i="7" l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F126" i="7"/>
  <c r="F9" i="7"/>
  <c r="F8" i="7"/>
  <c r="K201" i="26" l="1"/>
  <c r="I184" i="26"/>
  <c r="I183" i="26"/>
  <c r="I177" i="26"/>
  <c r="I176" i="26"/>
  <c r="I175" i="26"/>
  <c r="I174" i="26"/>
  <c r="I173" i="26"/>
  <c r="I172" i="26"/>
  <c r="I171" i="26"/>
  <c r="I170" i="26"/>
  <c r="I163" i="26"/>
  <c r="I165" i="26" s="1"/>
  <c r="I157" i="26"/>
  <c r="I156" i="26"/>
  <c r="I155" i="26"/>
  <c r="I154" i="26"/>
  <c r="I148" i="26"/>
  <c r="I147" i="26"/>
  <c r="I146" i="26"/>
  <c r="I145" i="26"/>
  <c r="I144" i="26"/>
  <c r="I143" i="26"/>
  <c r="I142" i="26"/>
  <c r="I120" i="26"/>
  <c r="I119" i="26"/>
  <c r="I118" i="26"/>
  <c r="I117" i="26"/>
  <c r="I116" i="26"/>
  <c r="I114" i="26"/>
  <c r="I112" i="26"/>
  <c r="I111" i="26"/>
  <c r="I110" i="26"/>
  <c r="I109" i="26"/>
  <c r="I108" i="26"/>
  <c r="I106" i="26"/>
  <c r="I105" i="26"/>
  <c r="I104" i="26"/>
  <c r="I102" i="26"/>
  <c r="I100" i="26"/>
  <c r="I98" i="26"/>
  <c r="K97" i="26"/>
  <c r="I97" i="26"/>
  <c r="I96" i="26"/>
  <c r="I95" i="26"/>
  <c r="I94" i="26"/>
  <c r="I92" i="26"/>
  <c r="I91" i="26"/>
  <c r="I89" i="26"/>
  <c r="I83" i="26"/>
  <c r="I81" i="26"/>
  <c r="I70" i="26"/>
  <c r="K69" i="26"/>
  <c r="I69" i="26"/>
  <c r="I60" i="26"/>
  <c r="I59" i="26"/>
  <c r="I58" i="26"/>
  <c r="I57" i="26"/>
  <c r="I56" i="26"/>
  <c r="I55" i="26"/>
  <c r="I54" i="26"/>
  <c r="I47" i="26"/>
  <c r="I46" i="26"/>
  <c r="I45" i="26"/>
  <c r="I44" i="26"/>
  <c r="I43" i="26"/>
  <c r="I42" i="26"/>
  <c r="I34" i="26"/>
  <c r="I33" i="26"/>
  <c r="I32" i="26"/>
  <c r="I31" i="26"/>
  <c r="I30" i="26"/>
  <c r="I29" i="26"/>
  <c r="I28" i="26"/>
  <c r="I27" i="26"/>
  <c r="I19" i="26"/>
  <c r="I18" i="26"/>
  <c r="I15" i="26"/>
  <c r="I178" i="26" l="1"/>
  <c r="I149" i="26"/>
  <c r="I158" i="26"/>
  <c r="I49" i="26"/>
  <c r="I21" i="26"/>
  <c r="I72" i="26"/>
  <c r="I186" i="26"/>
  <c r="I36" i="26"/>
  <c r="I84" i="26"/>
  <c r="I62" i="26"/>
  <c r="I122" i="26"/>
  <c r="K199" i="26"/>
  <c r="I200" i="26"/>
  <c r="I74" i="26" l="1"/>
  <c r="I123" i="26"/>
  <c r="I188" i="26"/>
  <c r="I194" i="26" s="1"/>
  <c r="I190" i="26" l="1"/>
  <c r="K6" i="26" s="1"/>
  <c r="I193" i="26"/>
  <c r="I195" i="26" s="1"/>
  <c r="K195" i="26" l="1"/>
  <c r="I197" i="26"/>
  <c r="N156" i="7" l="1"/>
  <c r="N176" i="7" l="1"/>
  <c r="O27" i="7" l="1"/>
  <c r="G10" i="28"/>
  <c r="G11" i="28"/>
  <c r="G9" i="28"/>
  <c r="N228" i="7"/>
  <c r="O228" i="7" s="1"/>
  <c r="O235" i="7" s="1"/>
  <c r="N218" i="7"/>
  <c r="O218" i="7" s="1"/>
  <c r="G13" i="28" l="1"/>
  <c r="G15" i="28" s="1"/>
  <c r="G16" i="28" l="1"/>
  <c r="G19" i="28" s="1"/>
  <c r="G21" i="28" s="1"/>
  <c r="G22" i="28" s="1"/>
  <c r="R156" i="7" l="1"/>
  <c r="K19" i="7" l="1"/>
  <c r="K22" i="7"/>
  <c r="K25" i="7"/>
  <c r="K26" i="7"/>
  <c r="K29" i="7"/>
  <c r="K37" i="7" s="1"/>
  <c r="K39" i="7"/>
  <c r="K51" i="7" s="1"/>
  <c r="K53" i="7"/>
  <c r="K54" i="7"/>
  <c r="K55" i="7"/>
  <c r="K56" i="7"/>
  <c r="K60" i="7"/>
  <c r="K61" i="7"/>
  <c r="K62" i="7"/>
  <c r="K63" i="7"/>
  <c r="K64" i="7"/>
  <c r="K65" i="7"/>
  <c r="K66" i="7"/>
  <c r="K69" i="7"/>
  <c r="K83" i="7" s="1"/>
  <c r="K85" i="7"/>
  <c r="K101" i="7" s="1"/>
  <c r="K105" i="7"/>
  <c r="K106" i="7"/>
  <c r="K107" i="7"/>
  <c r="K108" i="7"/>
  <c r="K113" i="7"/>
  <c r="K126" i="7" s="1"/>
  <c r="K170" i="7"/>
  <c r="K171" i="7"/>
  <c r="K172" i="7"/>
  <c r="K173" i="7"/>
  <c r="K174" i="7"/>
  <c r="K175" i="7"/>
  <c r="K179" i="7"/>
  <c r="K194" i="7" s="1"/>
  <c r="K197" i="7"/>
  <c r="K198" i="7"/>
  <c r="K199" i="7"/>
  <c r="K200" i="7"/>
  <c r="K201" i="7"/>
  <c r="K202" i="7"/>
  <c r="K204" i="7"/>
  <c r="K207" i="7"/>
  <c r="K208" i="7"/>
  <c r="K209" i="7"/>
  <c r="K210" i="7"/>
  <c r="K211" i="7"/>
  <c r="K214" i="7"/>
  <c r="K216" i="7" s="1"/>
  <c r="K218" i="7"/>
  <c r="K219" i="7"/>
  <c r="K220" i="7"/>
  <c r="K221" i="7"/>
  <c r="K222" i="7"/>
  <c r="K223" i="7"/>
  <c r="K228" i="7"/>
  <c r="K229" i="7"/>
  <c r="K230" i="7"/>
  <c r="K231" i="7"/>
  <c r="K232" i="7"/>
  <c r="K233" i="7"/>
  <c r="K234" i="7"/>
  <c r="K18" i="7"/>
  <c r="K235" i="7" l="1"/>
  <c r="K205" i="7"/>
  <c r="K226" i="7"/>
  <c r="K212" i="7"/>
  <c r="K176" i="7"/>
  <c r="K27" i="7"/>
  <c r="K67" i="7"/>
  <c r="K57" i="7"/>
  <c r="K111" i="7"/>
  <c r="K23" i="7"/>
  <c r="K20" i="7"/>
  <c r="K240" i="7" l="1"/>
  <c r="G13" i="13" s="1"/>
  <c r="G10" i="10" s="1"/>
  <c r="K127" i="7"/>
  <c r="G12" i="13" s="1"/>
  <c r="G9" i="10" s="1"/>
  <c r="K9" i="28" l="1"/>
  <c r="K11" i="28" l="1"/>
  <c r="R218" i="7"/>
  <c r="S218" i="7" s="1"/>
  <c r="R228" i="7" l="1"/>
  <c r="S228" i="7" s="1"/>
  <c r="S235" i="7" s="1"/>
  <c r="I11" i="28" l="1"/>
  <c r="M11" i="28" s="1"/>
  <c r="I10" i="28"/>
  <c r="I9" i="28"/>
  <c r="M9" i="28" s="1"/>
  <c r="I13" i="28" l="1"/>
  <c r="I15" i="28" s="1"/>
  <c r="I16" i="28" l="1"/>
  <c r="I19" i="28" s="1"/>
  <c r="I21" i="28" s="1"/>
  <c r="I22" i="28" s="1"/>
  <c r="J11" i="28" l="1"/>
  <c r="J10" i="28" l="1"/>
  <c r="H11" i="28" l="1"/>
  <c r="H10" i="28"/>
  <c r="H9" i="28"/>
  <c r="J9" i="28" l="1"/>
  <c r="J13" i="28" s="1"/>
  <c r="J16" i="28" s="1"/>
  <c r="H13" i="28"/>
  <c r="J15" i="28" l="1"/>
  <c r="J19" i="28" s="1"/>
  <c r="J21" i="28" s="1"/>
  <c r="J22" i="28" s="1"/>
  <c r="H16" i="28"/>
  <c r="H15" i="28"/>
  <c r="J23" i="28" l="1"/>
  <c r="H19" i="28"/>
  <c r="H21" i="28" s="1"/>
  <c r="H22" i="28" s="1"/>
  <c r="H23" i="28" l="1"/>
  <c r="G15" i="13" l="1"/>
  <c r="G12" i="10"/>
  <c r="K10" i="28"/>
  <c r="G14" i="10" l="1"/>
  <c r="G13" i="10"/>
  <c r="G17" i="13"/>
  <c r="G16" i="13"/>
  <c r="M10" i="28"/>
  <c r="M13" i="28" s="1"/>
  <c r="K13" i="28"/>
  <c r="G15" i="10" l="1"/>
  <c r="G18" i="13"/>
  <c r="K15" i="28"/>
  <c r="K16" i="28"/>
  <c r="M16" i="28"/>
  <c r="M15" i="28"/>
  <c r="G16" i="10" l="1"/>
  <c r="F12" i="51" s="1"/>
  <c r="F16" i="51" s="1"/>
  <c r="E12" i="51"/>
  <c r="G20" i="13"/>
  <c r="M19" i="28"/>
  <c r="K19" i="28"/>
  <c r="G17" i="10" l="1"/>
  <c r="E16" i="51"/>
  <c r="G12" i="51"/>
  <c r="K21" i="28"/>
  <c r="K22" i="28" s="1"/>
  <c r="M21" i="28"/>
  <c r="M22" i="28" s="1"/>
  <c r="G16" i="51" l="1"/>
  <c r="G25" i="28"/>
  <c r="H29" i="28"/>
  <c r="H30" i="28" s="1"/>
  <c r="L343" i="7" l="1"/>
  <c r="R118" i="7"/>
  <c r="S118" i="7" s="1"/>
  <c r="N118" i="7"/>
  <c r="O118" i="7" s="1"/>
  <c r="M118" i="7"/>
  <c r="R210" i="7"/>
  <c r="N210" i="7"/>
  <c r="O210" i="7" s="1"/>
  <c r="M210" i="7"/>
  <c r="S210" i="7" l="1"/>
  <c r="T210" i="7"/>
  <c r="U210" i="7" s="1"/>
  <c r="R343" i="7"/>
  <c r="S343" i="7" s="1"/>
  <c r="N343" i="7"/>
  <c r="O343" i="7" s="1"/>
  <c r="M343" i="7"/>
  <c r="R233" i="44" l="1"/>
  <c r="M233" i="44"/>
  <c r="N233" i="44"/>
  <c r="O233" i="44" s="1"/>
  <c r="M235" i="44"/>
  <c r="R235" i="44"/>
  <c r="N235" i="44"/>
  <c r="O235" i="44" s="1"/>
  <c r="R234" i="44"/>
  <c r="M234" i="44"/>
  <c r="N234" i="44"/>
  <c r="O234" i="44" s="1"/>
  <c r="R295" i="44"/>
  <c r="S295" i="44" s="1"/>
  <c r="M295" i="44"/>
  <c r="N295" i="44"/>
  <c r="O295" i="44" s="1"/>
  <c r="S234" i="44" l="1"/>
  <c r="T234" i="44"/>
  <c r="U234" i="44" s="1"/>
  <c r="S235" i="44"/>
  <c r="T235" i="44"/>
  <c r="U235" i="44" s="1"/>
  <c r="S233" i="44"/>
  <c r="T233" i="44"/>
  <c r="U233" i="44" s="1"/>
  <c r="M288" i="44"/>
  <c r="N288" i="44"/>
  <c r="O288" i="44" s="1"/>
  <c r="R288" i="44"/>
  <c r="S288" i="44" s="1"/>
  <c r="M217" i="44"/>
  <c r="N217" i="44"/>
  <c r="O217" i="44" s="1"/>
  <c r="R217" i="44"/>
  <c r="S217" i="44" s="1"/>
  <c r="R245" i="44"/>
  <c r="M245" i="44"/>
  <c r="N245" i="44"/>
  <c r="O245" i="44" s="1"/>
  <c r="R183" i="44"/>
  <c r="S183" i="44" s="1"/>
  <c r="M183" i="44"/>
  <c r="N183" i="44"/>
  <c r="R219" i="44"/>
  <c r="S219" i="44" s="1"/>
  <c r="M219" i="44"/>
  <c r="N219" i="44"/>
  <c r="O219" i="44" s="1"/>
  <c r="N193" i="44"/>
  <c r="O193" i="44" s="1"/>
  <c r="R193" i="44"/>
  <c r="S193" i="44" s="1"/>
  <c r="M193" i="44"/>
  <c r="N240" i="44"/>
  <c r="O240" i="44" s="1"/>
  <c r="R240" i="44"/>
  <c r="S240" i="44" s="1"/>
  <c r="M240" i="44"/>
  <c r="M182" i="44"/>
  <c r="N182" i="44"/>
  <c r="O182" i="44" s="1"/>
  <c r="R182" i="44"/>
  <c r="S182" i="44" s="1"/>
  <c r="R157" i="44"/>
  <c r="S157" i="44" s="1"/>
  <c r="M157" i="44"/>
  <c r="N157" i="44"/>
  <c r="O157" i="44" s="1"/>
  <c r="R201" i="44"/>
  <c r="S201" i="44" s="1"/>
  <c r="M201" i="44"/>
  <c r="N201" i="44"/>
  <c r="O201" i="44" s="1"/>
  <c r="M150" i="44"/>
  <c r="P150" i="44"/>
  <c r="Q150" i="44" s="1"/>
  <c r="L332" i="44"/>
  <c r="R40" i="44"/>
  <c r="S40" i="44" s="1"/>
  <c r="M40" i="44"/>
  <c r="N40" i="44"/>
  <c r="O40" i="44" s="1"/>
  <c r="P265" i="44"/>
  <c r="Q265" i="44" s="1"/>
  <c r="M265" i="44"/>
  <c r="P274" i="44"/>
  <c r="Q274" i="44" s="1"/>
  <c r="M274" i="44"/>
  <c r="M225" i="44"/>
  <c r="P225" i="44"/>
  <c r="Q225" i="44" s="1"/>
  <c r="M216" i="44"/>
  <c r="N216" i="44"/>
  <c r="O216" i="44" s="1"/>
  <c r="R216" i="44"/>
  <c r="S216" i="44" s="1"/>
  <c r="N218" i="44"/>
  <c r="O218" i="44" s="1"/>
  <c r="R218" i="44"/>
  <c r="M218" i="44"/>
  <c r="R237" i="44"/>
  <c r="S237" i="44" s="1"/>
  <c r="M237" i="44"/>
  <c r="N237" i="44"/>
  <c r="O237" i="44" s="1"/>
  <c r="R164" i="44"/>
  <c r="S164" i="44" s="1"/>
  <c r="M164" i="44"/>
  <c r="N164" i="44"/>
  <c r="O164" i="44" s="1"/>
  <c r="M208" i="44"/>
  <c r="P208" i="44"/>
  <c r="Q208" i="44" s="1"/>
  <c r="M246" i="44"/>
  <c r="N246" i="44"/>
  <c r="O246" i="44" s="1"/>
  <c r="R246" i="44"/>
  <c r="S246" i="44" s="1"/>
  <c r="N187" i="44"/>
  <c r="R187" i="44"/>
  <c r="S187" i="44" s="1"/>
  <c r="M187" i="44"/>
  <c r="R199" i="44"/>
  <c r="N199" i="44"/>
  <c r="O199" i="44" s="1"/>
  <c r="M199" i="44"/>
  <c r="M299" i="44"/>
  <c r="P299" i="44"/>
  <c r="Q299" i="44" s="1"/>
  <c r="P267" i="44"/>
  <c r="Q267" i="44" s="1"/>
  <c r="M267" i="44"/>
  <c r="P264" i="44"/>
  <c r="Q264" i="44" s="1"/>
  <c r="M264" i="44"/>
  <c r="M250" i="44"/>
  <c r="N250" i="44"/>
  <c r="O250" i="44" s="1"/>
  <c r="R250" i="44"/>
  <c r="S250" i="44" s="1"/>
  <c r="M304" i="44"/>
  <c r="N304" i="44"/>
  <c r="O304" i="44" s="1"/>
  <c r="R304" i="44"/>
  <c r="S304" i="44" s="1"/>
  <c r="P263" i="44"/>
  <c r="Q263" i="44" s="1"/>
  <c r="M263" i="44"/>
  <c r="N283" i="44"/>
  <c r="O283" i="44" s="1"/>
  <c r="R283" i="44"/>
  <c r="S283" i="44" s="1"/>
  <c r="M283" i="44"/>
  <c r="N163" i="44"/>
  <c r="O163" i="44" s="1"/>
  <c r="R163" i="44"/>
  <c r="S163" i="44" s="1"/>
  <c r="M163" i="44"/>
  <c r="N248" i="44"/>
  <c r="O248" i="44" s="1"/>
  <c r="R248" i="44"/>
  <c r="M248" i="44"/>
  <c r="M230" i="44"/>
  <c r="N230" i="44"/>
  <c r="O230" i="44" s="1"/>
  <c r="R230" i="44"/>
  <c r="S230" i="44" s="1"/>
  <c r="M178" i="44"/>
  <c r="N178" i="44"/>
  <c r="O178" i="44" s="1"/>
  <c r="R178" i="44"/>
  <c r="S178" i="44" s="1"/>
  <c r="M169" i="44"/>
  <c r="N169" i="44"/>
  <c r="O169" i="44" s="1"/>
  <c r="R169" i="44"/>
  <c r="M209" i="44"/>
  <c r="P209" i="44"/>
  <c r="Q209" i="44" s="1"/>
  <c r="P273" i="44"/>
  <c r="Q273" i="44" s="1"/>
  <c r="M273" i="44"/>
  <c r="P272" i="44"/>
  <c r="Q272" i="44" s="1"/>
  <c r="M272" i="44"/>
  <c r="R284" i="44"/>
  <c r="S284" i="44" s="1"/>
  <c r="M284" i="44"/>
  <c r="N284" i="44"/>
  <c r="O284" i="44" s="1"/>
  <c r="M278" i="44"/>
  <c r="N278" i="44"/>
  <c r="O278" i="44" s="1"/>
  <c r="R278" i="44"/>
  <c r="N214" i="44"/>
  <c r="O214" i="44" s="1"/>
  <c r="R214" i="44"/>
  <c r="M214" i="44"/>
  <c r="M285" i="44"/>
  <c r="N285" i="44"/>
  <c r="O285" i="44" s="1"/>
  <c r="R285" i="44"/>
  <c r="S285" i="44" s="1"/>
  <c r="M227" i="44"/>
  <c r="P227" i="44"/>
  <c r="Q227" i="44" s="1"/>
  <c r="R176" i="44"/>
  <c r="S176" i="44" s="1"/>
  <c r="M176" i="44"/>
  <c r="N176" i="44"/>
  <c r="O176" i="44" s="1"/>
  <c r="M236" i="44"/>
  <c r="N236" i="44"/>
  <c r="O236" i="44" s="1"/>
  <c r="R236" i="44"/>
  <c r="S236" i="44" s="1"/>
  <c r="M293" i="44"/>
  <c r="N293" i="44"/>
  <c r="O293" i="44" s="1"/>
  <c r="R293" i="44"/>
  <c r="S293" i="44" s="1"/>
  <c r="M275" i="44"/>
  <c r="P275" i="44"/>
  <c r="Q275" i="44" s="1"/>
  <c r="M243" i="44"/>
  <c r="N243" i="44"/>
  <c r="O243" i="44" s="1"/>
  <c r="R243" i="44"/>
  <c r="N222" i="44"/>
  <c r="O222" i="44" s="1"/>
  <c r="R222" i="44"/>
  <c r="M222" i="44"/>
  <c r="M231" i="44"/>
  <c r="N231" i="44"/>
  <c r="O231" i="44" s="1"/>
  <c r="R231" i="44"/>
  <c r="S231" i="44" s="1"/>
  <c r="R220" i="44"/>
  <c r="S220" i="44" s="1"/>
  <c r="M220" i="44"/>
  <c r="N220" i="44"/>
  <c r="O220" i="44" s="1"/>
  <c r="R191" i="44"/>
  <c r="S191" i="44" s="1"/>
  <c r="M191" i="44"/>
  <c r="N191" i="44"/>
  <c r="O191" i="44" s="1"/>
  <c r="R160" i="44"/>
  <c r="S160" i="44" s="1"/>
  <c r="M160" i="44"/>
  <c r="N160" i="44"/>
  <c r="O160" i="44" s="1"/>
  <c r="N244" i="44"/>
  <c r="O244" i="44" s="1"/>
  <c r="R244" i="44"/>
  <c r="M244" i="44"/>
  <c r="M212" i="44"/>
  <c r="N212" i="44"/>
  <c r="O212" i="44" s="1"/>
  <c r="R212" i="44"/>
  <c r="S212" i="44" s="1"/>
  <c r="R215" i="44"/>
  <c r="M215" i="44"/>
  <c r="N215" i="44"/>
  <c r="O215" i="44" s="1"/>
  <c r="N294" i="44"/>
  <c r="O294" i="44" s="1"/>
  <c r="R294" i="44"/>
  <c r="M294" i="44"/>
  <c r="P271" i="44"/>
  <c r="Q271" i="44" s="1"/>
  <c r="M271" i="44"/>
  <c r="R185" i="44"/>
  <c r="S185" i="44" s="1"/>
  <c r="M185" i="44"/>
  <c r="N185" i="44"/>
  <c r="O185" i="44" s="1"/>
  <c r="M305" i="44"/>
  <c r="N305" i="44"/>
  <c r="O305" i="44" s="1"/>
  <c r="R305" i="44"/>
  <c r="S305" i="44" s="1"/>
  <c r="N195" i="44"/>
  <c r="O195" i="44" s="1"/>
  <c r="M195" i="44"/>
  <c r="R195" i="44"/>
  <c r="S195" i="44" s="1"/>
  <c r="M158" i="44"/>
  <c r="N158" i="44"/>
  <c r="O158" i="44" s="1"/>
  <c r="R158" i="44"/>
  <c r="S158" i="44" s="1"/>
  <c r="N189" i="44"/>
  <c r="O189" i="44" s="1"/>
  <c r="R189" i="44"/>
  <c r="S189" i="44" s="1"/>
  <c r="M189" i="44"/>
  <c r="M213" i="44"/>
  <c r="N213" i="44"/>
  <c r="R213" i="44"/>
  <c r="S213" i="44" s="1"/>
  <c r="R242" i="44"/>
  <c r="M242" i="44"/>
  <c r="N242" i="44"/>
  <c r="O242" i="44" s="1"/>
  <c r="N298" i="44"/>
  <c r="O298" i="44" s="1"/>
  <c r="R298" i="44"/>
  <c r="S298" i="44" s="1"/>
  <c r="M298" i="44"/>
  <c r="M290" i="44"/>
  <c r="P290" i="44"/>
  <c r="Q290" i="44" s="1"/>
  <c r="M180" i="44"/>
  <c r="N180" i="44"/>
  <c r="O180" i="44" s="1"/>
  <c r="R180" i="44"/>
  <c r="S180" i="44" s="1"/>
  <c r="M202" i="44"/>
  <c r="N202" i="44"/>
  <c r="O202" i="44" s="1"/>
  <c r="R202" i="44"/>
  <c r="S202" i="44" s="1"/>
  <c r="P270" i="44"/>
  <c r="Q270" i="44" s="1"/>
  <c r="M270" i="44"/>
  <c r="M224" i="44"/>
  <c r="P224" i="44"/>
  <c r="Q224" i="44" s="1"/>
  <c r="M221" i="44"/>
  <c r="N221" i="44"/>
  <c r="O221" i="44" s="1"/>
  <c r="R221" i="44"/>
  <c r="S221" i="44" s="1"/>
  <c r="N159" i="44"/>
  <c r="O159" i="44" s="1"/>
  <c r="R159" i="44"/>
  <c r="S159" i="44" s="1"/>
  <c r="M159" i="44"/>
  <c r="R249" i="44"/>
  <c r="M249" i="44"/>
  <c r="N249" i="44"/>
  <c r="O249" i="44" s="1"/>
  <c r="N232" i="44"/>
  <c r="O232" i="44" s="1"/>
  <c r="R232" i="44"/>
  <c r="S232" i="44" s="1"/>
  <c r="M232" i="44"/>
  <c r="R241" i="44"/>
  <c r="M241" i="44"/>
  <c r="N241" i="44"/>
  <c r="O241" i="44" s="1"/>
  <c r="M289" i="44"/>
  <c r="P289" i="44"/>
  <c r="Q289" i="44" s="1"/>
  <c r="M301" i="44"/>
  <c r="P301" i="44"/>
  <c r="Q301" i="44" s="1"/>
  <c r="P266" i="44"/>
  <c r="Q266" i="44" s="1"/>
  <c r="M266" i="44"/>
  <c r="M161" i="44"/>
  <c r="N161" i="44"/>
  <c r="O161" i="44" s="1"/>
  <c r="R161" i="44"/>
  <c r="S161" i="44" s="1"/>
  <c r="M226" i="44"/>
  <c r="P226" i="44"/>
  <c r="Q226" i="44" s="1"/>
  <c r="R247" i="44"/>
  <c r="S247" i="44" s="1"/>
  <c r="M247" i="44"/>
  <c r="N247" i="44"/>
  <c r="O247" i="44" s="1"/>
  <c r="M297" i="44"/>
  <c r="N297" i="44"/>
  <c r="O297" i="44" s="1"/>
  <c r="R297" i="44"/>
  <c r="S297" i="44" s="1"/>
  <c r="P165" i="44"/>
  <c r="Q165" i="44" s="1"/>
  <c r="Q166" i="44" s="1"/>
  <c r="M165" i="44"/>
  <c r="R279" i="44"/>
  <c r="M279" i="44"/>
  <c r="N279" i="44"/>
  <c r="O279" i="44" s="1"/>
  <c r="M282" i="44"/>
  <c r="N282" i="44"/>
  <c r="O282" i="44" s="1"/>
  <c r="R282" i="44"/>
  <c r="S282" i="44" s="1"/>
  <c r="R197" i="44"/>
  <c r="S197" i="44" s="1"/>
  <c r="M197" i="44"/>
  <c r="N197" i="44"/>
  <c r="O197" i="44" s="1"/>
  <c r="M300" i="44"/>
  <c r="P300" i="44"/>
  <c r="Q300" i="44" s="1"/>
  <c r="P269" i="44"/>
  <c r="Q269" i="44" s="1"/>
  <c r="M269" i="44"/>
  <c r="P268" i="44"/>
  <c r="Q268" i="44" s="1"/>
  <c r="M268" i="44"/>
  <c r="U238" i="44" l="1"/>
  <c r="O302" i="44"/>
  <c r="M302" i="44"/>
  <c r="Q302" i="44"/>
  <c r="S241" i="44"/>
  <c r="T241" i="44"/>
  <c r="U241" i="44" s="1"/>
  <c r="S279" i="44"/>
  <c r="T279" i="44"/>
  <c r="U279" i="44" s="1"/>
  <c r="S169" i="44"/>
  <c r="T169" i="44"/>
  <c r="U169" i="44" s="1"/>
  <c r="S294" i="44"/>
  <c r="S302" i="44" s="1"/>
  <c r="T294" i="44"/>
  <c r="U294" i="44" s="1"/>
  <c r="U302" i="44" s="1"/>
  <c r="S222" i="44"/>
  <c r="T222" i="44"/>
  <c r="U222" i="44" s="1"/>
  <c r="S214" i="44"/>
  <c r="T214" i="44"/>
  <c r="U214" i="44" s="1"/>
  <c r="S248" i="44"/>
  <c r="T248" i="44"/>
  <c r="U248" i="44" s="1"/>
  <c r="S199" i="44"/>
  <c r="T199" i="44"/>
  <c r="U199" i="44" s="1"/>
  <c r="S218" i="44"/>
  <c r="T218" i="44"/>
  <c r="U218" i="44" s="1"/>
  <c r="S245" i="44"/>
  <c r="T245" i="44"/>
  <c r="U245" i="44" s="1"/>
  <c r="S244" i="44"/>
  <c r="T244" i="44"/>
  <c r="U244" i="44" s="1"/>
  <c r="S249" i="44"/>
  <c r="T249" i="44"/>
  <c r="U249" i="44" s="1"/>
  <c r="S242" i="44"/>
  <c r="T242" i="44"/>
  <c r="U242" i="44" s="1"/>
  <c r="S243" i="44"/>
  <c r="T243" i="44"/>
  <c r="U243" i="44" s="1"/>
  <c r="S278" i="44"/>
  <c r="T278" i="44"/>
  <c r="U278" i="44" s="1"/>
  <c r="O187" i="44"/>
  <c r="T188" i="44"/>
  <c r="U188" i="44" s="1"/>
  <c r="O183" i="44"/>
  <c r="O213" i="44"/>
  <c r="T212" i="44"/>
  <c r="U212" i="44" s="1"/>
  <c r="S215" i="44"/>
  <c r="T215" i="44"/>
  <c r="U215" i="44" s="1"/>
  <c r="Q291" i="44"/>
  <c r="S291" i="44"/>
  <c r="M166" i="44"/>
  <c r="M291" i="44"/>
  <c r="O291" i="44"/>
  <c r="Q228" i="44"/>
  <c r="O166" i="44"/>
  <c r="M238" i="44"/>
  <c r="S166" i="44"/>
  <c r="P204" i="44"/>
  <c r="Q204" i="44" s="1"/>
  <c r="M204" i="44"/>
  <c r="L424" i="44"/>
  <c r="M132" i="44"/>
  <c r="N132" i="44"/>
  <c r="O132" i="44" s="1"/>
  <c r="R132" i="44"/>
  <c r="S132" i="44" s="1"/>
  <c r="L354" i="44"/>
  <c r="N62" i="44"/>
  <c r="O62" i="44" s="1"/>
  <c r="R62" i="44"/>
  <c r="S62" i="44" s="1"/>
  <c r="M62" i="44"/>
  <c r="N198" i="44"/>
  <c r="O198" i="44" s="1"/>
  <c r="M198" i="44"/>
  <c r="R198" i="44"/>
  <c r="S198" i="44" s="1"/>
  <c r="N184" i="44"/>
  <c r="O184" i="44" s="1"/>
  <c r="R184" i="44"/>
  <c r="S184" i="44" s="1"/>
  <c r="M184" i="44"/>
  <c r="L376" i="44"/>
  <c r="M84" i="44"/>
  <c r="N84" i="44"/>
  <c r="R84" i="44"/>
  <c r="S84" i="44" s="1"/>
  <c r="L413" i="44"/>
  <c r="M121" i="44"/>
  <c r="N121" i="44"/>
  <c r="O121" i="44" s="1"/>
  <c r="R121" i="44"/>
  <c r="S121" i="44" s="1"/>
  <c r="M46" i="44"/>
  <c r="N47" i="44"/>
  <c r="O47" i="44" s="1"/>
  <c r="R47" i="44"/>
  <c r="L338" i="44"/>
  <c r="L313" i="44"/>
  <c r="M21" i="44"/>
  <c r="R21" i="44"/>
  <c r="S21" i="44" s="1"/>
  <c r="N21" i="44"/>
  <c r="O21" i="44" s="1"/>
  <c r="P262" i="44"/>
  <c r="Q262" i="44" s="1"/>
  <c r="Q276" i="44" s="1"/>
  <c r="M262" i="44"/>
  <c r="M174" i="44"/>
  <c r="N174" i="44"/>
  <c r="O174" i="44" s="1"/>
  <c r="R174" i="44"/>
  <c r="M181" i="44"/>
  <c r="N181" i="44"/>
  <c r="R181" i="44"/>
  <c r="S181" i="44" s="1"/>
  <c r="L430" i="44"/>
  <c r="R138" i="44"/>
  <c r="S138" i="44" s="1"/>
  <c r="M138" i="44"/>
  <c r="N138" i="44"/>
  <c r="O138" i="44" s="1"/>
  <c r="L435" i="44"/>
  <c r="M143" i="44"/>
  <c r="N143" i="44"/>
  <c r="O143" i="44" s="1"/>
  <c r="R143" i="44"/>
  <c r="S143" i="44" s="1"/>
  <c r="R112" i="44"/>
  <c r="S112" i="44" s="1"/>
  <c r="L404" i="44"/>
  <c r="M112" i="44"/>
  <c r="N112" i="44"/>
  <c r="O112" i="44" s="1"/>
  <c r="L331" i="44"/>
  <c r="N39" i="44"/>
  <c r="O39" i="44" s="1"/>
  <c r="R39" i="44"/>
  <c r="S39" i="44" s="1"/>
  <c r="M39" i="44"/>
  <c r="M110" i="44"/>
  <c r="L402" i="44"/>
  <c r="N110" i="44"/>
  <c r="O110" i="44" s="1"/>
  <c r="R110" i="44"/>
  <c r="S110" i="44" s="1"/>
  <c r="L432" i="44"/>
  <c r="M140" i="44"/>
  <c r="N140" i="44"/>
  <c r="O140" i="44" s="1"/>
  <c r="R140" i="44"/>
  <c r="S140" i="44" s="1"/>
  <c r="L350" i="44"/>
  <c r="N58" i="44"/>
  <c r="O58" i="44" s="1"/>
  <c r="R58" i="44"/>
  <c r="S58" i="44" s="1"/>
  <c r="M58" i="44"/>
  <c r="L311" i="44"/>
  <c r="R19" i="44"/>
  <c r="N19" i="44"/>
  <c r="O19" i="44" s="1"/>
  <c r="M19" i="44"/>
  <c r="M98" i="44"/>
  <c r="P98" i="44"/>
  <c r="N38" i="44"/>
  <c r="R38" i="44"/>
  <c r="S38" i="44" s="1"/>
  <c r="M38" i="44"/>
  <c r="L403" i="44"/>
  <c r="R111" i="44"/>
  <c r="S111" i="44" s="1"/>
  <c r="M111" i="44"/>
  <c r="N111" i="44"/>
  <c r="O111" i="44" s="1"/>
  <c r="L397" i="44"/>
  <c r="M105" i="44"/>
  <c r="N105" i="44"/>
  <c r="O105" i="44" s="1"/>
  <c r="R105" i="44"/>
  <c r="S105" i="44" s="1"/>
  <c r="L439" i="44"/>
  <c r="M147" i="44"/>
  <c r="N147" i="44"/>
  <c r="O147" i="44" s="1"/>
  <c r="R147" i="44"/>
  <c r="N119" i="44"/>
  <c r="O119" i="44" s="1"/>
  <c r="L411" i="44"/>
  <c r="R119" i="44"/>
  <c r="S119" i="44" s="1"/>
  <c r="M119" i="44"/>
  <c r="L419" i="44"/>
  <c r="R127" i="44"/>
  <c r="S127" i="44" s="1"/>
  <c r="M127" i="44"/>
  <c r="N127" i="44"/>
  <c r="O127" i="44" s="1"/>
  <c r="L358" i="44"/>
  <c r="N66" i="44"/>
  <c r="O66" i="44" s="1"/>
  <c r="R66" i="44"/>
  <c r="S66" i="44" s="1"/>
  <c r="M66" i="44"/>
  <c r="L387" i="44"/>
  <c r="M95" i="44"/>
  <c r="N95" i="44"/>
  <c r="O95" i="44" s="1"/>
  <c r="R95" i="44"/>
  <c r="S95" i="44" s="1"/>
  <c r="L355" i="44"/>
  <c r="R63" i="44"/>
  <c r="S63" i="44" s="1"/>
  <c r="M63" i="44"/>
  <c r="N63" i="44"/>
  <c r="O63" i="44" s="1"/>
  <c r="M141" i="44"/>
  <c r="L433" i="44"/>
  <c r="N141" i="44"/>
  <c r="O141" i="44" s="1"/>
  <c r="R141" i="44"/>
  <c r="S141" i="44" s="1"/>
  <c r="L438" i="44"/>
  <c r="R146" i="44"/>
  <c r="M146" i="44"/>
  <c r="N146" i="44"/>
  <c r="O146" i="44" s="1"/>
  <c r="L381" i="44"/>
  <c r="N89" i="44"/>
  <c r="O89" i="44" s="1"/>
  <c r="R89" i="44"/>
  <c r="S89" i="44" s="1"/>
  <c r="M89" i="44"/>
  <c r="N194" i="44"/>
  <c r="O194" i="44" s="1"/>
  <c r="R194" i="44"/>
  <c r="S194" i="44" s="1"/>
  <c r="M194" i="44"/>
  <c r="P100" i="44"/>
  <c r="Q100" i="44" s="1"/>
  <c r="M100" i="44"/>
  <c r="R261" i="44"/>
  <c r="M261" i="44"/>
  <c r="N261" i="44"/>
  <c r="O261" i="44" s="1"/>
  <c r="N175" i="44"/>
  <c r="O175" i="44" s="1"/>
  <c r="R175" i="44"/>
  <c r="M175" i="44"/>
  <c r="R196" i="44"/>
  <c r="M196" i="44"/>
  <c r="N196" i="44"/>
  <c r="O196" i="44" s="1"/>
  <c r="L362" i="44"/>
  <c r="N70" i="44"/>
  <c r="O70" i="44" s="1"/>
  <c r="R70" i="44"/>
  <c r="S70" i="44" s="1"/>
  <c r="M70" i="44"/>
  <c r="L388" i="44"/>
  <c r="M96" i="44"/>
  <c r="N96" i="44"/>
  <c r="O96" i="44" s="1"/>
  <c r="R96" i="44"/>
  <c r="S96" i="44" s="1"/>
  <c r="R188" i="44"/>
  <c r="S188" i="44" s="1"/>
  <c r="M188" i="44"/>
  <c r="N188" i="44"/>
  <c r="O188" i="44" s="1"/>
  <c r="R252" i="44"/>
  <c r="M252" i="44"/>
  <c r="N252" i="44"/>
  <c r="O252" i="44" s="1"/>
  <c r="S306" i="44"/>
  <c r="M170" i="44"/>
  <c r="N170" i="44"/>
  <c r="R170" i="44"/>
  <c r="S170" i="44" s="1"/>
  <c r="R171" i="44"/>
  <c r="S171" i="44" s="1"/>
  <c r="N171" i="44"/>
  <c r="O171" i="44" s="1"/>
  <c r="M171" i="44"/>
  <c r="N177" i="44"/>
  <c r="R177" i="44"/>
  <c r="S177" i="44" s="1"/>
  <c r="M177" i="44"/>
  <c r="M186" i="44"/>
  <c r="N186" i="44"/>
  <c r="O186" i="44" s="1"/>
  <c r="R186" i="44"/>
  <c r="S186" i="44" s="1"/>
  <c r="R54" i="44"/>
  <c r="L346" i="44"/>
  <c r="M54" i="44"/>
  <c r="N54" i="44"/>
  <c r="O54" i="44" s="1"/>
  <c r="L398" i="44"/>
  <c r="N106" i="44"/>
  <c r="O106" i="44" s="1"/>
  <c r="R106" i="44"/>
  <c r="S106" i="44" s="1"/>
  <c r="M106" i="44"/>
  <c r="L385" i="44"/>
  <c r="N93" i="44"/>
  <c r="O93" i="44" s="1"/>
  <c r="R93" i="44"/>
  <c r="S93" i="44" s="1"/>
  <c r="M93" i="44"/>
  <c r="L412" i="44"/>
  <c r="M120" i="44"/>
  <c r="N120" i="44"/>
  <c r="O120" i="44" s="1"/>
  <c r="R120" i="44"/>
  <c r="S120" i="44" s="1"/>
  <c r="L383" i="44"/>
  <c r="M91" i="44"/>
  <c r="N91" i="44"/>
  <c r="O91" i="44" s="1"/>
  <c r="R91" i="44"/>
  <c r="S91" i="44" s="1"/>
  <c r="L407" i="44"/>
  <c r="R115" i="44"/>
  <c r="S115" i="44" s="1"/>
  <c r="M115" i="44"/>
  <c r="N115" i="44"/>
  <c r="O115" i="44" s="1"/>
  <c r="L372" i="44"/>
  <c r="M80" i="44"/>
  <c r="N80" i="44"/>
  <c r="R80" i="44"/>
  <c r="S80" i="44" s="1"/>
  <c r="N18" i="44"/>
  <c r="O18" i="44" s="1"/>
  <c r="R18" i="44"/>
  <c r="L379" i="44"/>
  <c r="R87" i="44"/>
  <c r="S87" i="44" s="1"/>
  <c r="M87" i="44"/>
  <c r="N87" i="44"/>
  <c r="O87" i="44" s="1"/>
  <c r="R107" i="44"/>
  <c r="S107" i="44" s="1"/>
  <c r="M107" i="44"/>
  <c r="N107" i="44"/>
  <c r="O107" i="44" s="1"/>
  <c r="L399" i="44"/>
  <c r="L417" i="44"/>
  <c r="M125" i="44"/>
  <c r="N125" i="44"/>
  <c r="O125" i="44" s="1"/>
  <c r="R125" i="44"/>
  <c r="L434" i="44"/>
  <c r="R142" i="44"/>
  <c r="S142" i="44" s="1"/>
  <c r="M142" i="44"/>
  <c r="N142" i="44"/>
  <c r="O142" i="44" s="1"/>
  <c r="L319" i="44"/>
  <c r="M27" i="44"/>
  <c r="N27" i="44"/>
  <c r="O27" i="44" s="1"/>
  <c r="R27" i="44"/>
  <c r="S27" i="44" s="1"/>
  <c r="L317" i="44"/>
  <c r="M25" i="44"/>
  <c r="N25" i="44"/>
  <c r="O25" i="44" s="1"/>
  <c r="R25" i="44"/>
  <c r="S25" i="44" s="1"/>
  <c r="L437" i="44"/>
  <c r="N145" i="44"/>
  <c r="O145" i="44" s="1"/>
  <c r="R145" i="44"/>
  <c r="S145" i="44" s="1"/>
  <c r="M145" i="44"/>
  <c r="M90" i="44"/>
  <c r="N90" i="44"/>
  <c r="O90" i="44" s="1"/>
  <c r="L382" i="44"/>
  <c r="R90" i="44"/>
  <c r="S90" i="44" s="1"/>
  <c r="N75" i="44"/>
  <c r="O75" i="44" s="1"/>
  <c r="O76" i="44" s="1"/>
  <c r="L367" i="44"/>
  <c r="R75" i="44"/>
  <c r="S75" i="44" s="1"/>
  <c r="S76" i="44" s="1"/>
  <c r="M75" i="44"/>
  <c r="M76" i="44" s="1"/>
  <c r="G22" i="52" s="1"/>
  <c r="N44" i="44"/>
  <c r="O44" i="44" s="1"/>
  <c r="R44" i="44"/>
  <c r="M44" i="44"/>
  <c r="L426" i="44"/>
  <c r="R134" i="44"/>
  <c r="S134" i="44" s="1"/>
  <c r="M134" i="44"/>
  <c r="N134" i="44"/>
  <c r="O134" i="44" s="1"/>
  <c r="M259" i="44"/>
  <c r="N259" i="44"/>
  <c r="O259" i="44" s="1"/>
  <c r="R259" i="44"/>
  <c r="M256" i="44"/>
  <c r="N256" i="44"/>
  <c r="O256" i="44" s="1"/>
  <c r="R256" i="44"/>
  <c r="O280" i="44"/>
  <c r="O306" i="44"/>
  <c r="R223" i="44"/>
  <c r="S223" i="44" s="1"/>
  <c r="M223" i="44"/>
  <c r="M228" i="44" s="1"/>
  <c r="N223" i="44"/>
  <c r="O223" i="44" s="1"/>
  <c r="M173" i="44"/>
  <c r="N173" i="44"/>
  <c r="O173" i="44" s="1"/>
  <c r="R173" i="44"/>
  <c r="S173" i="44" s="1"/>
  <c r="N192" i="44"/>
  <c r="O192" i="44" s="1"/>
  <c r="R192" i="44"/>
  <c r="S192" i="44" s="1"/>
  <c r="M192" i="44"/>
  <c r="N103" i="44"/>
  <c r="O103" i="44" s="1"/>
  <c r="L395" i="44"/>
  <c r="R103" i="44"/>
  <c r="S103" i="44" s="1"/>
  <c r="M103" i="44"/>
  <c r="L416" i="44"/>
  <c r="M124" i="44"/>
  <c r="N124" i="44"/>
  <c r="O124" i="44" s="1"/>
  <c r="R124" i="44"/>
  <c r="S124" i="44" s="1"/>
  <c r="R31" i="44"/>
  <c r="L323" i="44"/>
  <c r="M31" i="44"/>
  <c r="M32" i="44" s="1"/>
  <c r="G13" i="52" s="1"/>
  <c r="N31" i="44"/>
  <c r="O31" i="44" s="1"/>
  <c r="O32" i="44" s="1"/>
  <c r="M251" i="44"/>
  <c r="N251" i="44"/>
  <c r="O251" i="44" s="1"/>
  <c r="R251" i="44"/>
  <c r="M254" i="44"/>
  <c r="N254" i="44"/>
  <c r="O254" i="44" s="1"/>
  <c r="R254" i="44"/>
  <c r="M280" i="44"/>
  <c r="S238" i="44"/>
  <c r="M306" i="44"/>
  <c r="M172" i="44"/>
  <c r="N172" i="44"/>
  <c r="O172" i="44" s="1"/>
  <c r="R172" i="44"/>
  <c r="M190" i="44"/>
  <c r="N190" i="44"/>
  <c r="O190" i="44" s="1"/>
  <c r="R190" i="44"/>
  <c r="S190" i="44" s="1"/>
  <c r="M149" i="44"/>
  <c r="P149" i="44"/>
  <c r="Q149" i="44" s="1"/>
  <c r="M151" i="44"/>
  <c r="P151" i="44"/>
  <c r="Q151" i="44" s="1"/>
  <c r="L337" i="44"/>
  <c r="R45" i="44"/>
  <c r="M45" i="44"/>
  <c r="N45" i="44"/>
  <c r="O45" i="44" s="1"/>
  <c r="L318" i="44"/>
  <c r="N26" i="44"/>
  <c r="O26" i="44" s="1"/>
  <c r="R26" i="44"/>
  <c r="M26" i="44"/>
  <c r="L378" i="44"/>
  <c r="R86" i="44"/>
  <c r="S86" i="44" s="1"/>
  <c r="M86" i="44"/>
  <c r="N86" i="44"/>
  <c r="O86" i="44" s="1"/>
  <c r="L423" i="44"/>
  <c r="M131" i="44"/>
  <c r="N131" i="44"/>
  <c r="O131" i="44" s="1"/>
  <c r="R131" i="44"/>
  <c r="S131" i="44" s="1"/>
  <c r="N24" i="44"/>
  <c r="O24" i="44" s="1"/>
  <c r="M24" i="44"/>
  <c r="R24" i="44"/>
  <c r="L316" i="44"/>
  <c r="M85" i="44"/>
  <c r="L377" i="44"/>
  <c r="N85" i="44"/>
  <c r="O85" i="44" s="1"/>
  <c r="R85" i="44"/>
  <c r="S85" i="44" s="1"/>
  <c r="L374" i="44"/>
  <c r="R82" i="44"/>
  <c r="M82" i="44"/>
  <c r="N82" i="44"/>
  <c r="O82" i="44" s="1"/>
  <c r="L357" i="44"/>
  <c r="M65" i="44"/>
  <c r="N65" i="44"/>
  <c r="O65" i="44" s="1"/>
  <c r="R65" i="44"/>
  <c r="S65" i="44" s="1"/>
  <c r="L343" i="44"/>
  <c r="M51" i="44"/>
  <c r="N51" i="44"/>
  <c r="O51" i="44" s="1"/>
  <c r="R51" i="44"/>
  <c r="S51" i="44" s="1"/>
  <c r="L356" i="44"/>
  <c r="M64" i="44"/>
  <c r="N64" i="44"/>
  <c r="O64" i="44" s="1"/>
  <c r="R64" i="44"/>
  <c r="S64" i="44" s="1"/>
  <c r="L400" i="44"/>
  <c r="M108" i="44"/>
  <c r="N108" i="44"/>
  <c r="O108" i="44" s="1"/>
  <c r="R108" i="44"/>
  <c r="S108" i="44" s="1"/>
  <c r="R55" i="44"/>
  <c r="M55" i="44"/>
  <c r="L347" i="44"/>
  <c r="N55" i="44"/>
  <c r="O55" i="44" s="1"/>
  <c r="L415" i="44"/>
  <c r="R123" i="44"/>
  <c r="S123" i="44" s="1"/>
  <c r="M123" i="44"/>
  <c r="N123" i="44"/>
  <c r="O123" i="44" s="1"/>
  <c r="N109" i="44"/>
  <c r="O109" i="44" s="1"/>
  <c r="R109" i="44"/>
  <c r="S109" i="44" s="1"/>
  <c r="L401" i="44"/>
  <c r="M109" i="44"/>
  <c r="L418" i="44"/>
  <c r="N126" i="44"/>
  <c r="O126" i="44" s="1"/>
  <c r="R126" i="44"/>
  <c r="S126" i="44" s="1"/>
  <c r="M126" i="44"/>
  <c r="P148" i="44"/>
  <c r="Q148" i="44" s="1"/>
  <c r="M148" i="44"/>
  <c r="L431" i="44"/>
  <c r="M139" i="44"/>
  <c r="N139" i="44"/>
  <c r="O139" i="44" s="1"/>
  <c r="R139" i="44"/>
  <c r="S139" i="44" s="1"/>
  <c r="R113" i="44"/>
  <c r="S113" i="44" s="1"/>
  <c r="L405" i="44"/>
  <c r="M113" i="44"/>
  <c r="N113" i="44"/>
  <c r="O113" i="44" s="1"/>
  <c r="N258" i="44"/>
  <c r="O258" i="44" s="1"/>
  <c r="R258" i="44"/>
  <c r="M258" i="44"/>
  <c r="R257" i="44"/>
  <c r="M257" i="44"/>
  <c r="N257" i="44"/>
  <c r="O257" i="44" s="1"/>
  <c r="O238" i="44"/>
  <c r="R179" i="44"/>
  <c r="S179" i="44" s="1"/>
  <c r="M179" i="44"/>
  <c r="N179" i="44"/>
  <c r="O179" i="44" s="1"/>
  <c r="M200" i="44"/>
  <c r="N200" i="44"/>
  <c r="O200" i="44" s="1"/>
  <c r="R200" i="44"/>
  <c r="S200" i="44" s="1"/>
  <c r="N168" i="44"/>
  <c r="O168" i="44" s="1"/>
  <c r="R168" i="44"/>
  <c r="M168" i="44"/>
  <c r="M203" i="44"/>
  <c r="P203" i="44"/>
  <c r="Q203" i="44" s="1"/>
  <c r="L389" i="44"/>
  <c r="N97" i="44"/>
  <c r="O97" i="44" s="1"/>
  <c r="R97" i="44"/>
  <c r="S97" i="44" s="1"/>
  <c r="M97" i="44"/>
  <c r="M114" i="44"/>
  <c r="L406" i="44"/>
  <c r="N114" i="44"/>
  <c r="O114" i="44" s="1"/>
  <c r="R114" i="44"/>
  <c r="S114" i="44" s="1"/>
  <c r="L384" i="44"/>
  <c r="M92" i="44"/>
  <c r="N92" i="44"/>
  <c r="O92" i="44" s="1"/>
  <c r="R92" i="44"/>
  <c r="S92" i="44" s="1"/>
  <c r="R255" i="44"/>
  <c r="S255" i="44" s="1"/>
  <c r="M255" i="44"/>
  <c r="N255" i="44"/>
  <c r="O255" i="44" s="1"/>
  <c r="N260" i="44"/>
  <c r="O260" i="44" s="1"/>
  <c r="R260" i="44"/>
  <c r="M260" i="44"/>
  <c r="N332" i="44"/>
  <c r="O332" i="44" s="1"/>
  <c r="M332" i="44"/>
  <c r="R332" i="44"/>
  <c r="S332" i="44" s="1"/>
  <c r="L386" i="44"/>
  <c r="R94" i="44"/>
  <c r="S94" i="44" s="1"/>
  <c r="M94" i="44"/>
  <c r="N94" i="44"/>
  <c r="M67" i="44"/>
  <c r="N67" i="44"/>
  <c r="O67" i="44" s="1"/>
  <c r="L359" i="44"/>
  <c r="R67" i="44"/>
  <c r="L380" i="44"/>
  <c r="M88" i="44"/>
  <c r="N88" i="44"/>
  <c r="O88" i="44" s="1"/>
  <c r="R88" i="44"/>
  <c r="M28" i="44"/>
  <c r="P28" i="44"/>
  <c r="Q28" i="44" s="1"/>
  <c r="Q29" i="44" s="1"/>
  <c r="M133" i="44"/>
  <c r="L425" i="44"/>
  <c r="N133" i="44"/>
  <c r="R133" i="44"/>
  <c r="S133" i="44" s="1"/>
  <c r="R144" i="44"/>
  <c r="S144" i="44" s="1"/>
  <c r="L436" i="44"/>
  <c r="M144" i="44"/>
  <c r="N144" i="44"/>
  <c r="O144" i="44" s="1"/>
  <c r="L396" i="44"/>
  <c r="M104" i="44"/>
  <c r="N104" i="44"/>
  <c r="O104" i="44" s="1"/>
  <c r="R104" i="44"/>
  <c r="S104" i="44" s="1"/>
  <c r="M78" i="44"/>
  <c r="N78" i="44"/>
  <c r="O78" i="44" s="1"/>
  <c r="L370" i="44"/>
  <c r="R78" i="44"/>
  <c r="S78" i="44" s="1"/>
  <c r="P71" i="44"/>
  <c r="Q71" i="44" s="1"/>
  <c r="L373" i="44"/>
  <c r="N81" i="44"/>
  <c r="O81" i="44" s="1"/>
  <c r="R81" i="44"/>
  <c r="S81" i="44" s="1"/>
  <c r="M81" i="44"/>
  <c r="L312" i="44"/>
  <c r="N20" i="44"/>
  <c r="O20" i="44" s="1"/>
  <c r="M20" i="44"/>
  <c r="R20" i="44"/>
  <c r="L371" i="44"/>
  <c r="N79" i="44"/>
  <c r="O79" i="44" s="1"/>
  <c r="M79" i="44"/>
  <c r="R79" i="44"/>
  <c r="N122" i="44"/>
  <c r="O122" i="44" s="1"/>
  <c r="R122" i="44"/>
  <c r="S122" i="44" s="1"/>
  <c r="M122" i="44"/>
  <c r="L414" i="44"/>
  <c r="L360" i="44"/>
  <c r="M68" i="44"/>
  <c r="R68" i="44"/>
  <c r="S68" i="44" s="1"/>
  <c r="N68" i="44"/>
  <c r="O68" i="44" s="1"/>
  <c r="L375" i="44"/>
  <c r="M83" i="44"/>
  <c r="N83" i="44"/>
  <c r="O83" i="44" s="1"/>
  <c r="R83" i="44"/>
  <c r="M128" i="44"/>
  <c r="P128" i="44"/>
  <c r="Q128" i="44" s="1"/>
  <c r="Q129" i="44" s="1"/>
  <c r="M59" i="44"/>
  <c r="N59" i="44"/>
  <c r="O59" i="44" s="1"/>
  <c r="L351" i="44"/>
  <c r="R59" i="44"/>
  <c r="S59" i="44" s="1"/>
  <c r="L342" i="44"/>
  <c r="M50" i="44"/>
  <c r="N50" i="44"/>
  <c r="O50" i="44" s="1"/>
  <c r="R50" i="44"/>
  <c r="S50" i="44" s="1"/>
  <c r="P99" i="44"/>
  <c r="Q99" i="44" s="1"/>
  <c r="M99" i="44"/>
  <c r="R253" i="44"/>
  <c r="S253" i="44" s="1"/>
  <c r="M253" i="44"/>
  <c r="N253" i="44"/>
  <c r="O253" i="44" s="1"/>
  <c r="O117" i="44" l="1"/>
  <c r="S117" i="44"/>
  <c r="M117" i="44"/>
  <c r="W117" i="44" s="1"/>
  <c r="M48" i="44"/>
  <c r="O228" i="44"/>
  <c r="S280" i="44"/>
  <c r="S228" i="44"/>
  <c r="U280" i="44"/>
  <c r="S83" i="44"/>
  <c r="T83" i="44"/>
  <c r="U83" i="44" s="1"/>
  <c r="S196" i="44"/>
  <c r="T196" i="44"/>
  <c r="U196" i="44" s="1"/>
  <c r="S174" i="44"/>
  <c r="T174" i="44"/>
  <c r="U174" i="44" s="1"/>
  <c r="S24" i="44"/>
  <c r="T24" i="44"/>
  <c r="U24" i="44" s="1"/>
  <c r="S254" i="44"/>
  <c r="T254" i="44"/>
  <c r="U254" i="44" s="1"/>
  <c r="S259" i="44"/>
  <c r="T259" i="44"/>
  <c r="U259" i="44" s="1"/>
  <c r="S44" i="44"/>
  <c r="T44" i="44"/>
  <c r="U44" i="44" s="1"/>
  <c r="S88" i="44"/>
  <c r="T88" i="44"/>
  <c r="U88" i="44" s="1"/>
  <c r="O94" i="44"/>
  <c r="T96" i="44"/>
  <c r="U96" i="44" s="1"/>
  <c r="T95" i="44"/>
  <c r="U95" i="44" s="1"/>
  <c r="T97" i="44"/>
  <c r="U97" i="44" s="1"/>
  <c r="S260" i="44"/>
  <c r="T260" i="44"/>
  <c r="U260" i="44" s="1"/>
  <c r="S257" i="44"/>
  <c r="T257" i="44"/>
  <c r="U257" i="44" s="1"/>
  <c r="S82" i="44"/>
  <c r="T82" i="44"/>
  <c r="U82" i="44" s="1"/>
  <c r="S45" i="44"/>
  <c r="T45" i="44"/>
  <c r="U45" i="44" s="1"/>
  <c r="S31" i="44"/>
  <c r="S32" i="44" s="1"/>
  <c r="T31" i="44"/>
  <c r="U31" i="44" s="1"/>
  <c r="U32" i="44" s="1"/>
  <c r="S252" i="44"/>
  <c r="T252" i="44"/>
  <c r="U252" i="44" s="1"/>
  <c r="S175" i="44"/>
  <c r="T175" i="44"/>
  <c r="U175" i="44" s="1"/>
  <c r="S146" i="44"/>
  <c r="T146" i="44"/>
  <c r="U146" i="44" s="1"/>
  <c r="O38" i="44"/>
  <c r="O42" i="44" s="1"/>
  <c r="T39" i="44"/>
  <c r="U39" i="44" s="1"/>
  <c r="U42" i="44" s="1"/>
  <c r="S47" i="44"/>
  <c r="T47" i="44"/>
  <c r="U47" i="44" s="1"/>
  <c r="O84" i="44"/>
  <c r="T85" i="44"/>
  <c r="U85" i="44" s="1"/>
  <c r="S172" i="44"/>
  <c r="T172" i="44"/>
  <c r="U172" i="44" s="1"/>
  <c r="S125" i="44"/>
  <c r="S129" i="44" s="1"/>
  <c r="T125" i="44"/>
  <c r="U125" i="44" s="1"/>
  <c r="U129" i="44" s="1"/>
  <c r="Q98" i="44"/>
  <c r="Q101" i="44" s="1"/>
  <c r="T87" i="44"/>
  <c r="U87" i="44" s="1"/>
  <c r="S79" i="44"/>
  <c r="T79" i="44"/>
  <c r="U79" i="44" s="1"/>
  <c r="S258" i="44"/>
  <c r="T258" i="44"/>
  <c r="U258" i="44" s="1"/>
  <c r="S251" i="44"/>
  <c r="T251" i="44"/>
  <c r="U251" i="44" s="1"/>
  <c r="O80" i="44"/>
  <c r="T90" i="44"/>
  <c r="U90" i="44" s="1"/>
  <c r="O170" i="44"/>
  <c r="T171" i="44"/>
  <c r="U171" i="44" s="1"/>
  <c r="S147" i="44"/>
  <c r="T147" i="44"/>
  <c r="U147" i="44" s="1"/>
  <c r="U228" i="44"/>
  <c r="S26" i="44"/>
  <c r="T26" i="44"/>
  <c r="U26" i="44" s="1"/>
  <c r="O177" i="44"/>
  <c r="T176" i="44"/>
  <c r="U176" i="44" s="1"/>
  <c r="O133" i="44"/>
  <c r="O136" i="44" s="1"/>
  <c r="T132" i="44"/>
  <c r="U132" i="44" s="1"/>
  <c r="U136" i="44" s="1"/>
  <c r="S67" i="44"/>
  <c r="T67" i="44"/>
  <c r="U67" i="44" s="1"/>
  <c r="S256" i="44"/>
  <c r="T256" i="44"/>
  <c r="U256" i="44" s="1"/>
  <c r="S261" i="44"/>
  <c r="T261" i="44"/>
  <c r="U261" i="44" s="1"/>
  <c r="O181" i="44"/>
  <c r="T180" i="44"/>
  <c r="U180" i="44" s="1"/>
  <c r="T182" i="44"/>
  <c r="U182" i="44" s="1"/>
  <c r="S20" i="44"/>
  <c r="T20" i="44"/>
  <c r="U20" i="44" s="1"/>
  <c r="S168" i="44"/>
  <c r="T168" i="44"/>
  <c r="U168" i="44" s="1"/>
  <c r="S55" i="44"/>
  <c r="T55" i="44"/>
  <c r="U55" i="44" s="1"/>
  <c r="S18" i="44"/>
  <c r="T18" i="44"/>
  <c r="U18" i="44" s="1"/>
  <c r="S54" i="44"/>
  <c r="T54" i="44"/>
  <c r="U54" i="44" s="1"/>
  <c r="S19" i="44"/>
  <c r="T19" i="44"/>
  <c r="U19" i="44" s="1"/>
  <c r="M136" i="44"/>
  <c r="G18" i="52" s="1"/>
  <c r="S136" i="44"/>
  <c r="M129" i="44"/>
  <c r="G23" i="52" s="1"/>
  <c r="Q210" i="44"/>
  <c r="Q307" i="44" s="1"/>
  <c r="J13" i="46" s="1"/>
  <c r="M52" i="44"/>
  <c r="M42" i="44"/>
  <c r="G16" i="52" s="1"/>
  <c r="O52" i="44"/>
  <c r="S42" i="44"/>
  <c r="O56" i="44"/>
  <c r="M276" i="44"/>
  <c r="G20" i="52"/>
  <c r="M56" i="44"/>
  <c r="M29" i="44"/>
  <c r="G15" i="52" s="1"/>
  <c r="O129" i="44"/>
  <c r="O153" i="44"/>
  <c r="O29" i="44"/>
  <c r="O22" i="44"/>
  <c r="M101" i="44"/>
  <c r="G21" i="52" s="1"/>
  <c r="O48" i="44"/>
  <c r="M22" i="44"/>
  <c r="G14" i="52" s="1"/>
  <c r="S52" i="44"/>
  <c r="O276" i="44"/>
  <c r="M210" i="44"/>
  <c r="M316" i="44"/>
  <c r="R316" i="44"/>
  <c r="N316" i="44"/>
  <c r="O316" i="44" s="1"/>
  <c r="N346" i="44"/>
  <c r="O346" i="44" s="1"/>
  <c r="R346" i="44"/>
  <c r="M346" i="44"/>
  <c r="M362" i="44"/>
  <c r="N362" i="44"/>
  <c r="O362" i="44" s="1"/>
  <c r="R362" i="44"/>
  <c r="S362" i="44" s="1"/>
  <c r="M371" i="44"/>
  <c r="N371" i="44"/>
  <c r="O371" i="44" s="1"/>
  <c r="R371" i="44"/>
  <c r="R384" i="44"/>
  <c r="S384" i="44" s="1"/>
  <c r="M384" i="44"/>
  <c r="N384" i="44"/>
  <c r="O384" i="44" s="1"/>
  <c r="R336" i="44"/>
  <c r="M336" i="44"/>
  <c r="N336" i="44"/>
  <c r="O336" i="44" s="1"/>
  <c r="M317" i="44"/>
  <c r="R317" i="44"/>
  <c r="S317" i="44" s="1"/>
  <c r="N317" i="44"/>
  <c r="O317" i="44" s="1"/>
  <c r="R434" i="44"/>
  <c r="S434" i="44" s="1"/>
  <c r="N434" i="44"/>
  <c r="O434" i="44" s="1"/>
  <c r="M434" i="44"/>
  <c r="M310" i="44"/>
  <c r="N310" i="44"/>
  <c r="O310" i="44" s="1"/>
  <c r="R310" i="44"/>
  <c r="N407" i="44"/>
  <c r="O407" i="44" s="1"/>
  <c r="R407" i="44"/>
  <c r="S407" i="44" s="1"/>
  <c r="M407" i="44"/>
  <c r="N412" i="44"/>
  <c r="O412" i="44" s="1"/>
  <c r="R412" i="44"/>
  <c r="S412" i="44" s="1"/>
  <c r="M412" i="44"/>
  <c r="N330" i="44"/>
  <c r="R330" i="44"/>
  <c r="S330" i="44" s="1"/>
  <c r="M330" i="44"/>
  <c r="N354" i="44"/>
  <c r="O354" i="44" s="1"/>
  <c r="R354" i="44"/>
  <c r="S354" i="44" s="1"/>
  <c r="M354" i="44"/>
  <c r="N69" i="44"/>
  <c r="O69" i="44" s="1"/>
  <c r="O73" i="44" s="1"/>
  <c r="R69" i="44"/>
  <c r="S69" i="44" s="1"/>
  <c r="L361" i="44"/>
  <c r="M69" i="44"/>
  <c r="M73" i="44" s="1"/>
  <c r="M342" i="44"/>
  <c r="N342" i="44"/>
  <c r="O342" i="44" s="1"/>
  <c r="R342" i="44"/>
  <c r="S342" i="44" s="1"/>
  <c r="R416" i="44"/>
  <c r="S416" i="44" s="1"/>
  <c r="N416" i="44"/>
  <c r="O416" i="44" s="1"/>
  <c r="M416" i="44"/>
  <c r="R411" i="44"/>
  <c r="S411" i="44" s="1"/>
  <c r="M411" i="44"/>
  <c r="N411" i="44"/>
  <c r="O411" i="44" s="1"/>
  <c r="N311" i="44"/>
  <c r="O311" i="44" s="1"/>
  <c r="R311" i="44"/>
  <c r="M311" i="44"/>
  <c r="N432" i="44"/>
  <c r="O432" i="44" s="1"/>
  <c r="R432" i="44"/>
  <c r="S432" i="44" s="1"/>
  <c r="M432" i="44"/>
  <c r="M331" i="44"/>
  <c r="N331" i="44"/>
  <c r="O331" i="44" s="1"/>
  <c r="R331" i="44"/>
  <c r="S331" i="44" s="1"/>
  <c r="M435" i="44"/>
  <c r="R435" i="44"/>
  <c r="S435" i="44" s="1"/>
  <c r="N435" i="44"/>
  <c r="O435" i="44" s="1"/>
  <c r="R414" i="44"/>
  <c r="S414" i="44" s="1"/>
  <c r="N414" i="44"/>
  <c r="O414" i="44" s="1"/>
  <c r="M414" i="44"/>
  <c r="M152" i="44"/>
  <c r="M153" i="44" s="1"/>
  <c r="G24" i="52" s="1"/>
  <c r="P152" i="44"/>
  <c r="M425" i="44"/>
  <c r="N425" i="44"/>
  <c r="R425" i="44"/>
  <c r="S425" i="44" s="1"/>
  <c r="R380" i="44"/>
  <c r="M380" i="44"/>
  <c r="N380" i="44"/>
  <c r="O380" i="44" s="1"/>
  <c r="M386" i="44"/>
  <c r="N386" i="44"/>
  <c r="R386" i="44"/>
  <c r="S386" i="44" s="1"/>
  <c r="M418" i="44"/>
  <c r="R418" i="44"/>
  <c r="S418" i="44" s="1"/>
  <c r="N418" i="44"/>
  <c r="O418" i="44" s="1"/>
  <c r="M415" i="44"/>
  <c r="R415" i="44"/>
  <c r="S415" i="44" s="1"/>
  <c r="N415" i="44"/>
  <c r="O415" i="44" s="1"/>
  <c r="M400" i="44"/>
  <c r="N400" i="44"/>
  <c r="O400" i="44" s="1"/>
  <c r="R400" i="44"/>
  <c r="S400" i="44" s="1"/>
  <c r="M343" i="44"/>
  <c r="N343" i="44"/>
  <c r="O343" i="44" s="1"/>
  <c r="R343" i="44"/>
  <c r="S343" i="44" s="1"/>
  <c r="M374" i="44"/>
  <c r="N374" i="44"/>
  <c r="O374" i="44" s="1"/>
  <c r="R374" i="44"/>
  <c r="N378" i="44"/>
  <c r="O378" i="44" s="1"/>
  <c r="R378" i="44"/>
  <c r="S378" i="44" s="1"/>
  <c r="M378" i="44"/>
  <c r="M337" i="44"/>
  <c r="N337" i="44"/>
  <c r="O337" i="44" s="1"/>
  <c r="R337" i="44"/>
  <c r="M438" i="44"/>
  <c r="R438" i="44"/>
  <c r="N438" i="44"/>
  <c r="O438" i="44" s="1"/>
  <c r="N355" i="44"/>
  <c r="O355" i="44" s="1"/>
  <c r="R355" i="44"/>
  <c r="S355" i="44" s="1"/>
  <c r="M355" i="44"/>
  <c r="M358" i="44"/>
  <c r="N358" i="44"/>
  <c r="O358" i="44" s="1"/>
  <c r="R358" i="44"/>
  <c r="S358" i="44" s="1"/>
  <c r="M397" i="44"/>
  <c r="N397" i="44"/>
  <c r="O397" i="44" s="1"/>
  <c r="R397" i="44"/>
  <c r="S397" i="44" s="1"/>
  <c r="M313" i="44"/>
  <c r="N313" i="44"/>
  <c r="O313" i="44" s="1"/>
  <c r="R313" i="44"/>
  <c r="S313" i="44" s="1"/>
  <c r="M413" i="44"/>
  <c r="N413" i="44"/>
  <c r="O413" i="44" s="1"/>
  <c r="R413" i="44"/>
  <c r="S413" i="44" s="1"/>
  <c r="M351" i="44"/>
  <c r="R351" i="44"/>
  <c r="S351" i="44" s="1"/>
  <c r="N351" i="44"/>
  <c r="O351" i="44" s="1"/>
  <c r="M396" i="44"/>
  <c r="R396" i="44"/>
  <c r="S396" i="44" s="1"/>
  <c r="N396" i="44"/>
  <c r="O396" i="44" s="1"/>
  <c r="R406" i="44"/>
  <c r="S406" i="44" s="1"/>
  <c r="M406" i="44"/>
  <c r="N406" i="44"/>
  <c r="O406" i="44" s="1"/>
  <c r="R431" i="44"/>
  <c r="S431" i="44" s="1"/>
  <c r="M431" i="44"/>
  <c r="N431" i="44"/>
  <c r="O431" i="44" s="1"/>
  <c r="M367" i="44"/>
  <c r="M368" i="44" s="1"/>
  <c r="N367" i="44"/>
  <c r="O367" i="44" s="1"/>
  <c r="O368" i="44" s="1"/>
  <c r="R367" i="44"/>
  <c r="S367" i="44" s="1"/>
  <c r="S368" i="44" s="1"/>
  <c r="R388" i="44"/>
  <c r="S388" i="44" s="1"/>
  <c r="M388" i="44"/>
  <c r="N388" i="44"/>
  <c r="O388" i="44" s="1"/>
  <c r="M338" i="44"/>
  <c r="R339" i="44"/>
  <c r="N339" i="44"/>
  <c r="O339" i="44" s="1"/>
  <c r="P72" i="44"/>
  <c r="M375" i="44"/>
  <c r="N375" i="44"/>
  <c r="O375" i="44" s="1"/>
  <c r="R375" i="44"/>
  <c r="M312" i="44"/>
  <c r="N312" i="44"/>
  <c r="O312" i="44" s="1"/>
  <c r="R312" i="44"/>
  <c r="R359" i="44"/>
  <c r="S359" i="44" s="1"/>
  <c r="M359" i="44"/>
  <c r="N359" i="44"/>
  <c r="O359" i="44" s="1"/>
  <c r="M389" i="44"/>
  <c r="N389" i="44"/>
  <c r="O389" i="44" s="1"/>
  <c r="R389" i="44"/>
  <c r="S389" i="44" s="1"/>
  <c r="M401" i="44"/>
  <c r="N401" i="44"/>
  <c r="O401" i="44" s="1"/>
  <c r="R401" i="44"/>
  <c r="S401" i="44" s="1"/>
  <c r="R347" i="44"/>
  <c r="M347" i="44"/>
  <c r="N347" i="44"/>
  <c r="O347" i="44" s="1"/>
  <c r="M323" i="44"/>
  <c r="M324" i="44" s="1"/>
  <c r="N323" i="44"/>
  <c r="O323" i="44" s="1"/>
  <c r="O324" i="44" s="1"/>
  <c r="R323" i="44"/>
  <c r="M395" i="44"/>
  <c r="N395" i="44"/>
  <c r="O395" i="44" s="1"/>
  <c r="R395" i="44"/>
  <c r="S395" i="44" s="1"/>
  <c r="M426" i="44"/>
  <c r="R426" i="44"/>
  <c r="S426" i="44" s="1"/>
  <c r="N426" i="44"/>
  <c r="O426" i="44" s="1"/>
  <c r="N437" i="44"/>
  <c r="O437" i="44" s="1"/>
  <c r="R437" i="44"/>
  <c r="S437" i="44" s="1"/>
  <c r="M437" i="44"/>
  <c r="M319" i="44"/>
  <c r="N319" i="44"/>
  <c r="O319" i="44" s="1"/>
  <c r="R319" i="44"/>
  <c r="S319" i="44" s="1"/>
  <c r="R417" i="44"/>
  <c r="M417" i="44"/>
  <c r="N417" i="44"/>
  <c r="O417" i="44" s="1"/>
  <c r="R379" i="44"/>
  <c r="S379" i="44" s="1"/>
  <c r="M379" i="44"/>
  <c r="N379" i="44"/>
  <c r="O379" i="44" s="1"/>
  <c r="R372" i="44"/>
  <c r="S372" i="44" s="1"/>
  <c r="M372" i="44"/>
  <c r="N372" i="44"/>
  <c r="R383" i="44"/>
  <c r="S383" i="44" s="1"/>
  <c r="M383" i="44"/>
  <c r="N383" i="44"/>
  <c r="O383" i="44" s="1"/>
  <c r="N385" i="44"/>
  <c r="O385" i="44" s="1"/>
  <c r="M385" i="44"/>
  <c r="R385" i="44"/>
  <c r="S385" i="44" s="1"/>
  <c r="N398" i="44"/>
  <c r="O398" i="44" s="1"/>
  <c r="R398" i="44"/>
  <c r="S398" i="44" s="1"/>
  <c r="M398" i="44"/>
  <c r="R402" i="44"/>
  <c r="S402" i="44" s="1"/>
  <c r="M402" i="44"/>
  <c r="N402" i="44"/>
  <c r="O402" i="44" s="1"/>
  <c r="M404" i="44"/>
  <c r="N404" i="44"/>
  <c r="O404" i="44" s="1"/>
  <c r="R404" i="44"/>
  <c r="S404" i="44" s="1"/>
  <c r="N424" i="44"/>
  <c r="O424" i="44" s="1"/>
  <c r="M424" i="44"/>
  <c r="R424" i="44"/>
  <c r="S424" i="44" s="1"/>
  <c r="Q421" i="44"/>
  <c r="R360" i="44"/>
  <c r="S360" i="44" s="1"/>
  <c r="N360" i="44"/>
  <c r="O360" i="44" s="1"/>
  <c r="M360" i="44"/>
  <c r="R373" i="44"/>
  <c r="S373" i="44" s="1"/>
  <c r="N373" i="44"/>
  <c r="O373" i="44" s="1"/>
  <c r="M373" i="44"/>
  <c r="N370" i="44"/>
  <c r="O370" i="44" s="1"/>
  <c r="R370" i="44"/>
  <c r="S370" i="44" s="1"/>
  <c r="M370" i="44"/>
  <c r="N377" i="44"/>
  <c r="O377" i="44" s="1"/>
  <c r="M377" i="44"/>
  <c r="R377" i="44"/>
  <c r="S377" i="44" s="1"/>
  <c r="N399" i="44"/>
  <c r="O399" i="44" s="1"/>
  <c r="M399" i="44"/>
  <c r="R399" i="44"/>
  <c r="S399" i="44" s="1"/>
  <c r="N433" i="44"/>
  <c r="O433" i="44" s="1"/>
  <c r="R433" i="44"/>
  <c r="S433" i="44" s="1"/>
  <c r="M433" i="44"/>
  <c r="R350" i="44"/>
  <c r="S350" i="44" s="1"/>
  <c r="M350" i="44"/>
  <c r="N350" i="44"/>
  <c r="O350" i="44" s="1"/>
  <c r="N430" i="44"/>
  <c r="O430" i="44" s="1"/>
  <c r="R430" i="44"/>
  <c r="S430" i="44" s="1"/>
  <c r="M430" i="44"/>
  <c r="R436" i="44"/>
  <c r="S436" i="44" s="1"/>
  <c r="N436" i="44"/>
  <c r="O436" i="44" s="1"/>
  <c r="M436" i="44"/>
  <c r="Q321" i="44"/>
  <c r="M405" i="44"/>
  <c r="N405" i="44"/>
  <c r="O405" i="44" s="1"/>
  <c r="R405" i="44"/>
  <c r="S405" i="44" s="1"/>
  <c r="N356" i="44"/>
  <c r="O356" i="44" s="1"/>
  <c r="M356" i="44"/>
  <c r="R356" i="44"/>
  <c r="S356" i="44" s="1"/>
  <c r="M357" i="44"/>
  <c r="N357" i="44"/>
  <c r="O357" i="44" s="1"/>
  <c r="R357" i="44"/>
  <c r="S357" i="44" s="1"/>
  <c r="N423" i="44"/>
  <c r="O423" i="44" s="1"/>
  <c r="R423" i="44"/>
  <c r="S423" i="44" s="1"/>
  <c r="M423" i="44"/>
  <c r="M318" i="44"/>
  <c r="R318" i="44"/>
  <c r="N318" i="44"/>
  <c r="O318" i="44" s="1"/>
  <c r="M382" i="44"/>
  <c r="N382" i="44"/>
  <c r="O382" i="44" s="1"/>
  <c r="R382" i="44"/>
  <c r="S382" i="44" s="1"/>
  <c r="R381" i="44"/>
  <c r="S381" i="44" s="1"/>
  <c r="M381" i="44"/>
  <c r="N381" i="44"/>
  <c r="O381" i="44" s="1"/>
  <c r="M387" i="44"/>
  <c r="N387" i="44"/>
  <c r="O387" i="44" s="1"/>
  <c r="R387" i="44"/>
  <c r="S387" i="44" s="1"/>
  <c r="M419" i="44"/>
  <c r="N419" i="44"/>
  <c r="O419" i="44" s="1"/>
  <c r="R419" i="44"/>
  <c r="S419" i="44" s="1"/>
  <c r="M439" i="44"/>
  <c r="N439" i="44"/>
  <c r="O439" i="44" s="1"/>
  <c r="R439" i="44"/>
  <c r="R403" i="44"/>
  <c r="S403" i="44" s="1"/>
  <c r="M403" i="44"/>
  <c r="N403" i="44"/>
  <c r="O403" i="44" s="1"/>
  <c r="R376" i="44"/>
  <c r="S376" i="44" s="1"/>
  <c r="N376" i="44"/>
  <c r="M376" i="44"/>
  <c r="G19" i="52" l="1"/>
  <c r="M409" i="44"/>
  <c r="O409" i="44"/>
  <c r="S409" i="44"/>
  <c r="S101" i="44"/>
  <c r="G17" i="52"/>
  <c r="I18" i="52" s="1"/>
  <c r="S153" i="44"/>
  <c r="S56" i="44"/>
  <c r="I14" i="52"/>
  <c r="I16" i="52"/>
  <c r="I15" i="52"/>
  <c r="I13" i="52"/>
  <c r="S29" i="44"/>
  <c r="W29" i="44" s="1"/>
  <c r="I23" i="52"/>
  <c r="I21" i="52"/>
  <c r="I20" i="52"/>
  <c r="I19" i="52"/>
  <c r="I22" i="52"/>
  <c r="I24" i="52"/>
  <c r="S22" i="44"/>
  <c r="W22" i="44" s="1"/>
  <c r="S48" i="44"/>
  <c r="M154" i="44"/>
  <c r="H12" i="46" s="1"/>
  <c r="S276" i="44"/>
  <c r="S210" i="44"/>
  <c r="O210" i="44"/>
  <c r="O307" i="44" s="1"/>
  <c r="I13" i="46" s="1"/>
  <c r="O101" i="44"/>
  <c r="S73" i="44"/>
  <c r="U276" i="44"/>
  <c r="U56" i="44"/>
  <c r="S346" i="44"/>
  <c r="T346" i="44"/>
  <c r="U346" i="44" s="1"/>
  <c r="U29" i="44"/>
  <c r="O372" i="44"/>
  <c r="T382" i="44"/>
  <c r="U382" i="44" s="1"/>
  <c r="S371" i="44"/>
  <c r="T371" i="44"/>
  <c r="U371" i="44" s="1"/>
  <c r="O386" i="44"/>
  <c r="T389" i="44"/>
  <c r="U389" i="44" s="1"/>
  <c r="T388" i="44"/>
  <c r="U388" i="44" s="1"/>
  <c r="T387" i="44"/>
  <c r="U387" i="44" s="1"/>
  <c r="Q72" i="44"/>
  <c r="Q73" i="44" s="1"/>
  <c r="T58" i="44"/>
  <c r="U58" i="44" s="1"/>
  <c r="U73" i="44" s="1"/>
  <c r="S337" i="44"/>
  <c r="T337" i="44"/>
  <c r="U337" i="44" s="1"/>
  <c r="S310" i="44"/>
  <c r="T310" i="44"/>
  <c r="U310" i="44" s="1"/>
  <c r="U22" i="44"/>
  <c r="U48" i="44"/>
  <c r="S417" i="44"/>
  <c r="S421" i="44" s="1"/>
  <c r="T417" i="44"/>
  <c r="U417" i="44" s="1"/>
  <c r="U421" i="44" s="1"/>
  <c r="Q152" i="44"/>
  <c r="Q153" i="44" s="1"/>
  <c r="T141" i="44"/>
  <c r="U141" i="44" s="1"/>
  <c r="U153" i="44" s="1"/>
  <c r="S439" i="44"/>
  <c r="T439" i="44"/>
  <c r="U439" i="44" s="1"/>
  <c r="S318" i="44"/>
  <c r="T318" i="44"/>
  <c r="U318" i="44" s="1"/>
  <c r="O330" i="44"/>
  <c r="O334" i="44" s="1"/>
  <c r="T331" i="44"/>
  <c r="U331" i="44" s="1"/>
  <c r="U334" i="44" s="1"/>
  <c r="S316" i="44"/>
  <c r="T316" i="44"/>
  <c r="U316" i="44" s="1"/>
  <c r="S438" i="44"/>
  <c r="S445" i="44" s="1"/>
  <c r="T438" i="44"/>
  <c r="U438" i="44" s="1"/>
  <c r="S347" i="44"/>
  <c r="T347" i="44"/>
  <c r="U347" i="44" s="1"/>
  <c r="S312" i="44"/>
  <c r="T312" i="44"/>
  <c r="U312" i="44" s="1"/>
  <c r="S339" i="44"/>
  <c r="T339" i="44"/>
  <c r="U339" i="44" s="1"/>
  <c r="S380" i="44"/>
  <c r="T380" i="44"/>
  <c r="U380" i="44" s="1"/>
  <c r="S336" i="44"/>
  <c r="T336" i="44"/>
  <c r="U336" i="44" s="1"/>
  <c r="U101" i="44"/>
  <c r="S374" i="44"/>
  <c r="T374" i="44"/>
  <c r="U374" i="44" s="1"/>
  <c r="S323" i="44"/>
  <c r="S324" i="44" s="1"/>
  <c r="T323" i="44"/>
  <c r="U323" i="44" s="1"/>
  <c r="U324" i="44" s="1"/>
  <c r="O425" i="44"/>
  <c r="O428" i="44" s="1"/>
  <c r="T424" i="44"/>
  <c r="U424" i="44" s="1"/>
  <c r="U428" i="44" s="1"/>
  <c r="U210" i="44"/>
  <c r="M428" i="44"/>
  <c r="O376" i="44"/>
  <c r="T377" i="44"/>
  <c r="U377" i="44" s="1"/>
  <c r="S375" i="44"/>
  <c r="T375" i="44"/>
  <c r="U375" i="44" s="1"/>
  <c r="S311" i="44"/>
  <c r="T311" i="44"/>
  <c r="U311" i="44" s="1"/>
  <c r="S428" i="44"/>
  <c r="S334" i="44"/>
  <c r="M334" i="44"/>
  <c r="M307" i="44"/>
  <c r="H13" i="46" s="1"/>
  <c r="M348" i="44"/>
  <c r="O340" i="44"/>
  <c r="M340" i="44"/>
  <c r="M393" i="44"/>
  <c r="Q393" i="44"/>
  <c r="Q365" i="44"/>
  <c r="M344" i="44"/>
  <c r="Q445" i="44"/>
  <c r="M445" i="44"/>
  <c r="O321" i="44"/>
  <c r="M361" i="44"/>
  <c r="R361" i="44"/>
  <c r="S361" i="44" s="1"/>
  <c r="S365" i="44" s="1"/>
  <c r="N361" i="44"/>
  <c r="O361" i="44" s="1"/>
  <c r="O365" i="44" s="1"/>
  <c r="O421" i="44"/>
  <c r="M321" i="44"/>
  <c r="W32" i="44"/>
  <c r="M421" i="44"/>
  <c r="O314" i="44"/>
  <c r="M314" i="44"/>
  <c r="S344" i="44"/>
  <c r="O348" i="44"/>
  <c r="O445" i="44"/>
  <c r="O344" i="44"/>
  <c r="U445" i="44" l="1"/>
  <c r="I17" i="52"/>
  <c r="S321" i="44"/>
  <c r="S307" i="44"/>
  <c r="K13" i="46" s="1"/>
  <c r="Q446" i="44"/>
  <c r="J14" i="46" s="1"/>
  <c r="U154" i="44"/>
  <c r="L12" i="46" s="1"/>
  <c r="Q154" i="44"/>
  <c r="J12" i="46" s="1"/>
  <c r="O154" i="44"/>
  <c r="I12" i="46" s="1"/>
  <c r="S154" i="44"/>
  <c r="K12" i="46" s="1"/>
  <c r="G25" i="52"/>
  <c r="U307" i="44"/>
  <c r="L13" i="46" s="1"/>
  <c r="S314" i="44"/>
  <c r="W314" i="44" s="1"/>
  <c r="O393" i="44"/>
  <c r="O446" i="44" s="1"/>
  <c r="S348" i="44"/>
  <c r="S340" i="44"/>
  <c r="U321" i="44"/>
  <c r="U393" i="44"/>
  <c r="S393" i="44"/>
  <c r="U340" i="44"/>
  <c r="U348" i="44"/>
  <c r="U314" i="44"/>
  <c r="M365" i="44"/>
  <c r="M446" i="44" s="1"/>
  <c r="K23" i="46"/>
  <c r="W321" i="44"/>
  <c r="G26" i="52" l="1"/>
  <c r="H14" i="46"/>
  <c r="U446" i="44"/>
  <c r="L14" i="46" s="1"/>
  <c r="L15" i="46" s="1"/>
  <c r="S446" i="44"/>
  <c r="K14" i="46" s="1"/>
  <c r="K15" i="46" s="1"/>
  <c r="K16" i="46" s="1"/>
  <c r="K22" i="46"/>
  <c r="I14" i="46"/>
  <c r="I15" i="46" s="1"/>
  <c r="I16" i="46" s="1"/>
  <c r="I25" i="52"/>
  <c r="I26" i="52"/>
  <c r="J15" i="46"/>
  <c r="H15" i="46" l="1"/>
  <c r="K24" i="46"/>
  <c r="L17" i="46"/>
  <c r="L16" i="46"/>
  <c r="K17" i="46"/>
  <c r="I17" i="46"/>
  <c r="J16" i="46"/>
  <c r="J17" i="46"/>
  <c r="H16" i="46" l="1"/>
  <c r="H17" i="46"/>
  <c r="K25" i="46"/>
  <c r="L18" i="46"/>
  <c r="L20" i="46" s="1"/>
  <c r="K18" i="46"/>
  <c r="J18" i="46"/>
  <c r="I18" i="46"/>
  <c r="I20" i="46" s="1"/>
  <c r="G27" i="52" l="1"/>
  <c r="I27" i="52" s="1"/>
  <c r="I46" i="52" s="1"/>
  <c r="H18" i="46"/>
  <c r="D10" i="52" s="1"/>
  <c r="K20" i="46"/>
  <c r="J20" i="46"/>
  <c r="H13" i="52" l="1"/>
  <c r="H15" i="52"/>
  <c r="H20" i="46"/>
  <c r="M18" i="46"/>
  <c r="H22" i="46"/>
  <c r="H23" i="46" s="1"/>
  <c r="H22" i="52"/>
  <c r="H18" i="52"/>
  <c r="H14" i="52"/>
  <c r="K10" i="52"/>
  <c r="H21" i="52"/>
  <c r="H17" i="52"/>
  <c r="H25" i="52"/>
  <c r="H16" i="52"/>
  <c r="H19" i="52"/>
  <c r="H20" i="52"/>
  <c r="H23" i="52"/>
  <c r="H24" i="52"/>
  <c r="H26" i="52"/>
  <c r="H27" i="52"/>
  <c r="J27" i="52" s="1"/>
  <c r="N116" i="7"/>
  <c r="O116" i="7" s="1"/>
  <c r="L341" i="7"/>
  <c r="R116" i="7"/>
  <c r="M116" i="7"/>
  <c r="N225" i="7"/>
  <c r="O225" i="7" s="1"/>
  <c r="M225" i="7"/>
  <c r="R225" i="7"/>
  <c r="S225" i="7" s="1"/>
  <c r="R219" i="7"/>
  <c r="S219" i="7" s="1"/>
  <c r="N219" i="7"/>
  <c r="O219" i="7" s="1"/>
  <c r="M219" i="7"/>
  <c r="M173" i="7"/>
  <c r="R173" i="7"/>
  <c r="S173" i="7" s="1"/>
  <c r="N173" i="7"/>
  <c r="O173" i="7" s="1"/>
  <c r="L344" i="7"/>
  <c r="R119" i="7"/>
  <c r="S119" i="7" s="1"/>
  <c r="N119" i="7"/>
  <c r="O119" i="7" s="1"/>
  <c r="M119" i="7"/>
  <c r="R220" i="7"/>
  <c r="N220" i="7"/>
  <c r="O220" i="7" s="1"/>
  <c r="M220" i="7"/>
  <c r="R55" i="7"/>
  <c r="S55" i="7" s="1"/>
  <c r="M55" i="7"/>
  <c r="N55" i="7"/>
  <c r="O55" i="7" s="1"/>
  <c r="L280" i="7"/>
  <c r="L338" i="7"/>
  <c r="M113" i="7"/>
  <c r="N113" i="7"/>
  <c r="O113" i="7" s="1"/>
  <c r="R113" i="7"/>
  <c r="S113" i="7" s="1"/>
  <c r="L339" i="7"/>
  <c r="R114" i="7"/>
  <c r="S114" i="7" s="1"/>
  <c r="N114" i="7"/>
  <c r="O114" i="7" s="1"/>
  <c r="M114" i="7"/>
  <c r="L340" i="7"/>
  <c r="N115" i="7"/>
  <c r="O115" i="7" s="1"/>
  <c r="R115" i="7"/>
  <c r="M115" i="7"/>
  <c r="R222" i="7"/>
  <c r="N222" i="7"/>
  <c r="O222" i="7" s="1"/>
  <c r="M222" i="7"/>
  <c r="N123" i="7"/>
  <c r="O123" i="7" s="1"/>
  <c r="M123" i="7"/>
  <c r="L348" i="7"/>
  <c r="R123" i="7"/>
  <c r="S123" i="7" s="1"/>
  <c r="J17" i="52" l="1"/>
  <c r="J25" i="52"/>
  <c r="J13" i="52"/>
  <c r="H46" i="52"/>
  <c r="J19" i="52"/>
  <c r="S222" i="7"/>
  <c r="T222" i="7"/>
  <c r="U222" i="7" s="1"/>
  <c r="S115" i="7"/>
  <c r="T115" i="7"/>
  <c r="U115" i="7" s="1"/>
  <c r="S116" i="7"/>
  <c r="T116" i="7"/>
  <c r="U116" i="7" s="1"/>
  <c r="S220" i="7"/>
  <c r="T220" i="7"/>
  <c r="U220" i="7" s="1"/>
  <c r="M48" i="7"/>
  <c r="L273" i="7"/>
  <c r="P48" i="7"/>
  <c r="Q48" i="7" s="1"/>
  <c r="M147" i="7"/>
  <c r="P147" i="7"/>
  <c r="Q147" i="7" s="1"/>
  <c r="P82" i="7"/>
  <c r="Q82" i="7" s="1"/>
  <c r="L307" i="7"/>
  <c r="M82" i="7"/>
  <c r="R209" i="7"/>
  <c r="S209" i="7" s="1"/>
  <c r="N209" i="7"/>
  <c r="O209" i="7" s="1"/>
  <c r="M209" i="7"/>
  <c r="M214" i="7"/>
  <c r="N214" i="7"/>
  <c r="O214" i="7" s="1"/>
  <c r="R214" i="7"/>
  <c r="S214" i="7" s="1"/>
  <c r="M100" i="7"/>
  <c r="L325" i="7"/>
  <c r="P100" i="7"/>
  <c r="Q100" i="7" s="1"/>
  <c r="N46" i="7"/>
  <c r="O46" i="7" s="1"/>
  <c r="M46" i="7"/>
  <c r="R46" i="7"/>
  <c r="S46" i="7" s="1"/>
  <c r="L271" i="7"/>
  <c r="R198" i="7"/>
  <c r="N198" i="7"/>
  <c r="O198" i="7" s="1"/>
  <c r="M198" i="7"/>
  <c r="N85" i="7"/>
  <c r="O85" i="7" s="1"/>
  <c r="R85" i="7"/>
  <c r="S85" i="7" s="1"/>
  <c r="L310" i="7"/>
  <c r="M85" i="7"/>
  <c r="R223" i="7"/>
  <c r="S223" i="7" s="1"/>
  <c r="N223" i="7"/>
  <c r="O223" i="7" s="1"/>
  <c r="M223" i="7"/>
  <c r="L258" i="7"/>
  <c r="R33" i="7"/>
  <c r="N33" i="7"/>
  <c r="O33" i="7" s="1"/>
  <c r="M33" i="7"/>
  <c r="M64" i="7"/>
  <c r="L289" i="7"/>
  <c r="R64" i="7"/>
  <c r="S64" i="7" s="1"/>
  <c r="N64" i="7"/>
  <c r="O64" i="7" s="1"/>
  <c r="L255" i="7"/>
  <c r="R30" i="7"/>
  <c r="N30" i="7"/>
  <c r="O30" i="7" s="1"/>
  <c r="M30" i="7"/>
  <c r="M36" i="7"/>
  <c r="L261" i="7"/>
  <c r="P36" i="7"/>
  <c r="Q36" i="7" s="1"/>
  <c r="M191" i="7"/>
  <c r="P191" i="7"/>
  <c r="Q191" i="7" s="1"/>
  <c r="N19" i="7"/>
  <c r="O19" i="7" s="1"/>
  <c r="R19" i="7"/>
  <c r="S19" i="7" s="1"/>
  <c r="M19" i="7"/>
  <c r="L244" i="7"/>
  <c r="L264" i="7"/>
  <c r="M39" i="7"/>
  <c r="N39" i="7"/>
  <c r="O39" i="7" s="1"/>
  <c r="R39" i="7"/>
  <c r="S39" i="7" s="1"/>
  <c r="L305" i="7"/>
  <c r="R80" i="7"/>
  <c r="S80" i="7" s="1"/>
  <c r="N80" i="7"/>
  <c r="O80" i="7" s="1"/>
  <c r="M80" i="7"/>
  <c r="Q80" i="7"/>
  <c r="M96" i="7"/>
  <c r="N96" i="7"/>
  <c r="O96" i="7" s="1"/>
  <c r="L321" i="7"/>
  <c r="R96" i="7"/>
  <c r="S96" i="7" s="1"/>
  <c r="P167" i="7"/>
  <c r="Q167" i="7" s="1"/>
  <c r="M167" i="7"/>
  <c r="L270" i="7"/>
  <c r="R45" i="7"/>
  <c r="S45" i="7" s="1"/>
  <c r="N45" i="7"/>
  <c r="O45" i="7" s="1"/>
  <c r="M45" i="7"/>
  <c r="M148" i="7"/>
  <c r="P148" i="7"/>
  <c r="Q148" i="7" s="1"/>
  <c r="M172" i="7"/>
  <c r="N172" i="7"/>
  <c r="O172" i="7" s="1"/>
  <c r="R172" i="7"/>
  <c r="P166" i="7"/>
  <c r="Q166" i="7" s="1"/>
  <c r="M166" i="7"/>
  <c r="R138" i="7"/>
  <c r="N138" i="7"/>
  <c r="O138" i="7" s="1"/>
  <c r="M138" i="7"/>
  <c r="N43" i="7"/>
  <c r="O43" i="7" s="1"/>
  <c r="M43" i="7"/>
  <c r="L268" i="7"/>
  <c r="R43" i="7"/>
  <c r="M208" i="7"/>
  <c r="R208" i="7"/>
  <c r="N208" i="7"/>
  <c r="O208" i="7" s="1"/>
  <c r="R183" i="7"/>
  <c r="N183" i="7"/>
  <c r="O183" i="7" s="1"/>
  <c r="M183" i="7"/>
  <c r="L284" i="7"/>
  <c r="M59" i="7"/>
  <c r="N59" i="7"/>
  <c r="O59" i="7" s="1"/>
  <c r="R59" i="7"/>
  <c r="L315" i="7"/>
  <c r="R90" i="7"/>
  <c r="S90" i="7" s="1"/>
  <c r="N90" i="7"/>
  <c r="O90" i="7" s="1"/>
  <c r="M90" i="7"/>
  <c r="R132" i="7"/>
  <c r="N132" i="7"/>
  <c r="O132" i="7" s="1"/>
  <c r="M132" i="7"/>
  <c r="R47" i="7"/>
  <c r="S47" i="7" s="1"/>
  <c r="N47" i="7"/>
  <c r="O47" i="7" s="1"/>
  <c r="L272" i="7"/>
  <c r="M47" i="7"/>
  <c r="R121" i="7"/>
  <c r="S121" i="7" s="1"/>
  <c r="M121" i="7"/>
  <c r="N121" i="7"/>
  <c r="O121" i="7" s="1"/>
  <c r="L346" i="7"/>
  <c r="L332" i="7"/>
  <c r="N107" i="7"/>
  <c r="O107" i="7" s="1"/>
  <c r="R107" i="7"/>
  <c r="S107" i="7" s="1"/>
  <c r="M107" i="7"/>
  <c r="M149" i="7"/>
  <c r="P149" i="7"/>
  <c r="Q149" i="7" s="1"/>
  <c r="R18" i="7"/>
  <c r="M18" i="7"/>
  <c r="L243" i="7"/>
  <c r="W243" i="7" s="1"/>
  <c r="Y243" i="7" s="1"/>
  <c r="N18" i="7"/>
  <c r="O18" i="7" s="1"/>
  <c r="N61" i="7"/>
  <c r="O61" i="7" s="1"/>
  <c r="M61" i="7"/>
  <c r="R61" i="7"/>
  <c r="L286" i="7"/>
  <c r="N164" i="7"/>
  <c r="O164" i="7" s="1"/>
  <c r="R164" i="7"/>
  <c r="M164" i="7"/>
  <c r="N344" i="7"/>
  <c r="O344" i="7" s="1"/>
  <c r="M344" i="7"/>
  <c r="R344" i="7"/>
  <c r="S344" i="7" s="1"/>
  <c r="N178" i="7"/>
  <c r="O178" i="7" s="1"/>
  <c r="R178" i="7"/>
  <c r="S178" i="7" s="1"/>
  <c r="M178" i="7"/>
  <c r="M180" i="7"/>
  <c r="R180" i="7"/>
  <c r="S180" i="7" s="1"/>
  <c r="N180" i="7"/>
  <c r="O180" i="7" s="1"/>
  <c r="N207" i="7"/>
  <c r="O207" i="7" s="1"/>
  <c r="R207" i="7"/>
  <c r="S207" i="7" s="1"/>
  <c r="M207" i="7"/>
  <c r="N122" i="7"/>
  <c r="O122" i="7" s="1"/>
  <c r="M122" i="7"/>
  <c r="R122" i="7"/>
  <c r="S122" i="7" s="1"/>
  <c r="L347" i="7"/>
  <c r="L274" i="7"/>
  <c r="P49" i="7"/>
  <c r="Q49" i="7" s="1"/>
  <c r="M49" i="7"/>
  <c r="M131" i="7"/>
  <c r="R131" i="7"/>
  <c r="S131" i="7" s="1"/>
  <c r="N131" i="7"/>
  <c r="O131" i="7" s="1"/>
  <c r="N31" i="7"/>
  <c r="O31" i="7" s="1"/>
  <c r="M31" i="7"/>
  <c r="R31" i="7"/>
  <c r="L256" i="7"/>
  <c r="R201" i="7"/>
  <c r="N201" i="7"/>
  <c r="O201" i="7" s="1"/>
  <c r="M201" i="7"/>
  <c r="M56" i="7"/>
  <c r="N56" i="7"/>
  <c r="O56" i="7" s="1"/>
  <c r="L281" i="7"/>
  <c r="R56" i="7"/>
  <c r="S56" i="7" s="1"/>
  <c r="M142" i="7"/>
  <c r="R142" i="7"/>
  <c r="N142" i="7"/>
  <c r="O142" i="7" s="1"/>
  <c r="M190" i="7"/>
  <c r="P190" i="7"/>
  <c r="Q190" i="7" s="1"/>
  <c r="M125" i="7"/>
  <c r="L350" i="7"/>
  <c r="R125" i="7"/>
  <c r="S125" i="7" s="1"/>
  <c r="N125" i="7"/>
  <c r="O125" i="7" s="1"/>
  <c r="N163" i="7"/>
  <c r="O163" i="7" s="1"/>
  <c r="M163" i="7"/>
  <c r="R163" i="7"/>
  <c r="N211" i="7"/>
  <c r="O211" i="7" s="1"/>
  <c r="M211" i="7"/>
  <c r="R211" i="7"/>
  <c r="S211" i="7" s="1"/>
  <c r="N53" i="7"/>
  <c r="O53" i="7" s="1"/>
  <c r="R53" i="7"/>
  <c r="S53" i="7" s="1"/>
  <c r="L278" i="7"/>
  <c r="M53" i="7"/>
  <c r="L260" i="7"/>
  <c r="P35" i="7"/>
  <c r="Q35" i="7" s="1"/>
  <c r="M35" i="7"/>
  <c r="L318" i="7"/>
  <c r="R93" i="7"/>
  <c r="S93" i="7" s="1"/>
  <c r="N93" i="7"/>
  <c r="O93" i="7" s="1"/>
  <c r="M93" i="7"/>
  <c r="N104" i="7"/>
  <c r="O104" i="7" s="1"/>
  <c r="M104" i="7"/>
  <c r="L329" i="7"/>
  <c r="R104" i="7"/>
  <c r="S104" i="7" s="1"/>
  <c r="R162" i="7"/>
  <c r="N162" i="7"/>
  <c r="O162" i="7" s="1"/>
  <c r="M162" i="7"/>
  <c r="N32" i="7"/>
  <c r="O32" i="7" s="1"/>
  <c r="L257" i="7"/>
  <c r="R32" i="7"/>
  <c r="M32" i="7"/>
  <c r="M74" i="7"/>
  <c r="L299" i="7"/>
  <c r="R74" i="7"/>
  <c r="S74" i="7" s="1"/>
  <c r="N74" i="7"/>
  <c r="O74" i="7" s="1"/>
  <c r="P204" i="7"/>
  <c r="Q204" i="7" s="1"/>
  <c r="M204" i="7"/>
  <c r="P186" i="7"/>
  <c r="Q186" i="7" s="1"/>
  <c r="M186" i="7"/>
  <c r="R339" i="7"/>
  <c r="S339" i="7" s="1"/>
  <c r="N339" i="7"/>
  <c r="O339" i="7" s="1"/>
  <c r="M339" i="7"/>
  <c r="R182" i="7"/>
  <c r="S182" i="7" s="1"/>
  <c r="N182" i="7"/>
  <c r="O182" i="7" s="1"/>
  <c r="M182" i="7"/>
  <c r="R160" i="7"/>
  <c r="N160" i="7"/>
  <c r="O160" i="7" s="1"/>
  <c r="M160" i="7"/>
  <c r="P150" i="7"/>
  <c r="Q150" i="7" s="1"/>
  <c r="M150" i="7"/>
  <c r="L300" i="7"/>
  <c r="R75" i="7"/>
  <c r="S75" i="7" s="1"/>
  <c r="N75" i="7"/>
  <c r="O75" i="7" s="1"/>
  <c r="M75" i="7"/>
  <c r="M92" i="7"/>
  <c r="L317" i="7"/>
  <c r="R92" i="7"/>
  <c r="S92" i="7" s="1"/>
  <c r="N92" i="7"/>
  <c r="O92" i="7" s="1"/>
  <c r="P202" i="7"/>
  <c r="Q202" i="7" s="1"/>
  <c r="M202" i="7"/>
  <c r="L349" i="7"/>
  <c r="R124" i="7"/>
  <c r="S124" i="7" s="1"/>
  <c r="N124" i="7"/>
  <c r="O124" i="7" s="1"/>
  <c r="M124" i="7"/>
  <c r="M215" i="7"/>
  <c r="R215" i="7"/>
  <c r="S215" i="7" s="1"/>
  <c r="N215" i="7"/>
  <c r="O215" i="7" s="1"/>
  <c r="L335" i="7"/>
  <c r="P110" i="7"/>
  <c r="Q110" i="7" s="1"/>
  <c r="Q111" i="7" s="1"/>
  <c r="M110" i="7"/>
  <c r="N170" i="7"/>
  <c r="O170" i="7" s="1"/>
  <c r="R170" i="7"/>
  <c r="S170" i="7" s="1"/>
  <c r="M170" i="7"/>
  <c r="M221" i="7"/>
  <c r="N221" i="7"/>
  <c r="O221" i="7" s="1"/>
  <c r="R221" i="7"/>
  <c r="S221" i="7" s="1"/>
  <c r="L295" i="7"/>
  <c r="R70" i="7"/>
  <c r="S70" i="7" s="1"/>
  <c r="N70" i="7"/>
  <c r="O70" i="7" s="1"/>
  <c r="M70" i="7"/>
  <c r="P155" i="7"/>
  <c r="Q155" i="7" s="1"/>
  <c r="M155" i="7"/>
  <c r="L290" i="7"/>
  <c r="R65" i="7"/>
  <c r="N65" i="7"/>
  <c r="O65" i="7" s="1"/>
  <c r="M65" i="7"/>
  <c r="P154" i="7"/>
  <c r="Q154" i="7" s="1"/>
  <c r="M154" i="7"/>
  <c r="M91" i="7"/>
  <c r="L316" i="7"/>
  <c r="R91" i="7"/>
  <c r="S91" i="7" s="1"/>
  <c r="N91" i="7"/>
  <c r="O91" i="7" s="1"/>
  <c r="M62" i="7"/>
  <c r="L287" i="7"/>
  <c r="R62" i="7"/>
  <c r="N62" i="7"/>
  <c r="O62" i="7" s="1"/>
  <c r="M120" i="7"/>
  <c r="L345" i="7"/>
  <c r="R120" i="7"/>
  <c r="N120" i="7"/>
  <c r="O120" i="7" s="1"/>
  <c r="M134" i="7"/>
  <c r="N134" i="7"/>
  <c r="O134" i="7" s="1"/>
  <c r="R134" i="7"/>
  <c r="S134" i="7" s="1"/>
  <c r="L330" i="7"/>
  <c r="R105" i="7"/>
  <c r="S105" i="7" s="1"/>
  <c r="N105" i="7"/>
  <c r="O105" i="7" s="1"/>
  <c r="M105" i="7"/>
  <c r="L322" i="7"/>
  <c r="R97" i="7"/>
  <c r="S97" i="7" s="1"/>
  <c r="N97" i="7"/>
  <c r="O97" i="7" s="1"/>
  <c r="M97" i="7"/>
  <c r="R137" i="7"/>
  <c r="N137" i="7"/>
  <c r="O137" i="7" s="1"/>
  <c r="M137" i="7"/>
  <c r="M199" i="7"/>
  <c r="R199" i="7"/>
  <c r="N199" i="7"/>
  <c r="O199" i="7" s="1"/>
  <c r="M95" i="7"/>
  <c r="L320" i="7"/>
  <c r="R95" i="7"/>
  <c r="S95" i="7" s="1"/>
  <c r="N95" i="7"/>
  <c r="O95" i="7" s="1"/>
  <c r="L313" i="7"/>
  <c r="R88" i="7"/>
  <c r="S88" i="7" s="1"/>
  <c r="N88" i="7"/>
  <c r="O88" i="7" s="1"/>
  <c r="M88" i="7"/>
  <c r="M78" i="7"/>
  <c r="R78" i="7"/>
  <c r="S78" i="7" s="1"/>
  <c r="N78" i="7"/>
  <c r="O78" i="7" s="1"/>
  <c r="L303" i="7"/>
  <c r="R238" i="7"/>
  <c r="S238" i="7" s="1"/>
  <c r="N238" i="7"/>
  <c r="O238" i="7" s="1"/>
  <c r="M238" i="7"/>
  <c r="P26" i="7"/>
  <c r="Q26" i="7" s="1"/>
  <c r="M26" i="7"/>
  <c r="L251" i="7"/>
  <c r="L333" i="7"/>
  <c r="R108" i="7"/>
  <c r="S108" i="7" s="1"/>
  <c r="N108" i="7"/>
  <c r="O108" i="7" s="1"/>
  <c r="M108" i="7"/>
  <c r="R184" i="7"/>
  <c r="N184" i="7"/>
  <c r="O184" i="7" s="1"/>
  <c r="M184" i="7"/>
  <c r="R161" i="7"/>
  <c r="S161" i="7" s="1"/>
  <c r="N161" i="7"/>
  <c r="O161" i="7" s="1"/>
  <c r="M161" i="7"/>
  <c r="M22" i="7"/>
  <c r="M23" i="7" s="1"/>
  <c r="G14" i="54" s="1"/>
  <c r="N22" i="7"/>
  <c r="O22" i="7" s="1"/>
  <c r="O23" i="7" s="1"/>
  <c r="R22" i="7"/>
  <c r="L247" i="7"/>
  <c r="M103" i="7"/>
  <c r="L328" i="7"/>
  <c r="R103" i="7"/>
  <c r="S103" i="7" s="1"/>
  <c r="N103" i="7"/>
  <c r="O103" i="7" s="1"/>
  <c r="M50" i="7"/>
  <c r="L275" i="7"/>
  <c r="P50" i="7"/>
  <c r="Q50" i="7" s="1"/>
  <c r="L279" i="7"/>
  <c r="R54" i="7"/>
  <c r="S54" i="7" s="1"/>
  <c r="M54" i="7"/>
  <c r="N54" i="7"/>
  <c r="O54" i="7" s="1"/>
  <c r="R73" i="7"/>
  <c r="S73" i="7" s="1"/>
  <c r="M73" i="7"/>
  <c r="N73" i="7"/>
  <c r="O73" i="7" s="1"/>
  <c r="L298" i="7"/>
  <c r="M185" i="7"/>
  <c r="P185" i="7"/>
  <c r="Q185" i="7" s="1"/>
  <c r="M197" i="7"/>
  <c r="N197" i="7"/>
  <c r="O197" i="7" s="1"/>
  <c r="R197" i="7"/>
  <c r="L314" i="7"/>
  <c r="R89" i="7"/>
  <c r="S89" i="7" s="1"/>
  <c r="N89" i="7"/>
  <c r="O89" i="7" s="1"/>
  <c r="M89" i="7"/>
  <c r="R130" i="7"/>
  <c r="M130" i="7"/>
  <c r="N130" i="7"/>
  <c r="O130" i="7" s="1"/>
  <c r="P187" i="7"/>
  <c r="Q187" i="7" s="1"/>
  <c r="M187" i="7"/>
  <c r="M71" i="7"/>
  <c r="N71" i="7"/>
  <c r="O71" i="7" s="1"/>
  <c r="L296" i="7"/>
  <c r="R71" i="7"/>
  <c r="S71" i="7" s="1"/>
  <c r="M140" i="7"/>
  <c r="R140" i="7"/>
  <c r="N140" i="7"/>
  <c r="O140" i="7" s="1"/>
  <c r="P145" i="7"/>
  <c r="Q145" i="7" s="1"/>
  <c r="M145" i="7"/>
  <c r="L306" i="7"/>
  <c r="P81" i="7"/>
  <c r="Q81" i="7" s="1"/>
  <c r="M81" i="7"/>
  <c r="M141" i="7"/>
  <c r="N141" i="7"/>
  <c r="O141" i="7" s="1"/>
  <c r="R141" i="7"/>
  <c r="P203" i="7"/>
  <c r="Q203" i="7" s="1"/>
  <c r="M203" i="7"/>
  <c r="R139" i="7"/>
  <c r="M139" i="7"/>
  <c r="N139" i="7"/>
  <c r="O139" i="7" s="1"/>
  <c r="M179" i="7"/>
  <c r="R179" i="7"/>
  <c r="S179" i="7" s="1"/>
  <c r="N179" i="7"/>
  <c r="O179" i="7" s="1"/>
  <c r="M280" i="7"/>
  <c r="R280" i="7"/>
  <c r="S280" i="7" s="1"/>
  <c r="N280" i="7"/>
  <c r="O280" i="7" s="1"/>
  <c r="R86" i="7"/>
  <c r="S86" i="7" s="1"/>
  <c r="N86" i="7"/>
  <c r="O86" i="7" s="1"/>
  <c r="M86" i="7"/>
  <c r="L311" i="7"/>
  <c r="R144" i="7"/>
  <c r="S144" i="7" s="1"/>
  <c r="N144" i="7"/>
  <c r="O144" i="7" s="1"/>
  <c r="M144" i="7"/>
  <c r="P192" i="7"/>
  <c r="Q192" i="7" s="1"/>
  <c r="M192" i="7"/>
  <c r="L250" i="7"/>
  <c r="P25" i="7"/>
  <c r="Q25" i="7" s="1"/>
  <c r="M25" i="7"/>
  <c r="M69" i="7"/>
  <c r="N69" i="7"/>
  <c r="O69" i="7" s="1"/>
  <c r="R69" i="7"/>
  <c r="S69" i="7" s="1"/>
  <c r="L294" i="7"/>
  <c r="R224" i="7"/>
  <c r="S224" i="7" s="1"/>
  <c r="N224" i="7"/>
  <c r="O224" i="7" s="1"/>
  <c r="M224" i="7"/>
  <c r="N77" i="7"/>
  <c r="O77" i="7" s="1"/>
  <c r="M77" i="7"/>
  <c r="L302" i="7"/>
  <c r="R77" i="7"/>
  <c r="S77" i="7" s="1"/>
  <c r="R181" i="7"/>
  <c r="S181" i="7" s="1"/>
  <c r="N181" i="7"/>
  <c r="O181" i="7" s="1"/>
  <c r="M181" i="7"/>
  <c r="L334" i="7"/>
  <c r="R109" i="7"/>
  <c r="S109" i="7" s="1"/>
  <c r="N109" i="7"/>
  <c r="O109" i="7" s="1"/>
  <c r="M109" i="7"/>
  <c r="L297" i="7"/>
  <c r="R72" i="7"/>
  <c r="S72" i="7" s="1"/>
  <c r="N72" i="7"/>
  <c r="O72" i="7" s="1"/>
  <c r="M72" i="7"/>
  <c r="R44" i="7"/>
  <c r="S44" i="7" s="1"/>
  <c r="N44" i="7"/>
  <c r="O44" i="7" s="1"/>
  <c r="L269" i="7"/>
  <c r="M44" i="7"/>
  <c r="M60" i="7"/>
  <c r="L285" i="7"/>
  <c r="R60" i="7"/>
  <c r="S60" i="7" s="1"/>
  <c r="N60" i="7"/>
  <c r="O60" i="7" s="1"/>
  <c r="M98" i="7"/>
  <c r="N98" i="7"/>
  <c r="L323" i="7"/>
  <c r="R98" i="7"/>
  <c r="S98" i="7" s="1"/>
  <c r="R200" i="7"/>
  <c r="N200" i="7"/>
  <c r="O200" i="7" s="1"/>
  <c r="M200" i="7"/>
  <c r="M34" i="7"/>
  <c r="P34" i="7"/>
  <c r="Q34" i="7" s="1"/>
  <c r="L259" i="7"/>
  <c r="R165" i="7"/>
  <c r="S165" i="7" s="1"/>
  <c r="N165" i="7"/>
  <c r="O165" i="7" s="1"/>
  <c r="M165" i="7"/>
  <c r="M40" i="7"/>
  <c r="L265" i="7"/>
  <c r="R40" i="7"/>
  <c r="S40" i="7" s="1"/>
  <c r="N40" i="7"/>
  <c r="O40" i="7" s="1"/>
  <c r="M348" i="7"/>
  <c r="N348" i="7"/>
  <c r="O348" i="7" s="1"/>
  <c r="R348" i="7"/>
  <c r="S348" i="7" s="1"/>
  <c r="M341" i="7"/>
  <c r="R341" i="7"/>
  <c r="N341" i="7"/>
  <c r="O341" i="7" s="1"/>
  <c r="L342" i="7"/>
  <c r="R117" i="7"/>
  <c r="S117" i="7" s="1"/>
  <c r="M117" i="7"/>
  <c r="N117" i="7"/>
  <c r="O117" i="7" s="1"/>
  <c r="L324" i="7"/>
  <c r="P99" i="7"/>
  <c r="Q99" i="7" s="1"/>
  <c r="M99" i="7"/>
  <c r="R175" i="7"/>
  <c r="N175" i="7"/>
  <c r="O175" i="7" s="1"/>
  <c r="M175" i="7"/>
  <c r="N174" i="7"/>
  <c r="O174" i="7" s="1"/>
  <c r="R174" i="7"/>
  <c r="S174" i="7" s="1"/>
  <c r="M174" i="7"/>
  <c r="M87" i="7"/>
  <c r="L312" i="7"/>
  <c r="R87" i="7"/>
  <c r="S87" i="7" s="1"/>
  <c r="N87" i="7"/>
  <c r="O87" i="7" s="1"/>
  <c r="M106" i="7"/>
  <c r="L331" i="7"/>
  <c r="R106" i="7"/>
  <c r="S106" i="7" s="1"/>
  <c r="N106" i="7"/>
  <c r="O106" i="7" s="1"/>
  <c r="M76" i="7"/>
  <c r="L301" i="7"/>
  <c r="N76" i="7"/>
  <c r="O76" i="7" s="1"/>
  <c r="R76" i="7"/>
  <c r="S76" i="7" s="1"/>
  <c r="R237" i="7"/>
  <c r="S237" i="7" s="1"/>
  <c r="N237" i="7"/>
  <c r="O237" i="7" s="1"/>
  <c r="M237" i="7"/>
  <c r="M79" i="7"/>
  <c r="L304" i="7"/>
  <c r="R79" i="7"/>
  <c r="S79" i="7" s="1"/>
  <c r="N79" i="7"/>
  <c r="O79" i="7" s="1"/>
  <c r="M151" i="7"/>
  <c r="P151" i="7"/>
  <c r="Q151" i="7" s="1"/>
  <c r="M188" i="7"/>
  <c r="P188" i="7"/>
  <c r="Q188" i="7" s="1"/>
  <c r="M189" i="7"/>
  <c r="P189" i="7"/>
  <c r="Q189" i="7" s="1"/>
  <c r="M159" i="7"/>
  <c r="R159" i="7"/>
  <c r="S159" i="7" s="1"/>
  <c r="N159" i="7"/>
  <c r="L319" i="7"/>
  <c r="R94" i="7"/>
  <c r="S94" i="7" s="1"/>
  <c r="M94" i="7"/>
  <c r="N94" i="7"/>
  <c r="R63" i="7"/>
  <c r="S63" i="7" s="1"/>
  <c r="N63" i="7"/>
  <c r="O63" i="7" s="1"/>
  <c r="M63" i="7"/>
  <c r="L288" i="7"/>
  <c r="M171" i="7"/>
  <c r="R171" i="7"/>
  <c r="N171" i="7"/>
  <c r="O171" i="7" s="1"/>
  <c r="P146" i="7"/>
  <c r="Q146" i="7" s="1"/>
  <c r="M146" i="7"/>
  <c r="M66" i="7"/>
  <c r="P66" i="7"/>
  <c r="Q66" i="7" s="1"/>
  <c r="Q67" i="7" s="1"/>
  <c r="L291" i="7"/>
  <c r="P193" i="7"/>
  <c r="Q193" i="7" s="1"/>
  <c r="M193" i="7"/>
  <c r="R133" i="7"/>
  <c r="N133" i="7"/>
  <c r="O133" i="7" s="1"/>
  <c r="M133" i="7"/>
  <c r="M158" i="7"/>
  <c r="N158" i="7"/>
  <c r="O158" i="7" s="1"/>
  <c r="R158" i="7"/>
  <c r="S158" i="7" s="1"/>
  <c r="M340" i="7"/>
  <c r="R340" i="7"/>
  <c r="N340" i="7"/>
  <c r="O340" i="7" s="1"/>
  <c r="R338" i="7"/>
  <c r="S338" i="7" s="1"/>
  <c r="N338" i="7"/>
  <c r="O338" i="7" s="1"/>
  <c r="M338" i="7"/>
  <c r="M239" i="7" l="1"/>
  <c r="Q101" i="7"/>
  <c r="O20" i="7"/>
  <c r="O239" i="7"/>
  <c r="U226" i="7"/>
  <c r="Q168" i="7"/>
  <c r="C29" i="52"/>
  <c r="J46" i="52"/>
  <c r="S175" i="7"/>
  <c r="T175" i="7"/>
  <c r="U175" i="7" s="1"/>
  <c r="S141" i="7"/>
  <c r="T141" i="7"/>
  <c r="U141" i="7" s="1"/>
  <c r="S197" i="7"/>
  <c r="T197" i="7"/>
  <c r="U197" i="7" s="1"/>
  <c r="S18" i="7"/>
  <c r="S20" i="7" s="1"/>
  <c r="T18" i="7"/>
  <c r="U18" i="7" s="1"/>
  <c r="U20" i="7" s="1"/>
  <c r="S43" i="7"/>
  <c r="T43" i="7"/>
  <c r="U43" i="7" s="1"/>
  <c r="O94" i="7"/>
  <c r="T93" i="7"/>
  <c r="U93" i="7" s="1"/>
  <c r="S341" i="7"/>
  <c r="T341" i="7"/>
  <c r="U341" i="7" s="1"/>
  <c r="S140" i="7"/>
  <c r="T140" i="7"/>
  <c r="U140" i="7" s="1"/>
  <c r="S137" i="7"/>
  <c r="T137" i="7"/>
  <c r="U137" i="7" s="1"/>
  <c r="S160" i="7"/>
  <c r="T160" i="7"/>
  <c r="U160" i="7" s="1"/>
  <c r="S32" i="7"/>
  <c r="T32" i="7"/>
  <c r="U32" i="7" s="1"/>
  <c r="S163" i="7"/>
  <c r="T163" i="7"/>
  <c r="U163" i="7" s="1"/>
  <c r="S132" i="7"/>
  <c r="T132" i="7"/>
  <c r="U132" i="7" s="1"/>
  <c r="S172" i="7"/>
  <c r="T172" i="7"/>
  <c r="U172" i="7" s="1"/>
  <c r="S198" i="7"/>
  <c r="T198" i="7"/>
  <c r="U198" i="7" s="1"/>
  <c r="S200" i="7"/>
  <c r="T200" i="7"/>
  <c r="U200" i="7" s="1"/>
  <c r="S62" i="7"/>
  <c r="T62" i="7"/>
  <c r="U62" i="7" s="1"/>
  <c r="S61" i="7"/>
  <c r="T61" i="7"/>
  <c r="U61" i="7" s="1"/>
  <c r="S133" i="7"/>
  <c r="T133" i="7"/>
  <c r="U133" i="7" s="1"/>
  <c r="S171" i="7"/>
  <c r="T171" i="7"/>
  <c r="U171" i="7" s="1"/>
  <c r="S130" i="7"/>
  <c r="T130" i="7"/>
  <c r="U130" i="7" s="1"/>
  <c r="S142" i="7"/>
  <c r="T142" i="7"/>
  <c r="U142" i="7" s="1"/>
  <c r="S201" i="7"/>
  <c r="T201" i="7"/>
  <c r="U201" i="7" s="1"/>
  <c r="O98" i="7"/>
  <c r="T97" i="7"/>
  <c r="U97" i="7" s="1"/>
  <c r="S164" i="7"/>
  <c r="T164" i="7"/>
  <c r="U164" i="7" s="1"/>
  <c r="S340" i="7"/>
  <c r="T340" i="7"/>
  <c r="U340" i="7" s="1"/>
  <c r="S183" i="7"/>
  <c r="T183" i="7"/>
  <c r="U183" i="7" s="1"/>
  <c r="O159" i="7"/>
  <c r="O168" i="7" s="1"/>
  <c r="T158" i="7"/>
  <c r="U158" i="7" s="1"/>
  <c r="S139" i="7"/>
  <c r="T139" i="7"/>
  <c r="U139" i="7" s="1"/>
  <c r="S22" i="7"/>
  <c r="S23" i="7" s="1"/>
  <c r="T22" i="7"/>
  <c r="U22" i="7" s="1"/>
  <c r="U23" i="7" s="1"/>
  <c r="S184" i="7"/>
  <c r="T184" i="7"/>
  <c r="U184" i="7" s="1"/>
  <c r="S199" i="7"/>
  <c r="T199" i="7"/>
  <c r="U199" i="7" s="1"/>
  <c r="S65" i="7"/>
  <c r="T65" i="7"/>
  <c r="U65" i="7" s="1"/>
  <c r="S31" i="7"/>
  <c r="T31" i="7"/>
  <c r="U31" i="7" s="1"/>
  <c r="S120" i="7"/>
  <c r="S126" i="7" s="1"/>
  <c r="T120" i="7"/>
  <c r="U120" i="7" s="1"/>
  <c r="U126" i="7" s="1"/>
  <c r="S162" i="7"/>
  <c r="T162" i="7"/>
  <c r="U162" i="7" s="1"/>
  <c r="S59" i="7"/>
  <c r="T59" i="7"/>
  <c r="U59" i="7" s="1"/>
  <c r="S208" i="7"/>
  <c r="S212" i="7" s="1"/>
  <c r="T208" i="7"/>
  <c r="U208" i="7" s="1"/>
  <c r="U212" i="7" s="1"/>
  <c r="S138" i="7"/>
  <c r="T138" i="7"/>
  <c r="U138" i="7" s="1"/>
  <c r="S30" i="7"/>
  <c r="T30" i="7"/>
  <c r="U30" i="7" s="1"/>
  <c r="S33" i="7"/>
  <c r="T33" i="7"/>
  <c r="U33" i="7" s="1"/>
  <c r="S216" i="7"/>
  <c r="O226" i="7"/>
  <c r="O126" i="7"/>
  <c r="M20" i="7"/>
  <c r="M27" i="7"/>
  <c r="Q27" i="7"/>
  <c r="S239" i="7"/>
  <c r="M126" i="7"/>
  <c r="W23" i="7"/>
  <c r="O67" i="7"/>
  <c r="M176" i="7"/>
  <c r="O205" i="7"/>
  <c r="S111" i="7"/>
  <c r="S226" i="7"/>
  <c r="R41" i="7"/>
  <c r="N41" i="7"/>
  <c r="O41" i="7" s="1"/>
  <c r="M41" i="7"/>
  <c r="L266" i="7"/>
  <c r="M319" i="7"/>
  <c r="R319" i="7"/>
  <c r="S319" i="7" s="1"/>
  <c r="N319" i="7"/>
  <c r="P250" i="7"/>
  <c r="Q250" i="7" s="1"/>
  <c r="M250" i="7"/>
  <c r="M205" i="7"/>
  <c r="R328" i="7"/>
  <c r="S328" i="7" s="1"/>
  <c r="N328" i="7"/>
  <c r="O328" i="7" s="1"/>
  <c r="M328" i="7"/>
  <c r="P251" i="7"/>
  <c r="Q251" i="7" s="1"/>
  <c r="M251" i="7"/>
  <c r="M320" i="7"/>
  <c r="R320" i="7"/>
  <c r="S320" i="7" s="1"/>
  <c r="N320" i="7"/>
  <c r="O320" i="7" s="1"/>
  <c r="M330" i="7"/>
  <c r="R330" i="7"/>
  <c r="S330" i="7" s="1"/>
  <c r="N330" i="7"/>
  <c r="O330" i="7" s="1"/>
  <c r="R317" i="7"/>
  <c r="S317" i="7" s="1"/>
  <c r="N317" i="7"/>
  <c r="O317" i="7" s="1"/>
  <c r="M317" i="7"/>
  <c r="P260" i="7"/>
  <c r="Q260" i="7" s="1"/>
  <c r="M260" i="7"/>
  <c r="M194" i="7"/>
  <c r="M67" i="7"/>
  <c r="P307" i="7"/>
  <c r="Q307" i="7" s="1"/>
  <c r="M307" i="7"/>
  <c r="N331" i="7"/>
  <c r="O331" i="7" s="1"/>
  <c r="M331" i="7"/>
  <c r="R331" i="7"/>
  <c r="S331" i="7" s="1"/>
  <c r="Q37" i="7"/>
  <c r="M255" i="7"/>
  <c r="R255" i="7"/>
  <c r="N255" i="7"/>
  <c r="O255" i="7" s="1"/>
  <c r="Q205" i="7"/>
  <c r="Q194" i="7"/>
  <c r="M111" i="7"/>
  <c r="O176" i="7"/>
  <c r="N257" i="7"/>
  <c r="O257" i="7" s="1"/>
  <c r="M257" i="7"/>
  <c r="R257" i="7"/>
  <c r="M57" i="7"/>
  <c r="N286" i="7"/>
  <c r="O286" i="7" s="1"/>
  <c r="M286" i="7"/>
  <c r="R286" i="7"/>
  <c r="M284" i="7"/>
  <c r="N284" i="7"/>
  <c r="O284" i="7" s="1"/>
  <c r="R284" i="7"/>
  <c r="R268" i="7"/>
  <c r="N268" i="7"/>
  <c r="O268" i="7" s="1"/>
  <c r="M268" i="7"/>
  <c r="R270" i="7"/>
  <c r="S270" i="7" s="1"/>
  <c r="N270" i="7"/>
  <c r="O270" i="7" s="1"/>
  <c r="M270" i="7"/>
  <c r="P325" i="7"/>
  <c r="Q325" i="7" s="1"/>
  <c r="M325" i="7"/>
  <c r="M259" i="7"/>
  <c r="P259" i="7"/>
  <c r="Q259" i="7" s="1"/>
  <c r="M285" i="7"/>
  <c r="R285" i="7"/>
  <c r="S285" i="7" s="1"/>
  <c r="N285" i="7"/>
  <c r="O285" i="7" s="1"/>
  <c r="M294" i="7"/>
  <c r="R294" i="7"/>
  <c r="S294" i="7" s="1"/>
  <c r="N294" i="7"/>
  <c r="O294" i="7" s="1"/>
  <c r="M296" i="7"/>
  <c r="R296" i="7"/>
  <c r="S296" i="7" s="1"/>
  <c r="N296" i="7"/>
  <c r="O296" i="7" s="1"/>
  <c r="N279" i="7"/>
  <c r="O279" i="7" s="1"/>
  <c r="M279" i="7"/>
  <c r="R279" i="7"/>
  <c r="S279" i="7" s="1"/>
  <c r="N247" i="7"/>
  <c r="O247" i="7" s="1"/>
  <c r="O248" i="7" s="1"/>
  <c r="R247" i="7"/>
  <c r="M247" i="7"/>
  <c r="M248" i="7" s="1"/>
  <c r="R287" i="7"/>
  <c r="N287" i="7"/>
  <c r="O287" i="7" s="1"/>
  <c r="M287" i="7"/>
  <c r="M278" i="7"/>
  <c r="R278" i="7"/>
  <c r="S278" i="7" s="1"/>
  <c r="N278" i="7"/>
  <c r="O278" i="7" s="1"/>
  <c r="M212" i="7"/>
  <c r="O194" i="7"/>
  <c r="Q83" i="7"/>
  <c r="M264" i="7"/>
  <c r="N264" i="7"/>
  <c r="O264" i="7" s="1"/>
  <c r="R264" i="7"/>
  <c r="S264" i="7" s="1"/>
  <c r="P261" i="7"/>
  <c r="Q261" i="7" s="1"/>
  <c r="M261" i="7"/>
  <c r="M289" i="7"/>
  <c r="R289" i="7"/>
  <c r="S289" i="7" s="1"/>
  <c r="N289" i="7"/>
  <c r="O289" i="7" s="1"/>
  <c r="M271" i="7"/>
  <c r="N271" i="7"/>
  <c r="O271" i="7" s="1"/>
  <c r="R271" i="7"/>
  <c r="S271" i="7" s="1"/>
  <c r="O216" i="7"/>
  <c r="R329" i="7"/>
  <c r="S329" i="7" s="1"/>
  <c r="N329" i="7"/>
  <c r="O329" i="7" s="1"/>
  <c r="M329" i="7"/>
  <c r="N321" i="7"/>
  <c r="O321" i="7" s="1"/>
  <c r="M321" i="7"/>
  <c r="R321" i="7"/>
  <c r="S321" i="7" s="1"/>
  <c r="R258" i="7"/>
  <c r="N258" i="7"/>
  <c r="O258" i="7" s="1"/>
  <c r="M258" i="7"/>
  <c r="R143" i="7"/>
  <c r="S143" i="7" s="1"/>
  <c r="N143" i="7"/>
  <c r="O143" i="7" s="1"/>
  <c r="O156" i="7" s="1"/>
  <c r="M143" i="7"/>
  <c r="M156" i="7" s="1"/>
  <c r="M291" i="7"/>
  <c r="P291" i="7"/>
  <c r="Q291" i="7" s="1"/>
  <c r="Q292" i="7" s="1"/>
  <c r="L254" i="7"/>
  <c r="M29" i="7"/>
  <c r="M37" i="7" s="1"/>
  <c r="N29" i="7"/>
  <c r="O29" i="7" s="1"/>
  <c r="O37" i="7" s="1"/>
  <c r="R29" i="7"/>
  <c r="M168" i="7"/>
  <c r="N301" i="7"/>
  <c r="O301" i="7" s="1"/>
  <c r="M301" i="7"/>
  <c r="R301" i="7"/>
  <c r="S301" i="7" s="1"/>
  <c r="N312" i="7"/>
  <c r="O312" i="7" s="1"/>
  <c r="M312" i="7"/>
  <c r="R312" i="7"/>
  <c r="S312" i="7" s="1"/>
  <c r="N342" i="7"/>
  <c r="O342" i="7" s="1"/>
  <c r="M342" i="7"/>
  <c r="R342" i="7"/>
  <c r="S342" i="7" s="1"/>
  <c r="R323" i="7"/>
  <c r="S323" i="7" s="1"/>
  <c r="N323" i="7"/>
  <c r="M323" i="7"/>
  <c r="M297" i="7"/>
  <c r="N297" i="7"/>
  <c r="O297" i="7" s="1"/>
  <c r="R297" i="7"/>
  <c r="S297" i="7" s="1"/>
  <c r="S83" i="7"/>
  <c r="M306" i="7"/>
  <c r="P306" i="7"/>
  <c r="Q306" i="7" s="1"/>
  <c r="N298" i="7"/>
  <c r="O298" i="7" s="1"/>
  <c r="R298" i="7"/>
  <c r="S298" i="7" s="1"/>
  <c r="M298" i="7"/>
  <c r="M295" i="7"/>
  <c r="N295" i="7"/>
  <c r="O295" i="7" s="1"/>
  <c r="R295" i="7"/>
  <c r="S295" i="7" s="1"/>
  <c r="M349" i="7"/>
  <c r="R349" i="7"/>
  <c r="S349" i="7" s="1"/>
  <c r="N349" i="7"/>
  <c r="O349" i="7" s="1"/>
  <c r="S57" i="7"/>
  <c r="N256" i="7"/>
  <c r="O256" i="7" s="1"/>
  <c r="M256" i="7"/>
  <c r="R256" i="7"/>
  <c r="N244" i="7"/>
  <c r="O244" i="7" s="1"/>
  <c r="R244" i="7"/>
  <c r="S244" i="7" s="1"/>
  <c r="M244" i="7"/>
  <c r="M101" i="7"/>
  <c r="M216" i="7"/>
  <c r="M346" i="7"/>
  <c r="N346" i="7"/>
  <c r="O346" i="7" s="1"/>
  <c r="R346" i="7"/>
  <c r="S346" i="7" s="1"/>
  <c r="R288" i="7"/>
  <c r="S288" i="7" s="1"/>
  <c r="N288" i="7"/>
  <c r="O288" i="7" s="1"/>
  <c r="M288" i="7"/>
  <c r="M304" i="7"/>
  <c r="N304" i="7"/>
  <c r="O304" i="7" s="1"/>
  <c r="R304" i="7"/>
  <c r="S304" i="7" s="1"/>
  <c r="R302" i="7"/>
  <c r="S302" i="7" s="1"/>
  <c r="N302" i="7"/>
  <c r="O302" i="7" s="1"/>
  <c r="M302" i="7"/>
  <c r="O83" i="7"/>
  <c r="P275" i="7"/>
  <c r="Q275" i="7" s="1"/>
  <c r="M275" i="7"/>
  <c r="R322" i="7"/>
  <c r="S322" i="7" s="1"/>
  <c r="N322" i="7"/>
  <c r="O322" i="7" s="1"/>
  <c r="M322" i="7"/>
  <c r="M335" i="7"/>
  <c r="P335" i="7"/>
  <c r="Q335" i="7" s="1"/>
  <c r="Q336" i="7" s="1"/>
  <c r="O57" i="7"/>
  <c r="M274" i="7"/>
  <c r="P274" i="7"/>
  <c r="Q274" i="7" s="1"/>
  <c r="O212" i="7"/>
  <c r="R272" i="7"/>
  <c r="S272" i="7" s="1"/>
  <c r="M272" i="7"/>
  <c r="N272" i="7"/>
  <c r="O272" i="7" s="1"/>
  <c r="N310" i="7"/>
  <c r="O310" i="7" s="1"/>
  <c r="M310" i="7"/>
  <c r="R310" i="7"/>
  <c r="S310" i="7" s="1"/>
  <c r="Q51" i="7"/>
  <c r="R265" i="7"/>
  <c r="S265" i="7" s="1"/>
  <c r="N265" i="7"/>
  <c r="O265" i="7" s="1"/>
  <c r="M265" i="7"/>
  <c r="M269" i="7"/>
  <c r="R269" i="7"/>
  <c r="S269" i="7" s="1"/>
  <c r="N269" i="7"/>
  <c r="O269" i="7" s="1"/>
  <c r="M83" i="7"/>
  <c r="Q156" i="7"/>
  <c r="R314" i="7"/>
  <c r="S314" i="7" s="1"/>
  <c r="N314" i="7"/>
  <c r="O314" i="7" s="1"/>
  <c r="M314" i="7"/>
  <c r="R313" i="7"/>
  <c r="S313" i="7" s="1"/>
  <c r="N313" i="7"/>
  <c r="O313" i="7" s="1"/>
  <c r="M313" i="7"/>
  <c r="R290" i="7"/>
  <c r="N290" i="7"/>
  <c r="O290" i="7" s="1"/>
  <c r="M290" i="7"/>
  <c r="N300" i="7"/>
  <c r="O300" i="7" s="1"/>
  <c r="M300" i="7"/>
  <c r="R300" i="7"/>
  <c r="S300" i="7" s="1"/>
  <c r="N299" i="7"/>
  <c r="O299" i="7" s="1"/>
  <c r="M299" i="7"/>
  <c r="R299" i="7"/>
  <c r="S299" i="7" s="1"/>
  <c r="N318" i="7"/>
  <c r="O318" i="7" s="1"/>
  <c r="M318" i="7"/>
  <c r="R318" i="7"/>
  <c r="S318" i="7" s="1"/>
  <c r="R350" i="7"/>
  <c r="S350" i="7" s="1"/>
  <c r="N350" i="7"/>
  <c r="O350" i="7" s="1"/>
  <c r="M350" i="7"/>
  <c r="R281" i="7"/>
  <c r="S281" i="7" s="1"/>
  <c r="N281" i="7"/>
  <c r="O281" i="7" s="1"/>
  <c r="M281" i="7"/>
  <c r="M315" i="7"/>
  <c r="R315" i="7"/>
  <c r="S315" i="7" s="1"/>
  <c r="N315" i="7"/>
  <c r="O315" i="7" s="1"/>
  <c r="S101" i="7"/>
  <c r="M273" i="7"/>
  <c r="P273" i="7"/>
  <c r="Q273" i="7" s="1"/>
  <c r="M324" i="7"/>
  <c r="P324" i="7"/>
  <c r="Q324" i="7" s="1"/>
  <c r="N334" i="7"/>
  <c r="O334" i="7" s="1"/>
  <c r="M334" i="7"/>
  <c r="R334" i="7"/>
  <c r="S334" i="7" s="1"/>
  <c r="R333" i="7"/>
  <c r="S333" i="7" s="1"/>
  <c r="M333" i="7"/>
  <c r="N333" i="7"/>
  <c r="O333" i="7" s="1"/>
  <c r="L267" i="7"/>
  <c r="M42" i="7"/>
  <c r="R42" i="7"/>
  <c r="S42" i="7" s="1"/>
  <c r="N42" i="7"/>
  <c r="O42" i="7" s="1"/>
  <c r="M311" i="7"/>
  <c r="N311" i="7"/>
  <c r="O311" i="7" s="1"/>
  <c r="R311" i="7"/>
  <c r="S311" i="7" s="1"/>
  <c r="O111" i="7"/>
  <c r="M303" i="7"/>
  <c r="R303" i="7"/>
  <c r="S303" i="7" s="1"/>
  <c r="N303" i="7"/>
  <c r="O303" i="7" s="1"/>
  <c r="R345" i="7"/>
  <c r="M345" i="7"/>
  <c r="N345" i="7"/>
  <c r="O345" i="7" s="1"/>
  <c r="N316" i="7"/>
  <c r="O316" i="7" s="1"/>
  <c r="R316" i="7"/>
  <c r="S316" i="7" s="1"/>
  <c r="M316" i="7"/>
  <c r="M226" i="7"/>
  <c r="R347" i="7"/>
  <c r="S347" i="7" s="1"/>
  <c r="N347" i="7"/>
  <c r="O347" i="7" s="1"/>
  <c r="M347" i="7"/>
  <c r="N243" i="7"/>
  <c r="O243" i="7" s="1"/>
  <c r="M243" i="7"/>
  <c r="R243" i="7"/>
  <c r="R332" i="7"/>
  <c r="S332" i="7" s="1"/>
  <c r="N332" i="7"/>
  <c r="O332" i="7" s="1"/>
  <c r="M332" i="7"/>
  <c r="N305" i="7"/>
  <c r="O305" i="7" s="1"/>
  <c r="Q305" i="7"/>
  <c r="R305" i="7"/>
  <c r="S305" i="7" s="1"/>
  <c r="M305" i="7"/>
  <c r="G20" i="54" l="1"/>
  <c r="G19" i="54"/>
  <c r="W83" i="7"/>
  <c r="G22" i="54"/>
  <c r="W111" i="7"/>
  <c r="G21" i="54"/>
  <c r="W57" i="7"/>
  <c r="G17" i="54"/>
  <c r="G16" i="54"/>
  <c r="I16" i="54" s="1"/>
  <c r="W126" i="7"/>
  <c r="G15" i="54"/>
  <c r="U67" i="7"/>
  <c r="W20" i="7"/>
  <c r="S194" i="7"/>
  <c r="S67" i="7"/>
  <c r="W67" i="7" s="1"/>
  <c r="S176" i="7"/>
  <c r="S156" i="7"/>
  <c r="S168" i="7"/>
  <c r="O101" i="7"/>
  <c r="W101" i="7" s="1"/>
  <c r="G13" i="54"/>
  <c r="I13" i="54" s="1"/>
  <c r="U176" i="7"/>
  <c r="S205" i="7"/>
  <c r="I15" i="54"/>
  <c r="U101" i="7"/>
  <c r="O323" i="7"/>
  <c r="T322" i="7"/>
  <c r="U322" i="7" s="1"/>
  <c r="S258" i="7"/>
  <c r="T258" i="7"/>
  <c r="U258" i="7" s="1"/>
  <c r="U194" i="7"/>
  <c r="S345" i="7"/>
  <c r="S351" i="7" s="1"/>
  <c r="T345" i="7"/>
  <c r="U345" i="7" s="1"/>
  <c r="U351" i="7" s="1"/>
  <c r="S286" i="7"/>
  <c r="T286" i="7"/>
  <c r="U286" i="7" s="1"/>
  <c r="U205" i="7"/>
  <c r="S256" i="7"/>
  <c r="T256" i="7"/>
  <c r="U256" i="7" s="1"/>
  <c r="S29" i="7"/>
  <c r="S37" i="7" s="1"/>
  <c r="W37" i="7" s="1"/>
  <c r="T29" i="7"/>
  <c r="U29" i="7" s="1"/>
  <c r="U37" i="7" s="1"/>
  <c r="S287" i="7"/>
  <c r="T287" i="7"/>
  <c r="U287" i="7" s="1"/>
  <c r="S41" i="7"/>
  <c r="S51" i="7" s="1"/>
  <c r="T41" i="7"/>
  <c r="U41" i="7" s="1"/>
  <c r="U51" i="7" s="1"/>
  <c r="S290" i="7"/>
  <c r="T290" i="7"/>
  <c r="U290" i="7" s="1"/>
  <c r="S243" i="7"/>
  <c r="S245" i="7" s="1"/>
  <c r="T243" i="7"/>
  <c r="U243" i="7" s="1"/>
  <c r="U245" i="7" s="1"/>
  <c r="S268" i="7"/>
  <c r="T268" i="7"/>
  <c r="U268" i="7" s="1"/>
  <c r="U156" i="7"/>
  <c r="S247" i="7"/>
  <c r="S248" i="7" s="1"/>
  <c r="W248" i="7" s="1"/>
  <c r="T247" i="7"/>
  <c r="U247" i="7" s="1"/>
  <c r="U248" i="7" s="1"/>
  <c r="S284" i="7"/>
  <c r="T284" i="7"/>
  <c r="U284" i="7" s="1"/>
  <c r="S257" i="7"/>
  <c r="T257" i="7"/>
  <c r="U257" i="7" s="1"/>
  <c r="S255" i="7"/>
  <c r="T255" i="7"/>
  <c r="U255" i="7" s="1"/>
  <c r="O319" i="7"/>
  <c r="T318" i="7"/>
  <c r="U318" i="7" s="1"/>
  <c r="U168" i="7"/>
  <c r="Q308" i="7"/>
  <c r="Q326" i="7"/>
  <c r="M51" i="7"/>
  <c r="M245" i="7"/>
  <c r="Q276" i="7"/>
  <c r="O351" i="7"/>
  <c r="Q252" i="7"/>
  <c r="Q240" i="7"/>
  <c r="J13" i="13" s="1"/>
  <c r="O51" i="7"/>
  <c r="M351" i="7"/>
  <c r="M240" i="7"/>
  <c r="O245" i="7"/>
  <c r="Q127" i="7"/>
  <c r="J12" i="13" s="1"/>
  <c r="M282" i="7"/>
  <c r="O240" i="7"/>
  <c r="I13" i="13" s="1"/>
  <c r="M336" i="7"/>
  <c r="S326" i="7"/>
  <c r="O336" i="7"/>
  <c r="M326" i="7"/>
  <c r="Q262" i="7"/>
  <c r="S336" i="7"/>
  <c r="N266" i="7"/>
  <c r="O266" i="7" s="1"/>
  <c r="R266" i="7"/>
  <c r="M266" i="7"/>
  <c r="R254" i="7"/>
  <c r="M254" i="7"/>
  <c r="M262" i="7" s="1"/>
  <c r="N254" i="7"/>
  <c r="O254" i="7" s="1"/>
  <c r="O262" i="7" s="1"/>
  <c r="O308" i="7"/>
  <c r="O282" i="7"/>
  <c r="S308" i="7"/>
  <c r="O292" i="7"/>
  <c r="N267" i="7"/>
  <c r="O267" i="7" s="1"/>
  <c r="M267" i="7"/>
  <c r="R267" i="7"/>
  <c r="S267" i="7" s="1"/>
  <c r="S282" i="7"/>
  <c r="M308" i="7"/>
  <c r="M292" i="7"/>
  <c r="M252" i="7"/>
  <c r="W51" i="7" l="1"/>
  <c r="U326" i="7"/>
  <c r="O326" i="7"/>
  <c r="O127" i="7"/>
  <c r="I12" i="13" s="1"/>
  <c r="U127" i="7"/>
  <c r="L12" i="13" s="1"/>
  <c r="S240" i="7"/>
  <c r="K13" i="13" s="1"/>
  <c r="S127" i="7"/>
  <c r="K12" i="13" s="1"/>
  <c r="I14" i="54"/>
  <c r="U292" i="7"/>
  <c r="M127" i="7"/>
  <c r="G18" i="54"/>
  <c r="I18" i="54" s="1"/>
  <c r="H13" i="13"/>
  <c r="L10" i="28" s="1"/>
  <c r="N10" i="28" s="1"/>
  <c r="G23" i="54"/>
  <c r="S292" i="7"/>
  <c r="L9" i="10"/>
  <c r="S254" i="7"/>
  <c r="S262" i="7" s="1"/>
  <c r="T254" i="7"/>
  <c r="U254" i="7" s="1"/>
  <c r="U262" i="7" s="1"/>
  <c r="U240" i="7"/>
  <c r="L13" i="13" s="1"/>
  <c r="L10" i="10" s="1"/>
  <c r="S266" i="7"/>
  <c r="S276" i="7" s="1"/>
  <c r="T266" i="7"/>
  <c r="U266" i="7" s="1"/>
  <c r="U276" i="7" s="1"/>
  <c r="W245" i="7"/>
  <c r="Q352" i="7"/>
  <c r="J14" i="13" s="1"/>
  <c r="J15" i="13" s="1"/>
  <c r="O276" i="7"/>
  <c r="O352" i="7" s="1"/>
  <c r="I14" i="13" s="1"/>
  <c r="M276" i="7"/>
  <c r="M352" i="7" s="1"/>
  <c r="H12" i="13" l="1"/>
  <c r="L9" i="28" s="1"/>
  <c r="N9" i="28" s="1"/>
  <c r="N13" i="28" s="1"/>
  <c r="W127" i="7"/>
  <c r="K23" i="13"/>
  <c r="K22" i="13"/>
  <c r="S352" i="7"/>
  <c r="K14" i="13" s="1"/>
  <c r="K15" i="13" s="1"/>
  <c r="I21" i="54"/>
  <c r="I22" i="54"/>
  <c r="I17" i="54"/>
  <c r="I20" i="54"/>
  <c r="I19" i="54"/>
  <c r="H14" i="13"/>
  <c r="H15" i="13" s="1"/>
  <c r="H16" i="13" s="1"/>
  <c r="G24" i="54"/>
  <c r="I23" i="54" s="1"/>
  <c r="U352" i="7"/>
  <c r="L14" i="13" s="1"/>
  <c r="L11" i="10" s="1"/>
  <c r="L12" i="10" s="1"/>
  <c r="I15" i="13"/>
  <c r="L11" i="28"/>
  <c r="N15" i="28"/>
  <c r="N16" i="28"/>
  <c r="J16" i="13"/>
  <c r="J17" i="13"/>
  <c r="I24" i="54" l="1"/>
  <c r="L15" i="13"/>
  <c r="L17" i="13" s="1"/>
  <c r="H17" i="13"/>
  <c r="G25" i="54" s="1"/>
  <c r="I25" i="54" s="1"/>
  <c r="I43" i="54" s="1"/>
  <c r="K24" i="13"/>
  <c r="I17" i="13"/>
  <c r="I16" i="13"/>
  <c r="L13" i="10"/>
  <c r="L14" i="10"/>
  <c r="K25" i="13"/>
  <c r="J18" i="13"/>
  <c r="J20" i="13" s="1"/>
  <c r="N11" i="28"/>
  <c r="L13" i="28"/>
  <c r="N19" i="28"/>
  <c r="N21" i="28" s="1"/>
  <c r="N22" i="28" s="1"/>
  <c r="N23" i="28" s="1"/>
  <c r="K17" i="13"/>
  <c r="K16" i="13"/>
  <c r="L16" i="13" l="1"/>
  <c r="L18" i="13" s="1"/>
  <c r="H18" i="13"/>
  <c r="D10" i="54" s="1"/>
  <c r="I18" i="13"/>
  <c r="I20" i="13" s="1"/>
  <c r="L15" i="10"/>
  <c r="L16" i="10" s="1"/>
  <c r="L17" i="10" s="1"/>
  <c r="L19" i="10" s="1"/>
  <c r="L15" i="28"/>
  <c r="L16" i="28"/>
  <c r="K18" i="13"/>
  <c r="K20" i="13" s="1"/>
  <c r="H25" i="54" l="1"/>
  <c r="J25" i="54" s="1"/>
  <c r="H23" i="54"/>
  <c r="H15" i="54"/>
  <c r="H13" i="54"/>
  <c r="H17" i="54"/>
  <c r="H14" i="54"/>
  <c r="H18" i="54"/>
  <c r="M18" i="13"/>
  <c r="H19" i="54"/>
  <c r="H16" i="54"/>
  <c r="H22" i="54"/>
  <c r="M10" i="54"/>
  <c r="H24" i="54"/>
  <c r="H20" i="13"/>
  <c r="H21" i="54"/>
  <c r="H20" i="54"/>
  <c r="L20" i="13"/>
  <c r="H22" i="13"/>
  <c r="H23" i="13" s="1"/>
  <c r="L19" i="28"/>
  <c r="L21" i="28" s="1"/>
  <c r="L22" i="28" s="1"/>
  <c r="G24" i="28" s="1"/>
  <c r="J15" i="54" l="1"/>
  <c r="J13" i="54"/>
  <c r="H26" i="54"/>
  <c r="J23" i="54"/>
  <c r="H43" i="54"/>
  <c r="J17" i="54"/>
  <c r="G26" i="28"/>
  <c r="L23" i="28"/>
  <c r="C27" i="54" l="1"/>
  <c r="J43" i="54"/>
  <c r="J13" i="47"/>
  <c r="J10" i="10" s="1"/>
  <c r="I12" i="47"/>
  <c r="J12" i="47"/>
  <c r="J14" i="47"/>
  <c r="J11" i="10" s="1"/>
  <c r="H12" i="47"/>
  <c r="H13" i="47"/>
  <c r="K12" i="47"/>
  <c r="I13" i="47"/>
  <c r="I10" i="10" s="1"/>
  <c r="K13" i="47"/>
  <c r="K10" i="10" s="1"/>
  <c r="H14" i="47" l="1"/>
  <c r="H15" i="47" s="1"/>
  <c r="H16" i="47" s="1"/>
  <c r="K14" i="47"/>
  <c r="K11" i="10" s="1"/>
  <c r="I14" i="47"/>
  <c r="I11" i="10" s="1"/>
  <c r="J15" i="47"/>
  <c r="J9" i="10"/>
  <c r="J12" i="10" s="1"/>
  <c r="K23" i="47"/>
  <c r="H10" i="10"/>
  <c r="K9" i="10"/>
  <c r="K22" i="47"/>
  <c r="H9" i="10"/>
  <c r="I9" i="10"/>
  <c r="I12" i="10" l="1"/>
  <c r="I13" i="10" s="1"/>
  <c r="I15" i="47"/>
  <c r="I16" i="47" s="1"/>
  <c r="H11" i="10"/>
  <c r="K24" i="47"/>
  <c r="K12" i="10"/>
  <c r="K13" i="10" s="1"/>
  <c r="K15" i="47"/>
  <c r="K16" i="47" s="1"/>
  <c r="J14" i="10"/>
  <c r="J13" i="10"/>
  <c r="J16" i="47"/>
  <c r="J17" i="47"/>
  <c r="H17" i="47"/>
  <c r="G28" i="53" s="1"/>
  <c r="H12" i="10" l="1"/>
  <c r="H13" i="10" s="1"/>
  <c r="M13" i="10" s="1"/>
  <c r="I28" i="53"/>
  <c r="I42" i="53" s="1"/>
  <c r="K25" i="47"/>
  <c r="I14" i="10"/>
  <c r="I15" i="10" s="1"/>
  <c r="I16" i="10" s="1"/>
  <c r="I17" i="10" s="1"/>
  <c r="K14" i="10"/>
  <c r="K15" i="10" s="1"/>
  <c r="K16" i="10" s="1"/>
  <c r="K17" i="10" s="1"/>
  <c r="K19" i="10" s="1"/>
  <c r="J18" i="47"/>
  <c r="K17" i="47"/>
  <c r="K18" i="47" s="1"/>
  <c r="I17" i="47"/>
  <c r="I18" i="47" s="1"/>
  <c r="H18" i="47"/>
  <c r="J15" i="10"/>
  <c r="J16" i="10" s="1"/>
  <c r="J17" i="10" s="1"/>
  <c r="J19" i="10" s="1"/>
  <c r="H14" i="10" l="1"/>
  <c r="M14" i="10" s="1"/>
  <c r="H20" i="47"/>
  <c r="D10" i="53"/>
  <c r="J20" i="47"/>
  <c r="M18" i="47"/>
  <c r="I20" i="47"/>
  <c r="K20" i="47"/>
  <c r="I19" i="10"/>
  <c r="H23" i="10"/>
  <c r="J23" i="10"/>
  <c r="H22" i="47"/>
  <c r="H23" i="47" s="1"/>
  <c r="H20" i="53" l="1"/>
  <c r="H15" i="53"/>
  <c r="H22" i="53"/>
  <c r="H16" i="53"/>
  <c r="H15" i="10"/>
  <c r="H12" i="51" s="1"/>
  <c r="H16" i="51" s="1"/>
  <c r="L10" i="53"/>
  <c r="H26" i="53"/>
  <c r="H18" i="53"/>
  <c r="H24" i="53"/>
  <c r="H25" i="53"/>
  <c r="J25" i="53" s="1"/>
  <c r="H21" i="53"/>
  <c r="H17" i="53"/>
  <c r="H13" i="53"/>
  <c r="H23" i="53"/>
  <c r="H19" i="53"/>
  <c r="H14" i="53"/>
  <c r="H27" i="53"/>
  <c r="H28" i="53"/>
  <c r="J28" i="53" s="1"/>
  <c r="M15" i="10" l="1"/>
  <c r="H16" i="10"/>
  <c r="I12" i="51" s="1"/>
  <c r="J12" i="51" s="1"/>
  <c r="J13" i="53"/>
  <c r="H42" i="53"/>
  <c r="J26" i="53"/>
  <c r="J21" i="53"/>
  <c r="H17" i="10" l="1"/>
  <c r="J42" i="53"/>
  <c r="C30" i="53"/>
  <c r="I16" i="51"/>
  <c r="I23" i="10" l="1"/>
  <c r="J24" i="10" s="1"/>
  <c r="H24" i="10"/>
  <c r="H19" i="10"/>
  <c r="J16" i="51"/>
  <c r="J21" i="51"/>
  <c r="J18" i="51" l="1"/>
</calcChain>
</file>

<file path=xl/sharedStrings.xml><?xml version="1.0" encoding="utf-8"?>
<sst xmlns="http://schemas.openxmlformats.org/spreadsheetml/2006/main" count="3576" uniqueCount="1030">
  <si>
    <t>UBICACIÓN</t>
  </si>
  <si>
    <t>:</t>
  </si>
  <si>
    <t>SECCIÓN I</t>
  </si>
  <si>
    <t>ITEM</t>
  </si>
  <si>
    <t>DESCRIPCIÓN DE PARTIDAS</t>
  </si>
  <si>
    <t>UNID.</t>
  </si>
  <si>
    <t>Metrado</t>
  </si>
  <si>
    <t>TOTAL</t>
  </si>
  <si>
    <t>Cantidad</t>
  </si>
  <si>
    <t>Unitario</t>
  </si>
  <si>
    <t>S/.</t>
  </si>
  <si>
    <t>u</t>
  </si>
  <si>
    <t>km</t>
  </si>
  <si>
    <t>m</t>
  </si>
  <si>
    <t>Cable de Acero con Recubrimiento Metalúrgico de Cu de 4 AWG (21,15 mm²), para Puesta a Tierra</t>
  </si>
  <si>
    <t>Perno Ojo de A°G° de 16 mm Ø  x 254 mm, provisto de Tuerca  y Contratuerca</t>
  </si>
  <si>
    <t>Tuerca-Ojo para Perno de 16 mm Ø</t>
  </si>
  <si>
    <t>Plantillas para Identificación y/o codificación de Postes (Peligro, Identificación y/o codificación y Fases)</t>
  </si>
  <si>
    <t>Jgo.</t>
  </si>
  <si>
    <t>Fleje de acero inoxidable de 19 mm provisto de hebilla</t>
  </si>
  <si>
    <t>RETENIDAS Y ANCLAJES</t>
  </si>
  <si>
    <t>Varilla de Anclaje de A°G° de 16 mm Ø x 2,40 m, provisto de Ojal Guardacabo en un extremo; Tuerca y Contratuerca en el otro</t>
  </si>
  <si>
    <t>Mordaza Preformada de A°G° para Cable de 10 mm Ø</t>
  </si>
  <si>
    <t>Alambre de Acero N° 12 para Entorchado</t>
  </si>
  <si>
    <t>Arandela de Anclaje de A°G°, 102 x 102 x 6,35 mm, Agujero de 18 mmø</t>
  </si>
  <si>
    <t>Electrodo de Acero Recubierto de Cobre de 16 mm Ø x 2,40 m</t>
  </si>
  <si>
    <t>Plantilla para Señalización de Poste (Puesta a Tierra)</t>
  </si>
  <si>
    <t>TOTAL SUMINISTRO DE MATERIALES</t>
  </si>
  <si>
    <t>OBRAS PRELIMINARES</t>
  </si>
  <si>
    <t>Global</t>
  </si>
  <si>
    <t>INSTALACION DE RETENIDAS</t>
  </si>
  <si>
    <t xml:space="preserve">Relleno y Compactación en Terreno Tipo I de Retenida </t>
  </si>
  <si>
    <t>MONTAJE DE ARMADOS</t>
  </si>
  <si>
    <t>INSTALACION DE PUESTA A TIERRA</t>
  </si>
  <si>
    <t>Relleno y Compactación de Puesta a Tierra con Material Adecuado</t>
  </si>
  <si>
    <t>TOTAL TRANSPORTE DE MATERIALES</t>
  </si>
  <si>
    <t>REDES PRIMARIAS</t>
  </si>
  <si>
    <t>Loc.</t>
  </si>
  <si>
    <t>INSTALACION DE POSTES</t>
  </si>
  <si>
    <t>Soporte de Contrapunta de 51 mm ø x 1000 mm de longitud, con Abrazadera partida en un extremo y Grapa de Ajuste para Cable en el otro</t>
  </si>
  <si>
    <t>SECCIÓN III</t>
  </si>
  <si>
    <t>REDES SECUNDARIAS</t>
  </si>
  <si>
    <t>Poste de C.A.C. de 8 m/200 daN (Incluye perilla)</t>
  </si>
  <si>
    <t>CABLES Y CONDUCTORES DE ALUMINIO</t>
  </si>
  <si>
    <t>ACCESORIOS DE CABLES AUTOPORTANTES</t>
  </si>
  <si>
    <t>Conector Bimetalico Aislado, para Al 16-35 mm2 / Cu 4-10 mm2, para Fase Aislada, tipo Perforación</t>
  </si>
  <si>
    <t>Cinta aislante</t>
  </si>
  <si>
    <t>CABLES Y CONDUCTORES DE COBRE</t>
  </si>
  <si>
    <t>Conductor de Cobre Recocido, tipo N2XY, Bipolar, 2 x 2,5 mm2</t>
  </si>
  <si>
    <t>Conductor de Cobre Concéntrico,  2 x 4 mm2, con aislamiento y cubierta de PVC</t>
  </si>
  <si>
    <t>LUMINARIAS, LAMPARAS Y ACCESORIOS</t>
  </si>
  <si>
    <t>Pastoral tubo A°G° 38 mm Ø interior, 500 mm avance horizontal, 720 mm altura y 20° inclinación, provisto de 2 abrazaderas dobles para poste de concreto</t>
  </si>
  <si>
    <t>Luminaria completa con equipo para Lámpara de Vapor de Sodio de 50 W</t>
  </si>
  <si>
    <t>Lámpara de Vapor de Sodio de Alta Presión de 50 W</t>
  </si>
  <si>
    <t>Cable de acero grado Siemens Martin, de 10 mm ø, 7 hilos</t>
  </si>
  <si>
    <t>Perno Angular con Ojal Guardacabo de A°G°, 16 mm Ø x 305 mm, provisto de Tuerca y Contratuerca</t>
  </si>
  <si>
    <t>Bloque de concreto de 0,40 x 0,40 x 0,15 m</t>
  </si>
  <si>
    <t>Conector Doble Via Bimetálico para Cable de Acero de 10 mm ø y para Cable de Acero con Recubrimiento Metalúrgico de Cobre de 4 AWG (21,15 mm2)</t>
  </si>
  <si>
    <t>ACCESORIOS DE FERRETERIA PARA ESTRUCTURAS</t>
  </si>
  <si>
    <t>Perno con Gancho de 16 mm Ø, provisto de Arandela, Tuerca y Contratuerca, longitud de 254 mm</t>
  </si>
  <si>
    <t>Perno Ojo de A°G° de 16 mm Ø  x 305 mm, provisto de Tuerca  y Contratuerca</t>
  </si>
  <si>
    <t>Portalinea unipolar de AºGº, provisto de PIN de 10 mm Ø</t>
  </si>
  <si>
    <t>PUESTA A TIERRA</t>
  </si>
  <si>
    <t>CONEXIONES DOMICILIARIAS</t>
  </si>
  <si>
    <t>Tubo de AºGº standard / redondo de 19 mm Ø x 1,5 mm x 2,5 m, provisto de codo</t>
  </si>
  <si>
    <t>Tubo de AºGº standard / redondo de 38 mm Ø x 1,5 mm x 6,0 m, provisto de codo</t>
  </si>
  <si>
    <t xml:space="preserve">Templador de AºGº </t>
  </si>
  <si>
    <t>Loc</t>
  </si>
  <si>
    <t>Izaje, Identificación y/o codificación, y Señalización de Poste de 8 m/200 daN (*)</t>
  </si>
  <si>
    <t>MONTAJE DE CONDUCTORES AUTOPORTANTES</t>
  </si>
  <si>
    <t>PASTORALES, LUMINARIAS Y LAMPARAS</t>
  </si>
  <si>
    <t>Instalación de Pastoral de A° G°</t>
  </si>
  <si>
    <t>Instalación de Luminaria, Lámpara y Accesorios</t>
  </si>
  <si>
    <t>Conexión de Acometidas Domiciliarias, Configuración: Corta en Murete (no incluye medidor de energía activa)</t>
  </si>
  <si>
    <t>Conexión de Acometidas Domiciliarias, Configuración: Larga en Murete (no incluye medidor de energía activa)</t>
  </si>
  <si>
    <t>Contraste de medidor monofásico de energía activa - electrónico</t>
  </si>
  <si>
    <t>Murete de Concreto de 1,65m de altura libre y 0,30m de profundidad. F'c=100 kg/cm², incluye transporte</t>
  </si>
  <si>
    <t>PRUEBAS Y PUESTA EN SERVICIO:</t>
  </si>
  <si>
    <t>Expediente Técnico Final Conforme a Obra y de Concesión Rural de Redes Secundarias (1 Original + 3 Copias), incluye la presentacion digitalizada de textos y planos en CD.</t>
  </si>
  <si>
    <t>PROYECTO</t>
  </si>
  <si>
    <t>CREACIÓN INSTALACIÓN DEL SUBSISTEMA DE DISTRIBUCIÓN PRIMARIA 10-22,9 KV Y SUBSISTEMA DE DISTRIBUCIÓN SECUNDARIA 380/220 V E INSTALACIÓN DE ALUMBRADO PÚBLICO LUCAS CUTIVALU DEL DISTRITO DE MIGUEL CHECA - PROVINCIA DE SULLANA - DEPARTAMENTO DE PIURA</t>
  </si>
  <si>
    <t>DEPARTAMENTOS</t>
  </si>
  <si>
    <t>PIURA</t>
  </si>
  <si>
    <t>T.C. (S/./US$): 3,642</t>
  </si>
  <si>
    <t>DESCRIPCION</t>
  </si>
  <si>
    <t>LINEAS PRIMARIAS</t>
  </si>
  <si>
    <t>A</t>
  </si>
  <si>
    <t>SUMINISTROS DE MATERIALES</t>
  </si>
  <si>
    <t>B</t>
  </si>
  <si>
    <t>MONTAJE ELECTROMECANICO</t>
  </si>
  <si>
    <t>C</t>
  </si>
  <si>
    <t>TRANSPORTE DE MATERIALES</t>
  </si>
  <si>
    <t>D</t>
  </si>
  <si>
    <t>COSTO DIRECTO ( C.D. )</t>
  </si>
  <si>
    <t>E</t>
  </si>
  <si>
    <t>F</t>
  </si>
  <si>
    <t>SUB-TOTAL SIN I.G.V. (S/.)</t>
  </si>
  <si>
    <t>IMPUESTO GENERAL A LAS VENTAS IGV (18%)</t>
  </si>
  <si>
    <t>COSTO TOTAL (Incluye I.G.V.) S/.</t>
  </si>
  <si>
    <t>SUMINISTRO DE MATERIALES</t>
  </si>
  <si>
    <t xml:space="preserve">TRANSPORTE DE MATERIALES   </t>
  </si>
  <si>
    <t>TOTAL COSTO DIRECTO</t>
  </si>
  <si>
    <t>COSTO TOTAL S/. (No incluye I.G.V.)</t>
  </si>
  <si>
    <t>DEPARTAMENTO</t>
  </si>
  <si>
    <t>CONTRACTUAL</t>
  </si>
  <si>
    <t>MONTAJE ELECTROMECÁNICO</t>
  </si>
  <si>
    <t>PRESUPUESTO CONTRATO</t>
  </si>
  <si>
    <t>PRESUPUESTO REPLANTEO</t>
  </si>
  <si>
    <t>Precio de
Contrato</t>
  </si>
  <si>
    <t>GASTOS GENERALES (30.52%)</t>
  </si>
  <si>
    <t xml:space="preserve"> UTILIDADES (4.01%)</t>
  </si>
  <si>
    <t>OBRA</t>
  </si>
  <si>
    <t>INCIDENCIA %</t>
  </si>
  <si>
    <t>G</t>
  </si>
  <si>
    <t>MAYORES METRADOS</t>
  </si>
  <si>
    <t>DEDUCTIVO
VINCULANTE</t>
  </si>
  <si>
    <t>CALCULO DE LOS GASTOS GENERALES DIRECTOS E INDIRECTOS</t>
  </si>
  <si>
    <t>Sección :</t>
  </si>
  <si>
    <t>LINEAS PRIMARIAS, REDES PRIMARIAS Y REDES SECUNDARIAS</t>
  </si>
  <si>
    <t>Departamento :</t>
  </si>
  <si>
    <t>Plazo de Obra :</t>
  </si>
  <si>
    <t>meses</t>
  </si>
  <si>
    <t>1.0</t>
  </si>
  <si>
    <t>GASTOS GENERALES VARIABLES-GG DIRECTOS</t>
  </si>
  <si>
    <t>Personal Profesional Principal</t>
  </si>
  <si>
    <t>Descripción</t>
  </si>
  <si>
    <t>Unidad</t>
  </si>
  <si>
    <t>Cant.</t>
  </si>
  <si>
    <t>Particip.</t>
  </si>
  <si>
    <t>Tiempo</t>
  </si>
  <si>
    <t>Sueldo</t>
  </si>
  <si>
    <t>Parcial</t>
  </si>
  <si>
    <t>%</t>
  </si>
  <si>
    <t>(meses)</t>
  </si>
  <si>
    <t>(S/.)</t>
  </si>
  <si>
    <t>Gerente de Obra</t>
  </si>
  <si>
    <t>Und.</t>
  </si>
  <si>
    <t>Ingeniero Residente de la Obra</t>
  </si>
  <si>
    <t>Ingeniero Asistente de Obra</t>
  </si>
  <si>
    <t>Gestor de Servidumbre</t>
  </si>
  <si>
    <t>Ingeniero de Seguridad e Higiene Ocupacional</t>
  </si>
  <si>
    <t>Ingeniero Asistente de Residente de Obra</t>
  </si>
  <si>
    <t>PARCIAL  1,1</t>
  </si>
  <si>
    <r>
      <t xml:space="preserve">Nota: </t>
    </r>
    <r>
      <rPr>
        <sz val="8"/>
        <rFont val="Arial"/>
        <family val="2"/>
      </rPr>
      <t>El sueldo considerado por cada profesional  incluye impuestos y leyes sociales</t>
    </r>
  </si>
  <si>
    <t>Personal  de Auxiliar y Apoyo</t>
  </si>
  <si>
    <t>Administrador</t>
  </si>
  <si>
    <t>Asistente de administrador</t>
  </si>
  <si>
    <t>Dibujante en Autocad y otros programas</t>
  </si>
  <si>
    <t>Almacenero</t>
  </si>
  <si>
    <t>Asistente de almacen</t>
  </si>
  <si>
    <t>Técnico mecánico</t>
  </si>
  <si>
    <t>Chofer</t>
  </si>
  <si>
    <t>Seguridad en obra (Guardian)</t>
  </si>
  <si>
    <t>PARCIAL  1,2</t>
  </si>
  <si>
    <r>
      <t>Nota:</t>
    </r>
    <r>
      <rPr>
        <sz val="8"/>
        <rFont val="Arial"/>
        <family val="2"/>
      </rPr>
      <t xml:space="preserve"> El sueldo considerado por trabajador incluye impuestos y leyes sociales</t>
    </r>
  </si>
  <si>
    <t xml:space="preserve">Hospedajes, Oficina, Campamentos, alimentación y movilidad del personal principal, auxiliar y apoyo </t>
  </si>
  <si>
    <t>Gasto/ Und.</t>
  </si>
  <si>
    <t>Hospedajes</t>
  </si>
  <si>
    <t>Glb/mes</t>
  </si>
  <si>
    <t>Alquiler de Oficina - Almacen en Obra (Incluye agua y luz)</t>
  </si>
  <si>
    <t>Alquiler de casa almacén (incluye agua y luz)</t>
  </si>
  <si>
    <t>Comunicaciones: telefono, fax, internet, radio, etc.</t>
  </si>
  <si>
    <t xml:space="preserve">Alimentación </t>
  </si>
  <si>
    <t>Pasajes</t>
  </si>
  <si>
    <t>PARCIAL  1,3</t>
  </si>
  <si>
    <t>Mobiliario, equipo, material de oficina y otros</t>
  </si>
  <si>
    <t>Desgaste</t>
  </si>
  <si>
    <t>Gasto/ Und.xmes</t>
  </si>
  <si>
    <t>Mobiliario de oficina</t>
  </si>
  <si>
    <t>Computadora</t>
  </si>
  <si>
    <t>Impresora</t>
  </si>
  <si>
    <t>Útiles de Oficina</t>
  </si>
  <si>
    <t>Camioneta pick up</t>
  </si>
  <si>
    <t>Combustible</t>
  </si>
  <si>
    <t>Mantenimiento</t>
  </si>
  <si>
    <t>PARCIAL  1,4</t>
  </si>
  <si>
    <r>
      <t>Nota:</t>
    </r>
    <r>
      <rPr>
        <sz val="8"/>
        <rFont val="Arial"/>
        <family val="2"/>
      </rPr>
      <t xml:space="preserve"> El desgaste de los equipos ha sido calculado considerando una depreciación líneal en 36 meses de vida útil.</t>
    </r>
  </si>
  <si>
    <r>
      <t xml:space="preserve">         </t>
    </r>
    <r>
      <rPr>
        <sz val="8"/>
        <rFont val="Arial"/>
        <family val="2"/>
      </rPr>
      <t>El desgaste de las camionetas ha sido calculado considerando una depreciación líneal en 120 meses de vida útil.</t>
    </r>
  </si>
  <si>
    <t>Gastos financieros y otros gastos</t>
  </si>
  <si>
    <t>Costo Directo</t>
  </si>
  <si>
    <t>% de CD</t>
  </si>
  <si>
    <t>Costo/mes</t>
  </si>
  <si>
    <t xml:space="preserve">Tiempo </t>
  </si>
  <si>
    <t>Obra (s/.)</t>
  </si>
  <si>
    <t>al mes</t>
  </si>
  <si>
    <t>Cartas fianza</t>
  </si>
  <si>
    <t>mes</t>
  </si>
  <si>
    <t>Seguros</t>
  </si>
  <si>
    <t>Gbl</t>
  </si>
  <si>
    <t>PARCIAL  1,6</t>
  </si>
  <si>
    <t>PARCIAL GASTOS GENERALES VARIABLES  (1)</t>
  </si>
  <si>
    <t>Plan para la vigilancia, prevención y control de COVID-19 - ( R.M. N° 448-2020-MINSA)</t>
  </si>
  <si>
    <t>A.1 Personal Profesional Principal</t>
  </si>
  <si>
    <t>- Profesional Técnico de la Salud</t>
  </si>
  <si>
    <t>A.2 Personal  Auxiliar y de Apoyo</t>
  </si>
  <si>
    <t>- Operario de Limpieza y Desinfección (COVID-19)</t>
  </si>
  <si>
    <t>SUB-TOTAL A</t>
  </si>
  <si>
    <t>B.1 Plan para la Vigilancia, Prevención, y Control de la COVID-19 en el Trabajo</t>
  </si>
  <si>
    <t>- Elaboración, Aprobación, y Registro en el MINSA</t>
  </si>
  <si>
    <t>B.2 Evaluación Médico Ocupacionales</t>
  </si>
  <si>
    <t>- Termómetro Digital Infrarrojo (4)</t>
  </si>
  <si>
    <t>- Pruebas de descarte de la COVID-19</t>
  </si>
  <si>
    <t>B.3 Equipos de Proteccion Personal (EPPs)</t>
  </si>
  <si>
    <t>- Mascarilla Quirúrgica descartable</t>
  </si>
  <si>
    <t>- Mascarilla Facial Textil comunitaria</t>
  </si>
  <si>
    <t>- Careta Facial</t>
  </si>
  <si>
    <t>- Guante Quirúrgico descartable</t>
  </si>
  <si>
    <t>- Gafas de Protección</t>
  </si>
  <si>
    <t>B.4 Lavado y Desinfección de Manos y de Planta de Calzado</t>
  </si>
  <si>
    <t>- Jabón líquido, Papel Toalla, Alcohol Gel Antibacterial, Solución de Alcohol al 96%, Lejia, Bandeja de Limpieza</t>
  </si>
  <si>
    <t>B.5 Lavado, Desinfección y Fumigación del Centro Laboral (ambientes, mobiliario, herramientas, equipos, unidades de transporte en obra, etc</t>
  </si>
  <si>
    <t>- Lejia, Detergente</t>
  </si>
  <si>
    <t>B.6 Actividades Varias</t>
  </si>
  <si>
    <t>- Charlas de Capacitación y de Sensibilizacion (Medidas Preventivas, Uso de EPPs, lavado correcto, información sobre el COVID-19) (3)</t>
  </si>
  <si>
    <t>- Señaléticas de Prevención: Carteles de Prevencion, Infografias (Uso de Mascarillas, Distanciamiento, Lavado de manos, Uso obligatorio de EPPs).</t>
  </si>
  <si>
    <t>- Cilindros para acopio de material deshechable</t>
  </si>
  <si>
    <t>B.7 Hospedaje, oficina, alimentación y movilidad del personal principal, auxiliar y de apoyo</t>
  </si>
  <si>
    <t>- Hospedaje.</t>
  </si>
  <si>
    <t>- Alquiler de Oficina en Obra para Evaluación Médico Ocupacional (Incluye agua y luz).</t>
  </si>
  <si>
    <t>- Comunicaciones: telefono, fax, internet, radio, etc.</t>
  </si>
  <si>
    <t xml:space="preserve">- Alimentación </t>
  </si>
  <si>
    <t>- Pasajes</t>
  </si>
  <si>
    <t>B.8 Transporte de Personal en Obra</t>
  </si>
  <si>
    <t>- Traslado desde campamento a punto de instalación (incluye unidad móvil tipo Minivan con capacidad mínima de 11 pasajeros, chofer, combustible, mantenimiento)</t>
  </si>
  <si>
    <t>B.9 Mobiliario, equipo, material de oficina y otros (4)</t>
  </si>
  <si>
    <t>- Equipamiento Médico para Evaluación Médico Ocupacional (camilla, estetoscopio, mobiliario médico, etc)</t>
  </si>
  <si>
    <t>- Mobiliario de oficina</t>
  </si>
  <si>
    <t>- Computadora</t>
  </si>
  <si>
    <t>- Impresora</t>
  </si>
  <si>
    <t>- Útiles de Oficina</t>
  </si>
  <si>
    <t>SUB-TOTAL B</t>
  </si>
  <si>
    <t>PARCIAL  1,6 (A+B)</t>
  </si>
  <si>
    <t>NOTAS:</t>
  </si>
  <si>
    <t>El consultor , sobre la base de esta estructura de costos, determinará la cantidad de recursos e insumos requeridos para el proyecto.</t>
  </si>
  <si>
    <t>(1): Plan elaborado en base a lo estipulado en la R.M. N° 448-2020-MINSA de fecha 30/06/2020 que aprueba el documento técnico: "Lineamientos para la Vigilancia, prevención y control para la salud de los trabajadores con riesgo de exposición a COVID".</t>
  </si>
  <si>
    <t>(2): Cantidad determinada para los centros de trabajo tipo 3, 4 y 5, de acuerdo al Anexo 1 del documento técnico: "Lineamientos para la Vigilancia, prevención y control para la salud de los trabajadores con riesgo de exposición a COVID".</t>
  </si>
  <si>
    <t>(3): Las charlas de capacitación estarán a cargo de los Profesionales de la Salud y/o del Ingeniero de Seguridad e Higiene Ocupacional.</t>
  </si>
  <si>
    <t>(4): El porcentaje considerado es referido al desgaste por el uso del equipamiento, o materiales.</t>
  </si>
  <si>
    <t>'Participacion Porcentual debido a la jornada laboral semanal requerido:</t>
  </si>
  <si>
    <t xml:space="preserve">             Profesional Técnico de la Salud: 12 h-sem/48 h-sem = 25,00 %</t>
  </si>
  <si>
    <t xml:space="preserve">             Operario de Limpieza y Desinfección (COVID-19): 24 h-sem/48 h-sem = 50,00 %</t>
  </si>
  <si>
    <t>2.0</t>
  </si>
  <si>
    <t>GASTOS GENERALES FIJOS INDIRECTOS</t>
  </si>
  <si>
    <t>2.1</t>
  </si>
  <si>
    <t>Personal en la sede central de la Empresa</t>
  </si>
  <si>
    <t>Participacion</t>
  </si>
  <si>
    <t>Tiempo efectivo</t>
  </si>
  <si>
    <t xml:space="preserve">Total </t>
  </si>
  <si>
    <t>Gerente</t>
  </si>
  <si>
    <t>Ingeniero-Supervisión Técnica Empresa</t>
  </si>
  <si>
    <t>Especialista en Computación</t>
  </si>
  <si>
    <t>Contador</t>
  </si>
  <si>
    <t>Auxiliar Contabilidad</t>
  </si>
  <si>
    <t>Secretaria</t>
  </si>
  <si>
    <t>PARCIAL  2,1</t>
  </si>
  <si>
    <t>2.2</t>
  </si>
  <si>
    <t>Gastos de oficina principal y gastos varios</t>
  </si>
  <si>
    <t>Oficina (Incluye agua y luz)</t>
  </si>
  <si>
    <t>Comunicaciones: telef., fax, Internet, radio</t>
  </si>
  <si>
    <t>Glob</t>
  </si>
  <si>
    <t>Material y Equipos de Oficina</t>
  </si>
  <si>
    <t>Mantenimiento y limpieza</t>
  </si>
  <si>
    <t>PARCIAL  2,2</t>
  </si>
  <si>
    <t>2.3</t>
  </si>
  <si>
    <t xml:space="preserve">Gastos de preparación de oferta </t>
  </si>
  <si>
    <t>Elaboración de propuesta</t>
  </si>
  <si>
    <t>PARCIAL  2,3</t>
  </si>
  <si>
    <t>Operación Experimental</t>
  </si>
  <si>
    <t>Residente de Obra</t>
  </si>
  <si>
    <t>Unid.</t>
  </si>
  <si>
    <t>Capataz</t>
  </si>
  <si>
    <t>Operario</t>
  </si>
  <si>
    <t>Peón</t>
  </si>
  <si>
    <t>Dibujante Argis y otros Programas</t>
  </si>
  <si>
    <t>Alquiler de Camioneta pick up</t>
  </si>
  <si>
    <t>PARCIAL  2,4</t>
  </si>
  <si>
    <t>2.5</t>
  </si>
  <si>
    <t>Registro de informacion del proyecto en el SISTEMA de la empresa concesionaria y registro de informacion comercial de 
nuevos usuarios del proyecto</t>
  </si>
  <si>
    <t>Digitador (con conocimiento de software administrador del concesionario)</t>
  </si>
  <si>
    <t>Asistentes (preparacion de file de nuevos usuarios)</t>
  </si>
  <si>
    <t>PARCIAL  2,5</t>
  </si>
  <si>
    <t>PARCIAL GASTOS GENERALES FIJOS  (2)</t>
  </si>
  <si>
    <t>TOTAL GASTOS GENERALES  (1)+(2)</t>
  </si>
  <si>
    <t>3.0</t>
  </si>
  <si>
    <t>RESUMEN</t>
  </si>
  <si>
    <t>GASTOS GENERALES VARIABLES DIRECTOS</t>
  </si>
  <si>
    <t xml:space="preserve"> </t>
  </si>
  <si>
    <t>OBSERVACIÓN</t>
  </si>
  <si>
    <t>INCIDENCIA RESPECTO AL CONTRACTUAL %</t>
  </si>
  <si>
    <t>INCIDENCIA DEL ADICIONAL  %</t>
  </si>
  <si>
    <t>INCIDENCIA DEL MAYOR METRADO %</t>
  </si>
  <si>
    <t>INCIDENCIA DEL ADICONAL + MAYOR METRADO %</t>
  </si>
  <si>
    <t xml:space="preserve">RESUMEN DE PRESUPUESTO CONTRATCUAL  REPLANTEO </t>
  </si>
  <si>
    <t>Precio
Pactado</t>
  </si>
  <si>
    <t>DEDUCTIVOS</t>
  </si>
  <si>
    <t>DEDUCTIVO VINCULANTE</t>
  </si>
  <si>
    <t>POSTES DE MADERA IMPORTADA</t>
  </si>
  <si>
    <t>MENOR METRADO</t>
  </si>
  <si>
    <t>AMPLIACIÓN DEL SERVICIO DE ENERGÍA ELÉCTRICA EN LA PROVINCIA DEL SANTA Y EN EL DISTRITO DE PAMPAROMAS – DEPARTAMENTO DE ANCASH</t>
  </si>
  <si>
    <t>ANCASH</t>
  </si>
  <si>
    <t>Fecha: 30-May-2022</t>
  </si>
  <si>
    <t>T.C. (S/ /US$): 3,683</t>
  </si>
  <si>
    <t>ESTUDIO DEFINITIVO</t>
  </si>
  <si>
    <t>2.00A</t>
  </si>
  <si>
    <t>2.01A</t>
  </si>
  <si>
    <t>2.02A</t>
  </si>
  <si>
    <t>POSTES DE CONCRETO ARMADO Y MADERA IMPORTADA</t>
  </si>
  <si>
    <t>Poste de C.A.C. de 8 m/300 daN (Incluye perilla)</t>
  </si>
  <si>
    <t>Poste de madera importada (Pino Amarillo del Sur) de 8 m, Clase 7</t>
  </si>
  <si>
    <t>POSTES DE FIBRA DE VIDRIO</t>
  </si>
  <si>
    <t>Postes en Poliéster Reforzado con Fibra de Vidrio (P.R.F.V) de 8m/200 (Incluye tapa)</t>
  </si>
  <si>
    <t>Postes en Poliéster Reforzado con Fibra de Vidrio (P.R.F.V) de 8m/300 (Incluye tapa)</t>
  </si>
  <si>
    <t>Conductor Autoportante de Aluminio 2X25+16/25 mm²</t>
  </si>
  <si>
    <t>Conductor Autoportante de Aluminio 2X16+16/25 mm²</t>
  </si>
  <si>
    <t>Conductor Autoportante de Aluminio 2X25/25 mm²</t>
  </si>
  <si>
    <t>Conductor Autoportante de Aluminio 1X16+16/25 mm²</t>
  </si>
  <si>
    <t>Conductor Autoportante de Aluminio 1X16/25 mm²</t>
  </si>
  <si>
    <t>Conductor Autoportante de Aluminio 2x35+16/NA25 mm²</t>
  </si>
  <si>
    <t>Conductor Autoportante de Aluminio 2x25+16/NA25 mm²</t>
  </si>
  <si>
    <t>Conductor Autoportante de Aluminio 2x25/NA25 mm²</t>
  </si>
  <si>
    <t>Grapa de Suspensión Angular para Conductor de Aleacion de Aluminio de 25 mm2</t>
  </si>
  <si>
    <t>Grapa de Anclaje Cónica para Conductor de Aleación de Aluminio de 25 mm2</t>
  </si>
  <si>
    <t>Conector Bimetálico para Al 25 mm2 / Cu 4-10 mm2, para Neutro Desnudo, tipo Cuña</t>
  </si>
  <si>
    <t>Conector para Al 25 mm², para Neutro Desnudo, tipo Cuña</t>
  </si>
  <si>
    <t>Conector Aislado para Al 16-35 mm2, para Fase Aislada, tipo Perforación</t>
  </si>
  <si>
    <t>Correa Plástica de Amarre, color negro</t>
  </si>
  <si>
    <t>Cinta Autofundente para extremo de cable</t>
  </si>
  <si>
    <t>Grapa de Anclaje para Conductor de 25 mm²</t>
  </si>
  <si>
    <t>Cinta plana de armar 1.3 mm x 7.6 mm</t>
  </si>
  <si>
    <t>Grillete A°G° tipo Lira</t>
  </si>
  <si>
    <t>Conductor de Cobre Recocido, tipo N2XY, Tripolar, 3 x 10 mm2, cubierta negra</t>
  </si>
  <si>
    <t>Pastoral tubo A°G° 38 mm Ø interior, 500 mm avance horizontal, 720 mm altura y 20° inclinación, provisto de 2 abrazaderas simples y 4 tirafondos para poste de madera</t>
  </si>
  <si>
    <t>Portafusible Unipolar 220 V, de 5 A, provisto con fusible de 1 A</t>
  </si>
  <si>
    <t>Luminaria para alumbrado público con tecnología LED de 50W a 55W (incluye accesorios de encendido y protección)</t>
  </si>
  <si>
    <t>Perno Angular con Ojal Guardacabo de A°G°, 16 mm Ø x 254 mm, provisto de Tuerca y Contratuerca</t>
  </si>
  <si>
    <t>Arandela Cuadrada Curva de A° G°, 57 x 57 x 5 mm, Agujero de 18 mm Ø</t>
  </si>
  <si>
    <t>Guardacabo de AºGº para cable de 10mm ø</t>
  </si>
  <si>
    <t>Perno con Gancho de 16 mm Ø, provisto de Arandela, Tuerca y Contratuerca, longitud de 305 mm</t>
  </si>
  <si>
    <t>Perno de A°G° de 13 mm Ø x 254 mm, provisto de Tuerca y  Contratuerca</t>
  </si>
  <si>
    <t>Perno de A°G° de 13 mm Ø x 305 mm, provisto de Tuerca y  Contratuerca</t>
  </si>
  <si>
    <t>Arandela Cuadrada Curva de A° G°, 57 x 57 x 5 mm, Agujero de 14 mm Ø</t>
  </si>
  <si>
    <t>Caja de derivacion para acometidas, sistema 440-22O V (10 borneras en cada barra de cobre)</t>
  </si>
  <si>
    <t>Placa de Identificación y/o codificación de Estructura y accesorios de fijación</t>
  </si>
  <si>
    <t>EXTENSOR A°G° 51mmØ, e=6mm x 1000mm DE LONGITUD, PLANCHA A°G° 254mmx305mmx6mm, CON 01 PERNO GANCHO DE SUSPENSION DE A°G° DE 16mmØX178 mm DE LONGITUD + 02 ROSCAS DE 25.4mm x16mmØ VER DETALLE</t>
  </si>
  <si>
    <t>Perno de A°G° de 16 mm Ø x 203 mm, provisto de Tuerca y  Contratuerca</t>
  </si>
  <si>
    <t>Conector bimetálico para Al 25 mm2 y Cobre de 25 mm2, tipo cuña</t>
  </si>
  <si>
    <t>Conector de bronce para electrodo de 16 mm ø y Cable de Acero con Recubrimiento Metalúrgico de Cobre de 4 AWG (21,15 mm2)</t>
  </si>
  <si>
    <t>Grapa en "U" para fijar conductor de PAT a Poste de Madera</t>
  </si>
  <si>
    <t>Listón de madera tratada 50 x 19 mm sección, 2,7 m longitud (incluye clavos de fijación)</t>
  </si>
  <si>
    <t>Tubo Plastico de PVC SAP de 19 mm ø x 0,5 m ( incluye curva de plastico de 19 mm ø x 90º)</t>
  </si>
  <si>
    <t>Bentonita sódica saco de 30 kg</t>
  </si>
  <si>
    <t>Tubo de AºGº standard / redondo de 19 mm Ø x 1,5 mm x 4,0 m, provisto de codo</t>
  </si>
  <si>
    <t>Tubo de AºGº standard / redondo de 19 mm Ø x 1,5 mm x 6,0 m, provisto de codo</t>
  </si>
  <si>
    <t>Armella Tirafondo de 10 mm Ø x 64 mm de longitud</t>
  </si>
  <si>
    <t>Tarugo de cedro de 13 mm x 50 mm</t>
  </si>
  <si>
    <t>Caja Metálica Portamedidor, equipado con Interruptor Termomagnético de 10A</t>
  </si>
  <si>
    <t>Medidor Monofásico de Energía Activa, tipo Electrónico con Micro Procesador de 220 V; 2 hilos, 10-40 A, 60 Hz, Clase 1</t>
  </si>
  <si>
    <t>TRANSPORTE DE MATERIALES DE ALMACEN EN OBRA A PUNTO DE INSTALACIÒN</t>
  </si>
  <si>
    <t xml:space="preserve">Transporte de Poste de 8 m/200 daN de Almacen a Punto de Izaje, en Terreno con Acceso Carrozable </t>
  </si>
  <si>
    <t xml:space="preserve">Transporte de Poste de 8 m/300 daN de Almacen a Punto de Izaje, en Terreno con Acceso Carrozable </t>
  </si>
  <si>
    <t>Transporte de Poste de madera importado de 8 m, Clase 7 de Almacen a Punto de Izaje, en Terreno sin Acceso Carrozable (&lt; 1000 m)</t>
  </si>
  <si>
    <t>Transporte de Bloque de Concreto de 0,40 x 0,40 x 0,15 m, de Almacen a Punto de Instalaciòn en Terreno con Acceso Carrozable</t>
  </si>
  <si>
    <t>Transporte de Bloque de Concreto de 0,40 x 0,40 x 0,15 m, de Almacen a Punto de Instalaciòn en Terreno sin Acceso Carrozable (&lt; 1000 m)</t>
  </si>
  <si>
    <t>Transporte de Accesorios de Ferreteria (Para Postes , conductores, Retenidas y PAT) de Almacen a Punto de Instalaciòn con Acceso Carrozable</t>
  </si>
  <si>
    <t>Transporte de Accesorios de Ferreteria (Para Postes , conductores, Retenidas y PAT) de Almacen a Punto de Instalaciòn sin Acceso Carrozable (&lt; 1000 m)</t>
  </si>
  <si>
    <t>Transporte de Conductor Autoportante de Aluminio de 2x25+16/25 mm² de Almacen a Punto de Instalación en terreno con acceso carrozable</t>
  </si>
  <si>
    <t>Transporte de Conductor Autoportante de Aluminio de 2x16+16/25 mm² de Almacen a Punto de Instalación en terreno con acceso carrozable</t>
  </si>
  <si>
    <t>Transporte de Conductor Autoportante de Aluminio de 2x25/25 mm² de Almacen a Punto de Instalación en terreno con acceso carrozable</t>
  </si>
  <si>
    <t>Transporte de Conductor Autoportante de Aluminio de 1x16+16/25 mm² de Almacen a Punto de Instalación en terreno con acceso carrozable</t>
  </si>
  <si>
    <t>Transporte de Conductor Autoportante de Aluminio de 1x16/25 mm² de Almacen a Punto de Instalación en terreno con acceso carrozable</t>
  </si>
  <si>
    <t>Transporte de Conductor Autoportante de Aluminio de 1x16/25 mm² de Almacen a Punto de Instalación en terreno sin acceso carrozable (&lt; 1000 m)</t>
  </si>
  <si>
    <t>Transporte de cable de acero con recubrimiento metalurgico de Cu de 4AWG  de Almacen a Punto de Intalaciòn en Terreno con Acceso Carrozable</t>
  </si>
  <si>
    <t>Transporte de cable de acero con recubrimiento metalurgico de Cu de 4AWG  de Almacen a Punto de Intalaciòn en Terreno sin Acceso Carrozable  (&lt; 1000 m)</t>
  </si>
  <si>
    <t>Transporte de Poste de PRFV de 8m/200 daN de Almacen a Punto de Izaje, en Terreno sin Acceso Carrozable (&lt; 1000 m)</t>
  </si>
  <si>
    <t>Transporte de Poste de PRFV de 8m/300 daN de Almacen a Punto de Izaje, en Terreno sin Acceso Carrozable (&lt; 1000 m)</t>
  </si>
  <si>
    <t>Transporte de Conductor Autoportante de Aluminio de 2x35+16/NA25 mm² de Almacen a Punto de Instalación en terreno con acceso carrozable</t>
  </si>
  <si>
    <t>Transporte de Conductor Autoportante de Aluminio de 2x25+16/NA25 mm² de Almacen a Punto de Instalación en terreno con acceso carrozable</t>
  </si>
  <si>
    <t>Transporte de Conductor Autoportante de Aluminio de 2x25/NA25 mm² de Almacen a Punto de Instalación en terreno con acceso carrozable</t>
  </si>
  <si>
    <t>Transporte de luminarias LED y accesorios de Almacen a Punto de Instalación en terreno con acceso carrozable</t>
  </si>
  <si>
    <t>Excavación en terreno Tipo I (arcilloso y conglomerado)</t>
  </si>
  <si>
    <t>Excavación en terreno Tipo II (Rocoso)</t>
  </si>
  <si>
    <t>Izaje, Identificación y/o codificación, y Señalización de Poste de 8 m/300 daN (*)</t>
  </si>
  <si>
    <t>Izaje, Identificación y/o codificación, y Señalización de Poste de madera importado de 8 m, Clase 7</t>
  </si>
  <si>
    <t>Cimentación con Concreto Ciclópeo de Poste de 8m en Terreno Tipo I (Arcilloso y Conglomerado)</t>
  </si>
  <si>
    <t>Cimentación con Concreto Ciclópeo de Poste de 8m en Terreno Tipo II (Rocoso)</t>
  </si>
  <si>
    <t>Relleno y Compactación para cimentación de Poste 8m, en Terreno Tipo I (Arcilloso y Conglomerado)</t>
  </si>
  <si>
    <t>Izaje, Identificación y/o codificación, y Señalización de Poste de PRFV de 8 m/200 daN (*)</t>
  </si>
  <si>
    <t>Izaje, Identificación y/o codificación, y Señalización de Poste de PRFV de 8 m/300 daN (*)</t>
  </si>
  <si>
    <t>Excavación en terreno Tipo II (rocoso)</t>
  </si>
  <si>
    <t>Instalación de retenida inclinada</t>
  </si>
  <si>
    <t>Instalación de retenida vertical</t>
  </si>
  <si>
    <t xml:space="preserve">Relleno y Compactación en Terreno Tipo II de Retenida </t>
  </si>
  <si>
    <t>Armado Tipo E1/S, E'1/S Alineamiento y Angulo - Conductor Autoportante sin Caja de Derivación para Acometida</t>
  </si>
  <si>
    <t>Armado Tipo E2/S, E'2/S Anclaje y Cambio de Sección - Conductor Autoportante sin Caja de Derivación para Acometida</t>
  </si>
  <si>
    <t>Armado Tipo E3/S, E'3/S Extremo de Línea - Conductor Autoportante sin Caja de Derivación para Acometida</t>
  </si>
  <si>
    <t>Armado Tipo E4, E'4 Extremo de Línea con Derivación - Conductor Autoportante con Caja de Derivación para Acometida</t>
  </si>
  <si>
    <t>Armado Tipo E4/S, E'4/S Extremo de Línea con Derivación - Conductor Autoportante sin Caja de Derivación para Acometida</t>
  </si>
  <si>
    <t>Armado Tipo E5/S, E'5/S Alineamiento con Derivación - Conductor Autoportante sin Caja de Derivación para Acometida</t>
  </si>
  <si>
    <t>Armado Tipo E6/S, E'6/S Anclaje con Derivación - Conductor Autoportante sin Caja de Derivación para Acometida</t>
  </si>
  <si>
    <t>Armado Tipo E1, E'1 Alineamiento y Angulo - Conductor Autoportante con Caja de Derivación para Acometida</t>
  </si>
  <si>
    <t>Armado Tipo E3, E'3 Extremo de Línea - Conductor Autoportante con Caja de Derivación para Acometida</t>
  </si>
  <si>
    <t>Armado Tipo E7/S, E'7/S Extremo de Línea con Grapa Pistola- Conductor Autoportante sin Caja de Derivación para Acometida</t>
  </si>
  <si>
    <t>Armado Tipo E8/S, E'8/S Extremo de Línea con Derivación con Grapa Pistola - Conductor Autoportante con Caja de Derivación para Acometida</t>
  </si>
  <si>
    <t>Armado Tipo E1B/S, E'1B/S Alineamiento y Angulo con extensor de 1 m - Conductor Autoportante sin Caja de Derivación para Acometida</t>
  </si>
  <si>
    <t>Armado Tipo E3B/S, E'3B/S Extremo de Línea con extensor de 1 m- Conductor Autoportante sin Caja de Derivación para Acometida</t>
  </si>
  <si>
    <t>Armado Tipo E4B/S, E'4B/S Extremo de Línea con Derivación con extensor de 1 m - Conductor Autoportante sin Caja de Derivación para Acometida</t>
  </si>
  <si>
    <t>Armado Tipo EC, derivacion en Cruz   (+)</t>
  </si>
  <si>
    <t>Comprende Tendido y puesta en Flecha de :</t>
  </si>
  <si>
    <t>Tendido y Puesta en Flecha de Conductor Autoportante de Aluminio de 2x25+16/25 mm²</t>
  </si>
  <si>
    <t>Tendido y Puesta en Flecha de Conductor Autoportante de Aluminio de 2x16+16/25 mm²</t>
  </si>
  <si>
    <t>Tendido y Puesta en Flecha de Conductor Autoportante de Aluminio de 2x25/25 mm²</t>
  </si>
  <si>
    <t>Tendido y Puesta en Flecha de Conductor Autoportante de Aluminio de 1x16+16/25 mm²</t>
  </si>
  <si>
    <t>Tendido y Puesta en Flecha de Conductor Autoportante de Aluminio de 1x16/25 mm²</t>
  </si>
  <si>
    <t>Tendido y Puesta en Flecha de Conductor Autoportante de Aluminio 2x35+16/NA25 mm²</t>
  </si>
  <si>
    <t>Tendido y Puesta en Flecha de Conductor Autoportante de Aluminio 2x25+16/NA25 mm²</t>
  </si>
  <si>
    <t>Tendido y Puesta en Flecha de Conductor Autoportante de Aluminio 2x25/NA25 mm²</t>
  </si>
  <si>
    <t>Instalación de Puesta a Tierra Tipo PAT-1 con un Electrodo Vertical. Instalación en Poste de Concreto Armado Centrifugado.</t>
  </si>
  <si>
    <t>Instalación de Puesta a Tierra Tipo PAT-1 con un Electrodo Vertical. Instalación en Poste de Madera.</t>
  </si>
  <si>
    <t>Instalación de Acometida Domiciliaria, que comprende: Conexión de Acometida Domiciliaria, Montaje de Medidor y Contraste de Medidor.</t>
  </si>
  <si>
    <t>Conexión de Acometidas Domiciliarias, Configuración: Corta (no incluye medidor de energía activa)</t>
  </si>
  <si>
    <t>Conexión de Acometidas Domiciliarias, Configuración: Larga (no incluye medidor de energía activa)</t>
  </si>
  <si>
    <t>Instalación de Medidor Monofásico de Energia Activa y Caja Portamedidor (incluye conexión a cable de acometida)</t>
  </si>
  <si>
    <t>DESMONTAJE DE REDES SECUNDARIAS EXISTENTES</t>
  </si>
  <si>
    <t>Desmontaje de Poste para Baja Tension (incluye resane de terreno y Transporte a Almacen de propietario)</t>
  </si>
  <si>
    <t>Desmontaje de Conductor en Baja Tensión( Incluye Traslado a Almacén de Propietario)</t>
  </si>
  <si>
    <t>Desmontaje de pastoral de de A°G° y luminarias con lámparas de vapor ( Incluye Traslado a almacén de propietario)</t>
  </si>
  <si>
    <t>Desmontaje de Retenida (incluye Varilla y Bloque de Anclaje, y accesorios y Traslado a Almacén de propietario)</t>
  </si>
  <si>
    <t>Desmontaje de la ferreteria de los armados (E1, E2, E3, E4, E5 Y E6)</t>
  </si>
  <si>
    <t>Desmontaje de Medidor de Energia y Conexión Domiciliaria ( Incluye Traslado a Almacén de Propietario)</t>
  </si>
  <si>
    <t>Transporte de Accesorios de Ferreteria de desmontaje (Para Postes , conductores, Retenidas y PAT) a almacen de propietario</t>
  </si>
  <si>
    <t>Prueba y Puesta en Servicio de Redes Secundarias</t>
  </si>
  <si>
    <t>m³</t>
  </si>
  <si>
    <t>TOTAL MONTAJE ELECTROMECANICO</t>
  </si>
  <si>
    <t>ADICIONALES</t>
  </si>
  <si>
    <t>PARTIDAS NUEVAS</t>
  </si>
  <si>
    <t>MENORES METRADOS</t>
  </si>
  <si>
    <t>PRESUPUESTO ESTUDIO DEFINIVO</t>
  </si>
  <si>
    <t>Ductos de concretos de 2 Vias</t>
  </si>
  <si>
    <t>Perfil "U" de A° G° de 150 x 75 x 4.5 mm y 3.00m de Longitud</t>
  </si>
  <si>
    <t>Fleje de acero inoxidable 19mm, espesor 0.8mm, provisto de Hebilla</t>
  </si>
  <si>
    <t>Terminal de compresion bimetalico</t>
  </si>
  <si>
    <t>Perno A°G°, ø 9.5mm x 38 mm LONG</t>
  </si>
  <si>
    <t>Arandela de presion de A°G° de 9.5 mm ø</t>
  </si>
  <si>
    <t>Tubo PVC-SAP 4" ø y Codo 90° de 4" ø</t>
  </si>
  <si>
    <t>Cable de Energía N2XSY 1x50 mm2  8,7/15kV</t>
  </si>
  <si>
    <t>Terminacion Autocontraible N2XSY 8,7/15kV 1x50 mm2. Exterior</t>
  </si>
  <si>
    <t>Abrazadera AºGº 36MMD.P.N2XSY</t>
  </si>
  <si>
    <t>TRAMO SUBTERRANEO</t>
  </si>
  <si>
    <t>Pararrayos de Oxido Metalico, 21 kV, 10 KA Clase 1</t>
  </si>
  <si>
    <t>Fusible Tipo Expulsion de 6 A, Tipo K</t>
  </si>
  <si>
    <t>Fusible Tipo Expulsion de 3 A, Tipo K</t>
  </si>
  <si>
    <t>Seccionador Fusible Unipolar Tipo Expulsion (Cut-Out) de 27/38 kV, 100A, 150 kV-BIL.</t>
  </si>
  <si>
    <t>EQUIPO DE PROTECCION Y MANIOBRA</t>
  </si>
  <si>
    <t>Placa de Señalización de Poste (Puesta a Tierra)</t>
  </si>
  <si>
    <t>Grapa en "U" para fijar conductor de PAT a Madera</t>
  </si>
  <si>
    <t>Caja Registro de Concreto para Puesta a Tierra 0,50 x 0,50 x 0,45 m</t>
  </si>
  <si>
    <t>Conector de Cobre tipo Perno Partido para Cable de Acero con Recubrimiento Metalúrgico de Cobre de 4 AWG (21,15 mm2)</t>
  </si>
  <si>
    <t>Conector de Bronce para Electrodo de 16 mm ø y Cable de Acero con Recubrimiento Metalúrgico de Cobre de 4 AWG (21,15 mm2)</t>
  </si>
  <si>
    <t>Plancha Doblada de Cobre para toma a Tierra de Espigas y/o Pernos</t>
  </si>
  <si>
    <t>MATERIAL PARA PUESTA A TIERRA</t>
  </si>
  <si>
    <t>Arandela Cuadrada Plana de A° G°, 57 x 57 x 5 mm, Agujero de 18 mm Ø</t>
  </si>
  <si>
    <t>Bloque de Concreto de 0,40 x 0,40 x 0,15 m</t>
  </si>
  <si>
    <t>Grillete de Acero de 70 kN</t>
  </si>
  <si>
    <t>Aislador Polimerico con Conexión Horquilla (Estructura) y Lengüeta (Linea) de 36 kV, según Especificacion Técnica, para Retenida Aislada.</t>
  </si>
  <si>
    <t>Enlace metálico, de 254 mm x 75 mm x 38 mm, de 70 kN de resistencia</t>
  </si>
  <si>
    <t>Abrazadera de 4 sectores para Retenida, de 75 mm de altura, 6,35 mm de espesor y 70 kN de resistencia. Diámetro según dimensiones del poste,  incluye 4 pernos de 12,7 mm Ø x 63,5 mm y 4 arandelas</t>
  </si>
  <si>
    <t>Soporte de Contrapunta de 51 mm ø x 1200 mm de longitud, con Abrazadera partida en un extremo y Grapa de Ajuste para Cable en el otro</t>
  </si>
  <si>
    <t>Alambre de Acero N° 14 para Entorchado</t>
  </si>
  <si>
    <t>Cable de Acero Grado Siemens Martin, de 10 mm Ø, 7 hilos</t>
  </si>
  <si>
    <t>Placa de Secuencia de Fases y accesorios de fijación</t>
  </si>
  <si>
    <t>Placa de Señal de Peligro y accesorios de fijación</t>
  </si>
  <si>
    <t>Arandela Cuadrada curva de A° G°, 57 x 57 x 5 mm, Agujero de 18 mm Ø</t>
  </si>
  <si>
    <t>Brazo-Soporte (Riostra) de Perfil Angular de A°G° de 38 x 38 x 5 mm y 710 mm longitud</t>
  </si>
  <si>
    <t>Tirafondo de A°G° de 13 mm ø  x 102 mm de longitud</t>
  </si>
  <si>
    <t>Perno Ojo de A°G° de 16 mm Ø  x 356 mm, provisto de Tuerca  y Contratuerca</t>
  </si>
  <si>
    <t>Perno Doble Armado de A°G° de 16 mm Ø  x 508 mm, provisto de  4 Tuercas y 4 Contratuercas</t>
  </si>
  <si>
    <t>Perno de A°G° de 16 mm Ø x 508 mm, provisto de Tuerca y  Contratuerca</t>
  </si>
  <si>
    <t>Perno de A°G° de 16 mm Ø x 356 mm, provisto de Tuerca y  Contratuerca</t>
  </si>
  <si>
    <t>Perno de A°G° de 16 mm Ø x 305 mm, provisto de Tuerca y  Contratuerca</t>
  </si>
  <si>
    <t>Perno de A°G° de 16 mm Ø x 254 mm, provisto de Tuerca y  Contratuerca</t>
  </si>
  <si>
    <t>Perno Cabeza Coche de AºGº de 13 mm Ø x 152 mm longitud, 76 mm maquinado, con Arandela, Tuerca y Contratuerca</t>
  </si>
  <si>
    <t>MATERIAL DE FERRETERIA PARA POSTES Y CRUCETAS</t>
  </si>
  <si>
    <t>CONDUCTOR DE COBRE</t>
  </si>
  <si>
    <t>Grapa de Anclaje para Conductor de 70 mm²</t>
  </si>
  <si>
    <t>Grapa de Anclaje para Conductor de 35 mm²</t>
  </si>
  <si>
    <t xml:space="preserve">Grapa de Angulo para Conductor de 70 mm²  </t>
  </si>
  <si>
    <t xml:space="preserve">Grapa de Angulo para Conductor de 35 mm²  </t>
  </si>
  <si>
    <t>Amortiguador de Vibracion Tipo Stockbridge para Conductor de 70 mm²</t>
  </si>
  <si>
    <t>Amortiguador de Vibracion Tipo Stockbridge para Conductor de 35 mm²</t>
  </si>
  <si>
    <t>Alambre de Amarre Aluminio Recocido de 16 mm²</t>
  </si>
  <si>
    <t>Grapa de Doble Via de Aluminio para Conductor de 70 mm²</t>
  </si>
  <si>
    <t>Grapa de Doble Via de Aluminio para Conductor de 35 mm²</t>
  </si>
  <si>
    <t>Manguito de Reparacion para Conductor de 35 mm²</t>
  </si>
  <si>
    <t>Manguito de Empalme para Conductor de 35 mm²</t>
  </si>
  <si>
    <t>Varilla de Armar preformada Simple para Conductor de 70 mm²</t>
  </si>
  <si>
    <t>Varilla de Armar preformada Simple para Conductor de 35 mm²</t>
  </si>
  <si>
    <t>ACCESORIOS PARA CONDUCTOR DE ALEACION DE ALUMINIO</t>
  </si>
  <si>
    <t>Conductor de Aleacion de Aluminio de 70 mm²</t>
  </si>
  <si>
    <t>Conductor de Aleacion de Aluminio de 35 mm²</t>
  </si>
  <si>
    <t>CONDUCTOR DE ALEACIÓN DE ALUMINIO</t>
  </si>
  <si>
    <t xml:space="preserve">Aislador Polimerico con Conexión Horquilla (Estructura) y Lengüeta (Linea) de 36 kV, según Especificacion Técnica. </t>
  </si>
  <si>
    <t>Grillete Recto</t>
  </si>
  <si>
    <t>AISLADORES DE SUSPENSION Y ACCESORIOS</t>
  </si>
  <si>
    <t>Espiga de AºGº de 609 mm longitud, para Cabeza de Poste y Aislador ANSI 56-3</t>
  </si>
  <si>
    <t>Aislador de Porcelana Tipo Pin, Clase ANSI 56-3</t>
  </si>
  <si>
    <t>AISLADORES Y ACCESORIOS</t>
  </si>
  <si>
    <t>Ménsula de C.A.V. M / 0,8 / 250 / 150 / 150 daN (M / L / T / F / V)</t>
  </si>
  <si>
    <t>Ménsula de C.A.V. M / 1,2 / 250 / 150 / 150 daN (M / L / T / F / V)</t>
  </si>
  <si>
    <t>Cruceta Asimétrica de C.A.V. Za / 1,5 / 0,9 / 250 / 200 / 100 daN (Za / L / L1/ T / F / V)</t>
  </si>
  <si>
    <t>OTROS MATERIALES DE CONCRETO ARMADO</t>
  </si>
  <si>
    <t>Poste de madera importada (Pino Amarillo del Sur) de 12 m, Clase 6</t>
  </si>
  <si>
    <t>Poste de C.A.C. de 13 m/400 daN (Incluye perilla)</t>
  </si>
  <si>
    <t>Poste de C.A.C. de 13 m/300 daN (Incluye perilla)</t>
  </si>
  <si>
    <t>Poste de C.A.C. de 12 m/300 daN (Incluye perilla)</t>
  </si>
  <si>
    <t>Poste de C.A.C. de 12 m/200 daN (Incluye perilla)</t>
  </si>
  <si>
    <t>POSTES  DE CONCRETO ARMADO CENTRIFUGADO</t>
  </si>
  <si>
    <t>Cruceta de madera tratada de 90 mm x 115 mm x 2,40 m</t>
  </si>
  <si>
    <t>Cruceta de madera tratada de 90 mm x 115 mm x 2,00 m</t>
  </si>
  <si>
    <t>Cruceta de madera tratada de 90 mm x 115 mm x 1,20 m</t>
  </si>
  <si>
    <t>CRUCETAS  DE MADERA DE PROCEDENCIA NACIONAL</t>
  </si>
  <si>
    <t>Expediente Técnico Final Conforme a Obra y de Concesión Rural de Líneas Primarias (1 Original + 3 Copias), incluye la presentacion digitalizada de textos y planos en CD.</t>
  </si>
  <si>
    <t>Pruebas y Puesta en Servicio de Lineas Primarias</t>
  </si>
  <si>
    <t>PRUEBAS Y PUESTA EN SERVICIO</t>
  </si>
  <si>
    <t>Instalacion de Terminales Autocontraibles Exterior</t>
  </si>
  <si>
    <t>Tendido de Cable de Energía N2XSY 1x50 mm2 8,7/15 KV (Incluye  conexionado)</t>
  </si>
  <si>
    <t>Instalación de ductos de 2 Vias</t>
  </si>
  <si>
    <t/>
  </si>
  <si>
    <t>Relleno y compactacion de Zanja con material adecuado</t>
  </si>
  <si>
    <t>Excavacion de Zanja en Terreno Tipo II (Rocoso)</t>
  </si>
  <si>
    <t>Excavacion de Zanja en Terreno Tipo I (Arcilloso y Conglomerado)</t>
  </si>
  <si>
    <t>MONTAJE DE REDES SUBTERRANEAS</t>
  </si>
  <si>
    <t>Relleno y compactación de puesta a tierra con material adecuado</t>
  </si>
  <si>
    <t>Instalación de Puesta a Tierra Tipo PAT-1 con un Electrodo Vertical. Instalación en Poste de Madera (Incluye instalación de una Caja de Registro).</t>
  </si>
  <si>
    <t>Instalacion de Puesta a Tierra Tipo PAT-1C (Contrapeso). Instalación en Poste de Madera.</t>
  </si>
  <si>
    <t>Instalación de Puesta a Tierra Tipo PAT-1 con un Electrodo Vertical. Instalación en Poste de Concreto Armado Centrifugado (Incluye instalación de una Caja de Registro).</t>
  </si>
  <si>
    <t>Instalacion de Puesta a Tierra Tipo PAT-1C (Contrapeso). Instalación en Poste de Concreto Armado</t>
  </si>
  <si>
    <t>Excavación en Terreno Tipo II (Rocoso)</t>
  </si>
  <si>
    <t>Excavación en Terreno Tipo I (Arcilloso y Conglomerado)</t>
  </si>
  <si>
    <t>Tendido y Puesta en Flecha de Conductor de Aleación de aluminio de 70 mm², Por Fase, Incluye Instalación de Amortiguadores.</t>
  </si>
  <si>
    <t>Tendido y Puesta en Flecha de Conductor de Aleación de aluminio de 35 mm², Por Fase, Incluye Instalación de Amortiguadores.</t>
  </si>
  <si>
    <t>MONTAJE DE CONDUCTORES</t>
  </si>
  <si>
    <t>Armado TSVE-3M Soporte . 3ø,retorno p/ tierra c</t>
  </si>
  <si>
    <t xml:space="preserve">Armado PA2VE-2M bifásico sin neutro  </t>
  </si>
  <si>
    <t>Armado PTVE-3B Soporte . 3ø,retorno p/ tierra c</t>
  </si>
  <si>
    <t>Armado TSVE-2SEC Soporte Secc. 2ø,retorno p/ tierra c</t>
  </si>
  <si>
    <t>Armado PRVE-3Mp Soporte de retención vertical, trifásico sin neutro</t>
  </si>
  <si>
    <t>Armado PRVE-2M Soporte de retención vertical, Bifásico sin neutro</t>
  </si>
  <si>
    <t>Armado PRVE-3M Soporte de retención vertical, trifásico sin neutro</t>
  </si>
  <si>
    <t xml:space="preserve">Armado PTVE-3SEC Soporte Terminal Vert. Trifásico sin neutro </t>
  </si>
  <si>
    <t>Armado DS-3V  Soporte derivación  tensada trifásico sin neutro</t>
  </si>
  <si>
    <t xml:space="preserve">Armado PA2VE-3M Trifásico sin neutro  </t>
  </si>
  <si>
    <t>Armado TSEC-0P Soporte Secc. 1ø,retorno p/ tierra c/ Pararrayos</t>
  </si>
  <si>
    <t>Armado TSECVE-3PM Soporte Secc. 3ø,retorno p/ tierra c</t>
  </si>
  <si>
    <t>Armado TSVE-2M  Sopte. Retención, susp. vertical, bifasico</t>
  </si>
  <si>
    <t>Armado PSVE-2 Soporte de suspensión vertical 0° a 10° bifásico sin neutro</t>
  </si>
  <si>
    <t>Armado DS-3  Soporte derivación  tensada trifásico sin neutro</t>
  </si>
  <si>
    <t>Armado DS-2  Soporte derivación  no tensada bifásico sin neutro</t>
  </si>
  <si>
    <t>Armado DS-0  Soporte derivación  no tensada monofásico sin neutro</t>
  </si>
  <si>
    <t>Armado Tipo PSVE-3M Soporte de suspensión vertical 0° a 10° trifásico</t>
  </si>
  <si>
    <t>Armado TS-0  Soporte de Retención, monofásico, retorno por tierra</t>
  </si>
  <si>
    <t xml:space="preserve">Armado PR3-0 Anclaje Monofásico retorno por tierra   </t>
  </si>
  <si>
    <t xml:space="preserve">Armado PA2-0 (30°-60°) Monofásico retorno por tierra </t>
  </si>
  <si>
    <t>Armado PS1-0 (0°-5°) Monofasico retorno por tierra</t>
  </si>
  <si>
    <t>Instalación de Retenida Vertical en Y</t>
  </si>
  <si>
    <t>Instalación de Retenida Vertical</t>
  </si>
  <si>
    <t>Instalación de Retenida Inclinada en Y</t>
  </si>
  <si>
    <t>Instalación de Retenida Inclinada</t>
  </si>
  <si>
    <t>Solado para poste de concreto (e=0.10 m. C:H, 1:8)</t>
  </si>
  <si>
    <t>Cimentación con Concreto Ciclópeo de Poste de 13m en Terreno Tipo II (Rocoso)</t>
  </si>
  <si>
    <t>Cimentación con Concreto Ciclópeo de Poste de 13m en Terreno Tipo I (Arcilloso y Conglomerado)</t>
  </si>
  <si>
    <t>Relleno y Compactación para cimentación de Poste 12m, en Terreno Tipo II (Rocoso)</t>
  </si>
  <si>
    <t>Relleno y Compactación para cimentación de Poste 12m, en Terreno Tipo I (Arcilloso y Conglomerado)</t>
  </si>
  <si>
    <t>Izaje, Identificación y/o codificación, y Señalización de Poste de 12 m/200 daN (*)</t>
  </si>
  <si>
    <t>Izaje, Identificación y/o codificación, y Señalización de Poste de 12 m/300 daN (*)</t>
  </si>
  <si>
    <t>Izaje, Identificación y/o codificación, y Señalización de Poste de 13 m/400 daN (*)</t>
  </si>
  <si>
    <t>Izaje, Identificación y/o codificación, y Señalización de Poste de 13 m/300 daN (*)</t>
  </si>
  <si>
    <t>Izaje, Identificación y/o codificación, y Señalización de Poste de madera importada de 12 m, Clase 6 (*)</t>
  </si>
  <si>
    <t>Transporte de Terminacion Autocontraible de Almacen a Punto de Instalacion en Terreno con Acceso Carrozable</t>
  </si>
  <si>
    <t>Transporte de Ductos de concretos de 2 Vias de almacen a punto de Instalacion en Terreno con Acceso Carrozable</t>
  </si>
  <si>
    <t>Transporte de Caja Registro de Concreto para Puesta a Tierra 0,50 x 0,50 x 0,45 m, de Almacen a Punto de Montaje en Terreno sin Acceso Carrozable (&lt; 1000 m)</t>
  </si>
  <si>
    <t>Transporte de Caja Registro de Concreto para Puesta a Tierra 0,50 x 0,50 x 0,45 m, de Almacen a Punto de Montaje en Terreno con Acceso Carrozable</t>
  </si>
  <si>
    <t>Transporte de Pararrayos de Oxido Metalico, 21 kV, 10 KA Clase 1 de Almacen a Punto de Montaje en Terreno sin Acceso Carrozable (&lt; 1000 m)</t>
  </si>
  <si>
    <t>Transporte de Pararrayos de Oxido Metalico, 21 kV, 10 KA Clase 1 de Almacen a Punto de Montaje en Terreno con Acceso Carrozable</t>
  </si>
  <si>
    <t>Transporte de Seccionador Fusible Unipolar Tipo Expulsion (Cut-Out) de 27/38 kV, 100A, 150 kV-BIL. de Almacen a Punto de Instalaciòn en Terreno sin Acceso Carrozable (&lt; 1000 m)</t>
  </si>
  <si>
    <t>Transporte de Seccionador Fusible Unipolar Tipo Expulsion (Cut-Out) de 27/38 kV, 100A, 150 kV-BIL. de Almacen a Punto de Instalaciòn en Terreno con Acceso Carrozable</t>
  </si>
  <si>
    <t>Transporte de Conductor de Aleacion de Aluminio de 70 mm²  de Almacen a Punto de Instalaciòn en Terreno sin Acceso Carrozable (&lt; 1000 m)</t>
  </si>
  <si>
    <t>Transporte de Conductor de Aleacion de Aluminio de 70 mm²  de Almacen a Punto de Instalaciòn en Terreno con Acceso Carrozable</t>
  </si>
  <si>
    <t>Transporte de Conductor de Aleacion de Aluminio de 35 mm²  de Almacen a Punto de Intalaciòn en Terreno sin Acceso Carrozable (&lt; 1000 m)</t>
  </si>
  <si>
    <t>Transporte de Conductor de Aleacion de Aluminio de 35 mm²  de Almacen a Punto de Intalaciòn en Terreno con Acceso Carrozable</t>
  </si>
  <si>
    <t>Transporte de Aislador Polimerico con Conexión Horquilla (Estructura) y Lengüeta (Linea), de 36 Kv y según Especificacion Técnica. de Almacen a Punto de Intalaciòn en Terreno sin Acceso Carrozable (&lt; 1000 m)</t>
  </si>
  <si>
    <t>Transporte de Aislador Polimerico con Conexión Horquilla (Estructura) y Lengüeta (Linea), de 36 Kv y según Especificacion Técnica. de Almacen a Punto de Intalaciòn en Terreno con Acceso Carrozable</t>
  </si>
  <si>
    <t>Transporte de  Aislador Line Post Polimérico de Almacén a Punto de Instalaciòn en Terreno con Acceso Carrozable</t>
  </si>
  <si>
    <t>Transporte de Aislador de Porcelana Tipo Pin, Clase ANSI 56-3 de Almacén a Punto de Instalaciòn en Terreno sin Acceso Carrozable (&lt; 1000 m)</t>
  </si>
  <si>
    <t>Transporte de Aislador de Porcelana Tipo Pin, Clase ANSI 56-3 de Almacén a Punto de Instalaciòn en Terreno con Acceso Carrozable</t>
  </si>
  <si>
    <t>Transporte de Cruceta de madera tratada de 90 mm x 115 mm x 2,40 m y 2,00 m, de Almacen a Punto de Instalaciòn en Terreno con Acceso Carrozable</t>
  </si>
  <si>
    <t>Transporte de Ménsula de C.A.V y Cruceta Asimétrica de C.A.V, de Almacen a Punto de Instalaciòn en Terreno con Acceso Carrozable</t>
  </si>
  <si>
    <t>Transporte de Cruceta de madera tratada de 90 mm x 115 mm x 1,20 m, de Almacen a Punto de Instalaciòn en Terreno sin Acceso  Carrozable (&lt; 1000 m)</t>
  </si>
  <si>
    <t>Transporte de Cruceta de madera tratada de 90 mm x 115 mm x 1,20 m, de Almacen a Punto de Instalaciòn en Terreno con Acceso Carrozable</t>
  </si>
  <si>
    <t>Transporte de Poste de madera importada (Pino Amarillo del Sur) de 12m, Clase 6 de Almacen a Punto de Izaje, en Terreno  sin Acceso Carrozable (&lt; 1000 m)</t>
  </si>
  <si>
    <t>Transporte de Poste de madera importada (Pino Amarillo del Sur) de 12m, Clase 6 de Almacen a Punto de Izaje, en Terreno con Acceso Carrozable</t>
  </si>
  <si>
    <t>Transporte de Poste de 13 m/400 daN de Almacen a Punto de Izaje, en Terreno con Acceso Carrozable</t>
  </si>
  <si>
    <t xml:space="preserve">Transporte de Poste de 13 m/300 daN de Almacen a Punto de Izaje, en Terreno con Acceso Carrozable </t>
  </si>
  <si>
    <t>Transporte de Poste de 12 m/300 daN de Almacen a Punto de Izaje, en Terreno sin Acceso Carrozable (&lt; 1000 m)</t>
  </si>
  <si>
    <t xml:space="preserve">Transporte de Poste de 12 m/300 daN de Almacen a Punto de Izaje, en Terreno con Acceso Carrozable </t>
  </si>
  <si>
    <t>Transporte de Poste de 12 m/200 daN de Almacen a Punto de Izaje, en Terreno  sin Acceso Carrozable (&lt; 1000 m)</t>
  </si>
  <si>
    <t xml:space="preserve">Transporte de Poste de 12 m/200 daN de Almacen a Punto de Izaje, en Terreno con Acceso Carrozable </t>
  </si>
  <si>
    <t>Elaboración del Expediente Técnico Sustentatorio de Gestión de Servidumbre (1original + 3copias). Incluye Levantamiento Topografico, y presentacion digitalizada del Expediente</t>
  </si>
  <si>
    <t>Ha</t>
  </si>
  <si>
    <t>Despeje de Árboles Dentro de la Franja de Servidumbre</t>
  </si>
  <si>
    <t>Cartel para Obra</t>
  </si>
  <si>
    <t>Programa de Talleres de Información y de Medidas Preventivas y/o Correctivas</t>
  </si>
  <si>
    <t>Programa de Manejo de Residuos</t>
  </si>
  <si>
    <t>Programa de Monitoreo Ambiental (Incluye Línea Primarias, Red Primaria, Red Secundaria y SFV)</t>
  </si>
  <si>
    <t>Monitoreo e Inspección del Ministerio de Cultura ( Incluye Líneas Primarias, Redes Primarias, Redes Secundarias y SFV )</t>
  </si>
  <si>
    <t>Estudio de Coordinación de la Protección y Balance de Cargas</t>
  </si>
  <si>
    <t>PRESUPUESTO ESTUDIO DEFINITIVO</t>
  </si>
  <si>
    <t>SECCIÓN II</t>
  </si>
  <si>
    <t>Poste de madera importada (Pino Amarillo del Sur) de 12 m, Clase 5</t>
  </si>
  <si>
    <t>Plataforma de Concreto Soporte de Transformador de 2,20 m, carga de trabajo de 500 daN</t>
  </si>
  <si>
    <t>- Aislador Polimérico de 36 kV, Tipo Line Post con Espárrago de 19 mm Ø, 200 mm longitud (Alternativa a Conjunto Aislador-Espiga en Cruceta)</t>
  </si>
  <si>
    <t>AISLADORES DE SUSPENSIÓN Y ACCESORIOS</t>
  </si>
  <si>
    <t>ACCESORIOS PARA CONDUCTOR DE ALEACION ALUMINIO</t>
  </si>
  <si>
    <t>Fusible Tipo Expulsion de 2 A, Tipo K</t>
  </si>
  <si>
    <t>TRANSFORMADORES DE DISTRIBUCION</t>
  </si>
  <si>
    <t>Transformador Monofásico Fase - Neutro de 5 kVA; 13,2 / 0,46-0,23 kV</t>
  </si>
  <si>
    <t>Transformador Monofásico Fase - Fase de 5 kVA; 13,8 / 0,46-0,23 kV</t>
  </si>
  <si>
    <t>Transformador Monofásico Fase - Fase de 10 kVA; 13,8 / 0,46-0,23 kV</t>
  </si>
  <si>
    <t>TABLEROS DE DISTRIBUCIÓN</t>
  </si>
  <si>
    <t>Tableros de Distribución Completa para S.E. Monofásica de 5 kVA; 440-220V</t>
  </si>
  <si>
    <t>Tableros de Distribución Completa para S.E. Monofásica de 10 kVA; 440-220V</t>
  </si>
  <si>
    <t>CABLES DE ENERGÍA DE BAJA TENSIÓN</t>
  </si>
  <si>
    <t>Cable NYY, 1 kV, 1 x 16 mm²</t>
  </si>
  <si>
    <t>Cable NYY, 1 kV, 1 x 25 mm²</t>
  </si>
  <si>
    <t>Transporte de Poste de madera importado de 12 m, Clase 5 de Almacen a Punto de Izaje, en Terreno  sin Acceso Carrozable (&lt; 1000 m)</t>
  </si>
  <si>
    <t>Transporte de Cable de Acero con Recubrimiento Metalurgico de Cu de 4AWG  de Almacen a Punto de Intalaciòn en Terreno con Acceso Carrozable</t>
  </si>
  <si>
    <t>Transporte de Cable de Acero con Recubrimiento Metalurgico de Cu de 4AWG  de Almacen a Punto de Intalaciòn en Terreno sin Acceso Carrozable  (&lt; 1000 m)</t>
  </si>
  <si>
    <t>Transporte de Transformador Monofásico Fase - Neutro de 5 kVA; 13,2 / 0,46-0,23 kV y Tablero de Distribucion, de Almacen a Punto de Instalaciòn en Terreno con Acceso Carrozable</t>
  </si>
  <si>
    <t>Transporte de Transformador Monofásico Fase - Neutro de 5 kVA; 13,2 / 0,46-0,23 kV y Tablero de Distribucion, de Almacen a Punto de Instalaciòn en Terreno sin Acceso Carrozable  (&lt; 1000 m)</t>
  </si>
  <si>
    <t>Transporte de Transformador Monofásico Fase - Fase de 5 kVA; 13,8 / 0,46-0,23 kV y Tablero de Distribucion, de Almacen a Punto de Instalaciòn en Terreno con Acceso Carrozable</t>
  </si>
  <si>
    <t>Transporte de Transformador Monofásico Fase - Fase de 10 kVA; 13,8 / 0,46-0,23 kV y Tablero de Distribucion, de Almacen a Punto de Instalaciòn en Terreno con Acceso Carrozable</t>
  </si>
  <si>
    <t>Transporte de Plataforma de Concreto Soporte de Transformador, de Almacen a Punto de Instalaciòn en Terreno con Acceso Carrozable</t>
  </si>
  <si>
    <t xml:space="preserve">INSTALACION DE POSTES </t>
  </si>
  <si>
    <t>m3</t>
  </si>
  <si>
    <t>Izaje, Identificación y/o codificación, y Señalización de Poste de madera importada de 12 m, Clase 5 (*)</t>
  </si>
  <si>
    <t>Cimentación con concreto ciclópeo de Poste de 13m en Terreno Tipo II (Rocoso)</t>
  </si>
  <si>
    <t xml:space="preserve">Armado DT-0  Soporte derivación  tensada monofásico retorno por tierra </t>
  </si>
  <si>
    <t xml:space="preserve">Armado DS-2V  Soporte derivación   monofásico </t>
  </si>
  <si>
    <t>Armado TSVE-2  Sopte. Retención, susp. vertical, bifasico</t>
  </si>
  <si>
    <t>Armado PA1VE-2 Soporte de ángulo vertical 10° a 30° bifásico sin neutro</t>
  </si>
  <si>
    <t>Armado SMM-2P S.E. 1ø, Monoposte en alineamiento, con pararrayos.</t>
  </si>
  <si>
    <t>Armado SBM-2V S.E. 2ø, Monoposte en alineamiento, con pararrayos.</t>
  </si>
  <si>
    <t>Instalación de Puesta a Tierra Tipo PAT-2 con dos Electrodos Verticales. Instalación en Poste de Concreto Armado Centrifugado (Incluye instalación de dos Cajas de Registro)</t>
  </si>
  <si>
    <t>Instalación de Puesta a Tierra Tipo PAT-3 con tres Electrodos Verticales. Instalación en Poste de Concreto Armado Centrifugado (Incluye instalación de tres Cajas de Registro).</t>
  </si>
  <si>
    <t>Instalación de Puesta a Tierra Tipo PAT-3 con tres Electrodos Verticales. Instalación en Poste de Madera (Incluye instalación de tres Cajas de Registro)</t>
  </si>
  <si>
    <t>Relleno y Compactación de Puesta a Tierra con material adecuado</t>
  </si>
  <si>
    <t>Pruebas y Puesta en Servicio de Redes Primarias</t>
  </si>
  <si>
    <t>Expediente Técnico Final Conforme a Obra y de Concesión Rural de Redes Primarias (1 Original + 3 Copias), incluye la presentacion digitalizada de textos y planos en CD.</t>
  </si>
  <si>
    <t>SECCIÓN IV</t>
  </si>
  <si>
    <t>SISTEMA FOTOVOLTAICO</t>
  </si>
  <si>
    <t>UNIDAD DE GENERACIÓN</t>
  </si>
  <si>
    <t>Módulo Fotovoltaico 160 Wp, 12Vdc, silicio cristalino</t>
  </si>
  <si>
    <t>Modulo Soporte de F°G° para SFV 160 Wp según lámina de detalle. Incluye accesorios</t>
  </si>
  <si>
    <t>UNIDAD DE CONTROL</t>
  </si>
  <si>
    <t>Tablero de protección adosable de PVC, con puerta, 12 Vdc, 0 2 polos,  IP 54, con riel DIN y  accesorios de fijación</t>
  </si>
  <si>
    <t>Interruptor termomagnético 12 Vdc, 16 A</t>
  </si>
  <si>
    <t>Conector rectangular hermético tipo CONDUIT, de A°G° para tubería flexible de 3/4"</t>
  </si>
  <si>
    <t>Caja de control de carga adosable de PVC, con puerta, IP54, con riel DIN, borne de puesta a tierra  y accesorios de fijación</t>
  </si>
  <si>
    <t>Controlador de carga tipo PWM 12/24 Vdc, 20A</t>
  </si>
  <si>
    <t>Tubería  eléctrica tipo CONDUIT flexible corrugada de F°G°, con forro corrugado de PVC y 3/4" de diámetro</t>
  </si>
  <si>
    <t>Abrazadera de F°G° de dos orejas para tubo de PVC de 3/4" diámetro con accesorios de fijación</t>
  </si>
  <si>
    <t>Caja estanca de PVC con tapa atornillable, IP 65, de 100x100x70 mm</t>
  </si>
  <si>
    <t>Bornera de línea a tierra para 8 conductores  de 16 mm2 Cu</t>
  </si>
  <si>
    <t>Interruptor termomagnético 12 Vdc, 16 A (De requerirse)</t>
  </si>
  <si>
    <t>Interruptor termomagnético 12 Vdc, 40 A (De requerirse)</t>
  </si>
  <si>
    <t>UNIDAD DE ALMACENAMIENTO</t>
  </si>
  <si>
    <t>Bateria de electrolito gelificado, 150 Ah, 12 Vdc</t>
  </si>
  <si>
    <t>Rack para bateria gelificada,  150 Ah, 12 Vdc, incluye accesorios de fijación y protección</t>
  </si>
  <si>
    <t>Conductor THW de 6 mm2, Cu</t>
  </si>
  <si>
    <t>Conector rectangular hermético de PVC  para tubería eléctrica flexible de PVC corrugada de 3/4"</t>
  </si>
  <si>
    <t xml:space="preserve">Conector rectangular hermético tipo CONDUIT, de A°G° para tubería flexible de 3/4" </t>
  </si>
  <si>
    <t>Terminales para bateria y elementos de fijacion</t>
  </si>
  <si>
    <t>Tubería  eléctrica flexible de PVC corrugada de 3/4" de diámetro</t>
  </si>
  <si>
    <t>Cinta autofundente para bornes de baterías</t>
  </si>
  <si>
    <t xml:space="preserve">UNIDAD DE INVERSOR DC/AC </t>
  </si>
  <si>
    <t>Inversor de 300W continuos 12Vdc/220Vac, 60 Hz</t>
  </si>
  <si>
    <t>Caja para el inversor adosable de PVC, con puerta, IP54, con riel DIN, borne de puesta a tierra  y accesorios de fijación</t>
  </si>
  <si>
    <t>Conductor THW de 16mm2, Cu</t>
  </si>
  <si>
    <t xml:space="preserve">Conector rectangular hermético de PVC  para tubería eléctrica flexible de PVC corrugada de 3/4" </t>
  </si>
  <si>
    <t>UNIDAD DE PROTECCION 220 V AC</t>
  </si>
  <si>
    <t>Tablero de protección adosable de PVC, con puerta, 220 V ac, 6 polos,  IP 54, con riel DIN , accesorios de fijación y bornera de pat</t>
  </si>
  <si>
    <t>Interruptor termomagnético 220Vac, 6A, 6KA</t>
  </si>
  <si>
    <t>Interruptor automático y diferencial 220Vac, 25A, 30mA</t>
  </si>
  <si>
    <t>Conductor  THW, 6 mm2, Cu, color rojo y negro</t>
  </si>
  <si>
    <t>Tubo PVC de 1/2" diámetro x 3 m longitud, clase pesada (SAP)</t>
  </si>
  <si>
    <t>Curva de PVC  de 1/2" de diámetro, clase pesada (SAP)</t>
  </si>
  <si>
    <t>Conector de PVC, roscado con tuerca de ajuste  de 1/2" SAP</t>
  </si>
  <si>
    <t>Abrazadera de F°G° de dos orejas para tubo de PVC de 1/2" diámetro con accesorios de fijación</t>
  </si>
  <si>
    <t>UNIDAD DE CARGAS 220V AC</t>
  </si>
  <si>
    <t>Conductor para alumbrado THW, 2,5mm2, Cu, color rojo y negro</t>
  </si>
  <si>
    <t>Conductor para tomacorriente THW, 4mm2, Cu, color rojo y negro</t>
  </si>
  <si>
    <t>Conductor para tierra de protección THW 4mm2, Cu, color verde amarillo</t>
  </si>
  <si>
    <t>Caja de pase metálica octogonal pesada para salida de alumbrado</t>
  </si>
  <si>
    <t>Portalampara de material aislante con casquillo E27 con accesorios de fijación</t>
  </si>
  <si>
    <t>Lampara tipo LED 7W, 220Vac, color cálido</t>
  </si>
  <si>
    <t>Caja de pase rectangular de PVC de 2x4" para instalación  adosada de interruptor. Incluye accesorios de fijación</t>
  </si>
  <si>
    <t>Caja de pase rectangualr de PVC, minimo IP54, de 80 mm x 80 mm x 35 mm</t>
  </si>
  <si>
    <t>Bornera de PVC de 15 A,  para empalme de conductores (linea de 12 conectores)</t>
  </si>
  <si>
    <t>Caja de pase rectangular de PVC de 2x4" para instalación  adosada de tomacorriente. Incluye accesorios de fijación</t>
  </si>
  <si>
    <t>Tomacorriente doble, bipolar, tipo universal 2x15A+T, con toma a tierra, de 250V</t>
  </si>
  <si>
    <t>Conector hembra roscado de PVC  de 1/2" con tuerca de ajuste, para fijación de tubo SAP a cajas</t>
  </si>
  <si>
    <t>Abrazadera de F°G° de una oreja para tubo de PVC de 1/2" diámetro con accesorios de fijación</t>
  </si>
  <si>
    <t>Unión de  PVC de 1/2" SAP</t>
  </si>
  <si>
    <t>RED EQUIPOTENCIAL</t>
  </si>
  <si>
    <t>Conductor de conexión a tierra de equipo a barra de tierra, conductor 1x4mm2 THW, Cu</t>
  </si>
  <si>
    <t>Conductor desnudo de bajada a Puesta a Tierra, Cu recocido  1x10mm2</t>
  </si>
  <si>
    <t>Conector de Bronce para Electrodo de 16 mm ø y Conductor de Cobre de 10 mm2</t>
  </si>
  <si>
    <t>Caja Registro de Concreto para Puesta a Tierra ø 0,40 m x 0,30 m</t>
  </si>
  <si>
    <t>Tubo PVC de 3/4" diámetro x 3 m longitud, clase pesada (SAP)</t>
  </si>
  <si>
    <t>Curva de PVC  de 3/4" de diámetro, clase pesada (SAP)</t>
  </si>
  <si>
    <t>Cemento conductivo en bolsa de 25 kg</t>
  </si>
  <si>
    <t>ACOMETIDA PARA SFV</t>
  </si>
  <si>
    <t>Conductor de Cobre Concéntrico,  2 x 6 mm2, con aislamiento y cubierta de PVC</t>
  </si>
  <si>
    <t>Curva y sección de tubo PVC  de 3/4" de diámetro, clase pesada (SAP)</t>
  </si>
  <si>
    <t>Tarugo de Cedro de 13 mm x 50 mm</t>
  </si>
  <si>
    <t xml:space="preserve">Transporte de Modulo Soporte de F°G° para SFV 160 Wp, de Almacén a Punto de Instalación, en Terreno con acceso Carrozable </t>
  </si>
  <si>
    <t xml:space="preserve">Transporte de Modulo Soporte de F°G° para SFV 160 Wp, de Almacén a Punto de Instalación, en Terreno sin acceso Carrozable (&gt; 3000 m) </t>
  </si>
  <si>
    <t>Transporte de Módulo Fotovoltaico de 160 Wp, de Almacén a Punto de Instalación, en Terreno con acceso Carrozable</t>
  </si>
  <si>
    <t>Transporte de Módulo Fotovoltaico de 160 Wp, de Almacén a Punto de Instalación, en Terreno sin acceso Carrozable (&gt; 3000 m)</t>
  </si>
  <si>
    <t>Transporte de Unidad de Control para SFV 160 Wp, de Almacén a Punto de Instalación, en Terreno con acceso Carrozable</t>
  </si>
  <si>
    <t>Transporte de Unidad de Control para SFV 160 Wp, de Almacén a Punto de Instalación, en Terreno sin acceso Carrozable (&gt; 3000 m)</t>
  </si>
  <si>
    <t>Transporte de Unidad de Almacenamiento para SFV 160 Wp, de Almacén a Punto de Instalación, en Terreno con acceso Carrozable</t>
  </si>
  <si>
    <t>Transporte de Unidad de Almacenamiento para SFV 160 Wp, de Almacén a Punto de Instalación, en Terreno sin acceso Carrozable (&gt; 3000 m)</t>
  </si>
  <si>
    <t>Transporte de Unidad de Inversor para SFV 160 Wp, de Almacén a Punto de Instalación, en Terreno con acceso Carrozable</t>
  </si>
  <si>
    <t>Transporte de Unidad de Inversor para SFV 160 Wp, de Almacén a Punto de Instalación, en Terreno sin acceso Carrozable (&gt; 3000 m)</t>
  </si>
  <si>
    <t>Transporte de Unidades de Protección, Cargas y Acometidas, de Almacén a Punto de Instalación, en Terreno con acceso Carrozable</t>
  </si>
  <si>
    <t>Transporte de Unidades de Protección, Cargas y Acometidas, de Almacén a Punto de Instalación, en Terreno sin acceso Carrozable (&gt; 3000 m)</t>
  </si>
  <si>
    <t>Transporte de Red Equipotencial y Puesta a Tierra, de Almacén a Punto de Instalación, en Terreno con acceso Carrozable</t>
  </si>
  <si>
    <t>Transporte de Red Equipotencial y Puesta a Tierra, de Almacén a Punto de Instalación, en Terreno sin acceso Carrozable (&gt; 3000 m)</t>
  </si>
  <si>
    <t>MONTAJE DE LA UNIDAD DE GENERACIÓN y ACOMETIDA</t>
  </si>
  <si>
    <t>Montaje del Soporte Metálico, Izaje y Fijación del Poste Metálico para SFV de 160 Wp</t>
  </si>
  <si>
    <t>Cjto</t>
  </si>
  <si>
    <t>Relleno, compactación y cimentacion de postes de fierro galvanizado de 4 m x 2,5 pulgadas en terreno tipo I (Arcilloso y conglomerado)</t>
  </si>
  <si>
    <t>-</t>
  </si>
  <si>
    <t>Relleno, compactación y cimentacion de postes de fierro galvanizado de 4 m x 2,5 pulgadas en terreno Tipo II (Rocoso)</t>
  </si>
  <si>
    <t>Montaje y Conexionado de Módulo Fotovoltaico en Unidad de Generación para SFV de 160 Wp</t>
  </si>
  <si>
    <t>Conexionado de Acometida para SFV</t>
  </si>
  <si>
    <t>MONTAJE DE UNIDAD DE CONTROL Y UNIDAD DE ALMACENAMIENTO</t>
  </si>
  <si>
    <t>Montaje de Unidad de Control (incluye Gabinete, Controlador y Conexiones), para SFV de 160 Wp</t>
  </si>
  <si>
    <t>Montaje de Unidad de Almacenamiento (incluye Soporte Metálico, Baterías y Conexiones), para SFV de 160 Wp</t>
  </si>
  <si>
    <t>MONTAJE DE LA UNIDADES EN CORRIENTE ALTERNA 220 AC</t>
  </si>
  <si>
    <t>Montaje Unidad de Inversor (incluye Gabinete, Inversor y Conexiones), para SFV de 160 Wp</t>
  </si>
  <si>
    <t>Montaje Unidad de Protección (incluye Tablero, Interruptores y Conexiones) para SFV</t>
  </si>
  <si>
    <t>Montaje de Unidades de Carga  (incluye sistema de alumbrado, tomacorrientes y protecciones) para SFV</t>
  </si>
  <si>
    <t>Cjto.</t>
  </si>
  <si>
    <t>SISTEMA DE PUESTA A TIERRA</t>
  </si>
  <si>
    <t>Montaje de red equipotencial</t>
  </si>
  <si>
    <t>Instalación de Puesta a tierra con un electrodo vertical tipo PAT-1* con cemento Conductivo y un Electrodo Vertical (Incluye Caja de Registro).</t>
  </si>
  <si>
    <t>Relleno y Compactación de Puesta a Tierra con Material Adecuado.</t>
  </si>
  <si>
    <t>INSPECCIÓN Y PRUEBAS</t>
  </si>
  <si>
    <t>Inspeccion, Pruebas y Puesta en servicio del Sistema Fotovoltaico Individual</t>
  </si>
  <si>
    <t>Expediente Técnico Final Conforme a Obra y de Concesión Rural de Sistema Fotovoltaico (1 Original + 3 Copias), incluye la presentacion digitalizada de textos y planos en CD.</t>
  </si>
  <si>
    <t>Ducto de concreto de 4 vias</t>
  </si>
  <si>
    <t>Buzon de concreto</t>
  </si>
  <si>
    <t>Ladrillos común</t>
  </si>
  <si>
    <t>Cinta de señalizacion y peligro color rojo</t>
  </si>
  <si>
    <t>Tubo A°G° DE  4" ø y 3.00 m de longitud</t>
  </si>
  <si>
    <t>Poste de C.A.C. de 15 m/400 daN (Incluye perilla)</t>
  </si>
  <si>
    <t>Poste de PRFV de 12 m/200 daN</t>
  </si>
  <si>
    <t>Poste de PRFV de 12 m/300 daN</t>
  </si>
  <si>
    <t>Cinta plana de armar de aluminio</t>
  </si>
  <si>
    <t>Perno Ojo de A°G° de 16 mm Ø  x 203 mm, provisto de Tuerca  y Contratuerca</t>
  </si>
  <si>
    <t>Transporte de poste de PRFV de 12 m/200 de Almacen a Punto de Izaje, en Terreno  sin Acceso Carrozable (&lt; 1000 m)</t>
  </si>
  <si>
    <t>Transporte de poste de PRFV de 12 m/300 de Almacen a Punto de Izaje, en Terreno  sin Acceso Carrozable (&lt; 1000 m)</t>
  </si>
  <si>
    <t xml:space="preserve">Transporte de poste de 15/400 de Almacen a Punto de Izaje, en Terreno con Acceso Carrozable </t>
  </si>
  <si>
    <t>Transporte de Ductos de concretos de 4 Vias de almacen a punto de Instalacion en Terreno con Acceso Carrozable</t>
  </si>
  <si>
    <t>Transporte de ladrillos de almacen a punto de Instalacion en Terreno con Acceso Carrozable</t>
  </si>
  <si>
    <t>Izaje, Identificación y/o codificación, y Señalización de Poste de PRFV 12 m/200</t>
  </si>
  <si>
    <t>Izaje, Identificación y/o codificación, y Señalización de Poste de PRFV 12 m/300</t>
  </si>
  <si>
    <t>Izaje, Identificación y/o codificación, y Señalización de Poste de 15 m/400 daN (*)</t>
  </si>
  <si>
    <t>Cimentación con Concreto Ciclópeo de Poste de 15m en Terreno Tipo I (Arcilloso y Conglomerado)</t>
  </si>
  <si>
    <t xml:space="preserve">Armado P3A2-0 Anclaje Monofásico retorno por tierra   </t>
  </si>
  <si>
    <t>Instalación de ductos de 4 Vias (cruzadas en carretera)</t>
  </si>
  <si>
    <t>Instalacion de ladrillos de proteccion y señalizacion</t>
  </si>
  <si>
    <t>Conjunto Aislador Line Post Polimérico en Mesula y Cruceta:</t>
  </si>
  <si>
    <t>.- Aislador Polimérico de 36 kV, Tipo Line Post con Espárrago de 19 mm Ø, 200 mm longitud (Alternativa a Conjunto Aislador-Espiga en Cruceta)</t>
  </si>
  <si>
    <t>Espiga para cruceta, forjada de 381mm LONG. Para aislador Tipo Pin, Clase ANSI 56-3</t>
  </si>
  <si>
    <t>Varilla de Armar preformada Doble para Conductor de 35 mm²</t>
  </si>
  <si>
    <t>Perno de A°G° de 16 mm Ø x 457 mm, provisto de tuerca y contratuerca</t>
  </si>
  <si>
    <t>Soporte separador de vértice de poste de A°G° fabricado con platina de 76 x 6,4 mm</t>
  </si>
  <si>
    <t>Transformador Monofásico Fase - Fase de 5 kVA; 22,9 / 0,46-0,23 kV</t>
  </si>
  <si>
    <t>Transformador Monofásico Fase - Fase de 37.5 kVA; 13,8 / 0,46-0,23 kV</t>
  </si>
  <si>
    <t>Tableros de Distribución Completa para S.E. Monofásica de 37.5 kVA; 440-220V</t>
  </si>
  <si>
    <t>Cable NYY, 1 kV, 1 x 35 mm²</t>
  </si>
  <si>
    <t>Transporte de Poste de PRFV de 12 m/200 daN de Almacen a Punto de Izaje, en Terreno  sin Acceso Carrozable (&lt; 1000 m)</t>
  </si>
  <si>
    <t>Transporte de Poste de PRFV de 12 m/300 daN de Almacen a Punto de Izaje, en Terreno  sin Acceso Carrozable (&lt; 1000 m)</t>
  </si>
  <si>
    <t>Transporte de Cruceta de madera tratada de 90 mm x 115 mm x 2,00 m, de Almacen a Punto de Instalaciòn en Terreno con Acceso Carrozable</t>
  </si>
  <si>
    <t>Transporte de Cruceta de madera tratada de 90 mm x 115 mm x 2,40 m, de Almacen a Punto de Instalaciòn en Terreno con Acceso Carrozable</t>
  </si>
  <si>
    <t>Transporte de Aislador Polimerico con Conexión Horquilla (Estructura) y Lengüeta (Linea), de 36 Kv y según Especificacion Técnica. de Almacen a Punto de Intalaciòn en Terreno sin Acceso Carrozable</t>
  </si>
  <si>
    <t>Izaje, Identificación y/o codificación, y Señalización de Poste de PRFV de 12 m/200 daN (*)</t>
  </si>
  <si>
    <t>Izaje, Identificación y/o codificación, y Señalización de Poste de PRFV de 12 m/300 daN (*)</t>
  </si>
  <si>
    <t>Armado DS-0A  Soporte derivación  no tensada monofásico sin neutro</t>
  </si>
  <si>
    <t>Armado PA1-0 (5° -30°)  soporte de ángulo monofásico, retorno por tierra</t>
  </si>
  <si>
    <t>Armado PTV-0 Soporte terminal monofásico, retorno por tierra</t>
  </si>
  <si>
    <t>Armado SMM-1P S.E. 1ø, Monoposte en fin de linea, con pararrayos.</t>
  </si>
  <si>
    <t>Armado PS1-2 Soporte de Alineamiento 0° a 5° bifásico sin neutro</t>
  </si>
  <si>
    <t>Armado SBM-2P S.E. 2ø, Monoposte en alineamiento, con pararrayos.</t>
  </si>
  <si>
    <t>Tubo espaciador de A°G° de 19 mm x 38 mm Ø</t>
  </si>
  <si>
    <t>GASTOS GENERALES (10.12%)</t>
  </si>
  <si>
    <t xml:space="preserve"> UTILIDADES (3%)</t>
  </si>
  <si>
    <t>Soporte separador de vertice de postes de A°G° fabricado con platina de 76 X 6,4 mm</t>
  </si>
  <si>
    <t>Braquete de A°G° para soporte de aislador tipo Line Post en cabea de poste</t>
  </si>
  <si>
    <t>Replanteo Topografico y ubicación de estructuras de Lineas Primarias, incluye elaboracion de planos de concesion rural</t>
  </si>
  <si>
    <t>Armado PS1-2 (0°-5°) Soporte en alineamiento, bifásico sin neutro</t>
  </si>
  <si>
    <t>Armado PA1-2 (5°-30°) Soporte de ángulo, bifásico sin neutro</t>
  </si>
  <si>
    <t>Armado PA2-2 (30°-60°) soporte de ángulo, bifásico sin neutro</t>
  </si>
  <si>
    <t>Armado PA3-2 (60°-90°) Soporte retención, bifásico sin neutro</t>
  </si>
  <si>
    <t>Armado PR3-2 (0°-5°) Soporte retención, bifásico sin neutro</t>
  </si>
  <si>
    <t>Armado TS-2 Soporte de Retencion, bifásico sin neutro</t>
  </si>
  <si>
    <t>Armado PTH-2 Soporte terminal, bifásico sin neutro</t>
  </si>
  <si>
    <t>Armado PSEC-2P soporte con seccionamiento, bifásico sin neutro</t>
  </si>
  <si>
    <t>Armado PS1-3 / PS1-3L (0°-5°) Soporte en alineamiento, trifásico sin neutro</t>
  </si>
  <si>
    <t>Armado TS-3 / TS-3L Soporte de Retencion, trifásico sin neutro</t>
  </si>
  <si>
    <t>Armado PR-3 / PR3-3L (0°-5°) Soporte de Retencion, trifásico sin neutro</t>
  </si>
  <si>
    <t>Armado PTH-3 /PTH-3L Soporte terminal, trifásico sin neutro</t>
  </si>
  <si>
    <t>Armado PSEC-3P soporte con seccionamiento, trifásico sin neutro</t>
  </si>
  <si>
    <t>Cruceta Simétrica de C.A.V. Z / 2,4 / 300 / 300 / 150 daN (Z/ L / T / F / V)</t>
  </si>
  <si>
    <t>Tableros de Distribución Completa para S.E. Monofásica de 25 kVA; 440-220V</t>
  </si>
  <si>
    <t>Pararrayos de Oxido Metalico, 12 kV, 10 KA Clase 1</t>
  </si>
  <si>
    <t>Se vincula con el mayor metrado de la partida 4.01</t>
  </si>
  <si>
    <t>Se vincula con la partida nueva 3.02 y 3.03</t>
  </si>
  <si>
    <t>Se vincula con el mayor metrado de la partida 2.04</t>
  </si>
  <si>
    <t>Se vincula con la partida 4.01 y la partida nueva 4.05</t>
  </si>
  <si>
    <t>Se vincula con el mayor metrado de la partida 6.01 y 6.02</t>
  </si>
  <si>
    <t>Se vincula con el mayor metrado de la partida 14.03</t>
  </si>
  <si>
    <t>Se vincula con el mayor metrado de la partida 10.04</t>
  </si>
  <si>
    <t>Se vincula con el mayor metrado de la partida 10.07</t>
  </si>
  <si>
    <t>Se vincula con el mayor metrado de la partida 10.09</t>
  </si>
  <si>
    <t>Se vincula con el mayor metrado de la partida 10.03</t>
  </si>
  <si>
    <t>Se vincula con el mayor metrado de la partida 10.17</t>
  </si>
  <si>
    <t>Se vincula con el mayor metrado de la partida 12.08</t>
  </si>
  <si>
    <t>Se vincula con el mayor metrado de la partida 13.03</t>
  </si>
  <si>
    <t>Se vincula con la partida nueva 13.05</t>
  </si>
  <si>
    <t>Se vincula con la partida nueva 14.16</t>
  </si>
  <si>
    <t>Se vincula con la partida nueva 14.11</t>
  </si>
  <si>
    <t>Se vincula con el mayor metrado de la partida 2.03</t>
  </si>
  <si>
    <t>Se vincula con el mayor metrado de la partida 4.03</t>
  </si>
  <si>
    <t>Se vincula con el mayor metrado de la partida 6.03</t>
  </si>
  <si>
    <t>Se vincula con el mayor metrado de la partida 8.03</t>
  </si>
  <si>
    <t>Se vincula con la partida nueva 2.37</t>
  </si>
  <si>
    <t>Se vincula con el mayor metrado de la partida 2.05</t>
  </si>
  <si>
    <t>Se vincula con el mayor metrado de la partida 6.05</t>
  </si>
  <si>
    <t>Se vincula con el mayor metrado de la partida 3.05</t>
  </si>
  <si>
    <t>Se vincula con el mayor metrado de la partida 8.05</t>
  </si>
  <si>
    <t>Se vincula con el mayor metrado de la partida 2.36</t>
  </si>
  <si>
    <t>Se vincula con el mayor metrado de la partida 2.10</t>
  </si>
  <si>
    <t>Se vincula con la partida nueva 2.42</t>
  </si>
  <si>
    <t>Se vincula con el mayor metrado de la partida 2.14</t>
  </si>
  <si>
    <t>Se vincula con el mayor metrado de las partidas 2.16 y 2.17</t>
  </si>
  <si>
    <t>Se vincula con la partida nueva 2.43</t>
  </si>
  <si>
    <t>Se vincula con el mayor metrado de la partida 2.28</t>
  </si>
  <si>
    <t>Se vincula con la partida nueva 2.39</t>
  </si>
  <si>
    <t>Se vincula con el mayor metrado de la partida 3.02</t>
  </si>
  <si>
    <t>Se vincula con el mayor metrado de la partida 2.02</t>
  </si>
  <si>
    <t>Se vincula con la partida nueva 3.14</t>
  </si>
  <si>
    <t>Se vincula con las partidas nuevas 3.13 y 3.14</t>
  </si>
  <si>
    <t>Se vincula con el mayor metrado de la partida 3.10</t>
  </si>
  <si>
    <t>Se vincula con el mayor metrado de la partida 8.01</t>
  </si>
  <si>
    <t>Se vincula con la partida nueva 8.07</t>
  </si>
  <si>
    <t>Se vincula con la partida nueva 1.03</t>
  </si>
  <si>
    <t>Se vincula con la partida nueva 3.02</t>
  </si>
  <si>
    <t>Se vincula con el mayor metrado de las partidas 10.04 y 10.05</t>
  </si>
  <si>
    <t>Se vincula con el mayor metrado de la partida 10.02</t>
  </si>
  <si>
    <t>Se vincula con el mayor metrado de la partida 10.10</t>
  </si>
  <si>
    <t>Se vincula con la partida nueva 13.04</t>
  </si>
  <si>
    <t>Se vincula con la partida nueva 14.04</t>
  </si>
  <si>
    <t>Se vincula con la partida nueva 14.05</t>
  </si>
  <si>
    <t>Se vincula con la partida nueva 15.04</t>
  </si>
  <si>
    <t>Se vincula con la partida nueva 16.03</t>
  </si>
  <si>
    <t>Se vincula con la partida nueva 1.32</t>
  </si>
  <si>
    <t>Se vincula con el mayor metrado de la partida 1.07</t>
  </si>
  <si>
    <t>Se vincula con el mayor metrado de la partida 1.10</t>
  </si>
  <si>
    <t>Se vincula con el mayor metrado de la partida 1.15</t>
  </si>
  <si>
    <t>Se vincula con el mayor metrado de la partida 1.17 y la partida nueva 1.38</t>
  </si>
  <si>
    <t>Se vincula con el mayor metrado de la partida 1.20</t>
  </si>
  <si>
    <t>Se vincula con el mayor metrado de la partida 1.26</t>
  </si>
  <si>
    <t>Se vincula con el mayor metrado de la partida 2.01</t>
  </si>
  <si>
    <t>Se vincula con la partida nueva 2.13</t>
  </si>
  <si>
    <t>Se vincula con el mayor metrado de la partida 2.09</t>
  </si>
  <si>
    <t>Se vincula con el mayor metrado de la partida 3.01</t>
  </si>
  <si>
    <t>Se vincula con el mayor metrado de la partida 1.02</t>
  </si>
  <si>
    <t>Se vincula con la partida nueva 2.01A</t>
  </si>
  <si>
    <t>Se vincula con las partidas nuevas 3.06, 3.07 y 3.08</t>
  </si>
  <si>
    <t>Se vincula con el mayor metrado de la partida 4.04</t>
  </si>
  <si>
    <t>Se vincula con el mayor metrado de la partida 6.02</t>
  </si>
  <si>
    <t>Se vincula con la partida nueva 6.08</t>
  </si>
  <si>
    <t>Se vincula con el mayor metrado de la partida 6.06</t>
  </si>
  <si>
    <t>Se vincula con el mayor metrado de la partida 8.10</t>
  </si>
  <si>
    <t>Se vincula con el mayor metrado de la partida 8.14</t>
  </si>
  <si>
    <t>Se vincula con el mayor metrado de la partida 10.01</t>
  </si>
  <si>
    <t>Se vincula con la partida nueva 1.16</t>
  </si>
  <si>
    <t>Se vincula con el mayor metrado de la partida 1.05</t>
  </si>
  <si>
    <t>Se vincula con las partidas nuevas 1.19, 1.20 y 1.21</t>
  </si>
  <si>
    <t>Se vincula con la partida nueva 2.09</t>
  </si>
  <si>
    <t>Se vincula con el mayor metrado de la partida 2.08</t>
  </si>
  <si>
    <t>Se vincula con el mayor metrado de la partida 3.04</t>
  </si>
  <si>
    <t>Se vincula con las partidas nuevas 5.06, 3.07 y 3.08</t>
  </si>
  <si>
    <t>Se vincula con el mayor metrado de la partida 6.01</t>
  </si>
  <si>
    <t>Se vincula con el mayor metrado de la partida 8.12</t>
  </si>
  <si>
    <t>Se vincula con el mayor metrado de la partida 4.01 y la partida nueva 4.05</t>
  </si>
  <si>
    <t>Se vincula con la partida nueva 8.15</t>
  </si>
  <si>
    <t>Se vincula con la partida nueva 10.21</t>
  </si>
  <si>
    <t>Se vincula con el mayor metrado de la partida 2.20</t>
  </si>
  <si>
    <t>RESUMEN GENERAL DEL PRESUPUESTO (OBRA Y EXPEDIENTE TÉCNICO)</t>
  </si>
  <si>
    <t>Descripcion</t>
  </si>
  <si>
    <t>I.G.V.</t>
  </si>
  <si>
    <t>TOTAL S/.</t>
  </si>
  <si>
    <t>COSTO DE OBRA</t>
  </si>
  <si>
    <t>COSTO DE EXPEDIENTE TÉCNICO</t>
  </si>
  <si>
    <t>Total Sin I.G.V.    (S/.)</t>
  </si>
  <si>
    <t>Total Sin I.G.V.     (S/.)</t>
  </si>
  <si>
    <t xml:space="preserve">   % DE INCIDENCIA SOBRE  EL CONTRACTUAL</t>
  </si>
  <si>
    <t>FORMULA POLINÓMICA</t>
  </si>
  <si>
    <t>PROYECTO :</t>
  </si>
  <si>
    <t>AMPLIACIÓN DEL SERVICIO DE ENERGÍA ELÉCTRICA EN LA PROVINCIA DEL SANTA Y EN EL DISTRITO DE PAMPAROMAS – DEPARTAMENTO DE ANCASH”</t>
  </si>
  <si>
    <t>PRESUPUESTO BASE                                        S/</t>
  </si>
  <si>
    <t>Nº</t>
  </si>
  <si>
    <t>ELEMENTO REPRESENTATIVO</t>
  </si>
  <si>
    <t>INDICE</t>
  </si>
  <si>
    <t>SIMBOLO</t>
  </si>
  <si>
    <t>SIMBOLO MONOMIO</t>
  </si>
  <si>
    <t>MONTO</t>
  </si>
  <si>
    <t>INCIDENCIA</t>
  </si>
  <si>
    <t>% PARCIAL</t>
  </si>
  <si>
    <t>COEFICIENTE</t>
  </si>
  <si>
    <t>042</t>
  </si>
  <si>
    <t>PM</t>
  </si>
  <si>
    <t>PC</t>
  </si>
  <si>
    <t>CRUCETAS DE MADERA</t>
  </si>
  <si>
    <t>043</t>
  </si>
  <si>
    <t>CM</t>
  </si>
  <si>
    <t>POSTES DE CONCRETO</t>
  </si>
  <si>
    <t>062</t>
  </si>
  <si>
    <t>CC</t>
  </si>
  <si>
    <t>CONDUCTORES DE AAAC Y ACCESORIOS</t>
  </si>
  <si>
    <t>030</t>
  </si>
  <si>
    <t>DI</t>
  </si>
  <si>
    <t xml:space="preserve">EQUIPOS DE PROTECCIÓN </t>
  </si>
  <si>
    <t>011</t>
  </si>
  <si>
    <t>AE1</t>
  </si>
  <si>
    <t>AE2</t>
  </si>
  <si>
    <t>002</t>
  </si>
  <si>
    <t>FE</t>
  </si>
  <si>
    <t>FERRETERIA PARA POSTES Y CRUCETAS</t>
  </si>
  <si>
    <t>FP</t>
  </si>
  <si>
    <t>006</t>
  </si>
  <si>
    <t>CU</t>
  </si>
  <si>
    <t>PT</t>
  </si>
  <si>
    <t>TS</t>
  </si>
  <si>
    <t>047</t>
  </si>
  <si>
    <t>J</t>
  </si>
  <si>
    <t xml:space="preserve">TRANSPORTE </t>
  </si>
  <si>
    <t>032</t>
  </si>
  <si>
    <t>FT</t>
  </si>
  <si>
    <t xml:space="preserve"> GASTOS GENERALES Y UTILIDADES</t>
  </si>
  <si>
    <t>039</t>
  </si>
  <si>
    <t>GG</t>
  </si>
  <si>
    <t>GU</t>
  </si>
  <si>
    <t xml:space="preserve">K=  </t>
  </si>
  <si>
    <t>1.-</t>
  </si>
  <si>
    <t>En la fórmula  los sub-indices "o" de cada símbolo corresponden al indice de precios según (CREPCO) a la</t>
  </si>
  <si>
    <t xml:space="preserve">fecha de Elaboración del Presupuesto (Presupuesto Base) y los sub-indices "r" al indice de precios al </t>
  </si>
  <si>
    <t>momento de reajuste o fecha de valorización</t>
  </si>
  <si>
    <t>2.-</t>
  </si>
  <si>
    <t>En el caso de los monomios compuestos por varios indices se ha considerado para efecto de denominación</t>
  </si>
  <si>
    <t>el símbolo que tiene mayor porcentaje de incidencia</t>
  </si>
  <si>
    <t>3.-</t>
  </si>
  <si>
    <t>En caso de cambios en el suministro se deberá actualizar la formula polinómica.</t>
  </si>
  <si>
    <t>CONDUCTOR DE COBRE Y ACCESORIOS</t>
  </si>
  <si>
    <t>CABLES DE ENERGÍA</t>
  </si>
  <si>
    <t>019</t>
  </si>
  <si>
    <t>NY</t>
  </si>
  <si>
    <t>TRANSFORMADORES DE DISTRIBUCIÓN Y  TABLEROS</t>
  </si>
  <si>
    <t>048</t>
  </si>
  <si>
    <t>EN</t>
  </si>
  <si>
    <t>FÓRMULA POLINÓMICA</t>
  </si>
  <si>
    <t>REDES SECUNDARIAS, INCLUYE CONEXIONES DOMICILIARIAS</t>
  </si>
  <si>
    <t>INDICE
UNIFICADO</t>
  </si>
  <si>
    <t>SIMBOLO
MONOMIO</t>
  </si>
  <si>
    <t>POSTE DE MADERA IMPORTADA</t>
  </si>
  <si>
    <t>DI1</t>
  </si>
  <si>
    <t>DI2</t>
  </si>
  <si>
    <t>ACCESORIOS PARA CABLES AUTOPORTANTES</t>
  </si>
  <si>
    <t>FE1</t>
  </si>
  <si>
    <t>FE2</t>
  </si>
  <si>
    <t>GASTOS GENERALES Y UTILIDADES</t>
  </si>
  <si>
    <t>049</t>
  </si>
  <si>
    <t>UG</t>
  </si>
  <si>
    <t>UC</t>
  </si>
  <si>
    <t>UNIDAD DE ALMACENAMIENTO, INVERSOR Y PROTECCION</t>
  </si>
  <si>
    <t>UA</t>
  </si>
  <si>
    <t>UNIDAD DE CARGAS Y ACOMETIDAS</t>
  </si>
  <si>
    <t>UD</t>
  </si>
  <si>
    <t>PUESTA A TIERRA Y RED EQUIPOTENCIAL</t>
  </si>
  <si>
    <t>T</t>
  </si>
  <si>
    <t>3.00A</t>
  </si>
  <si>
    <t>3.01A</t>
  </si>
  <si>
    <t>3.02A</t>
  </si>
  <si>
    <t>Transporte de Cruceta Simétrica de C.A.V. Z / 2,4 / 300 / 300 / 150 daN (Z/ L / T / F / V), de Almacen a Punto de Instalaciòn en Terreno con Acceso Carrozable</t>
  </si>
  <si>
    <t>Transporte de Cable de Energía N2XSY 1x50 mm2  8,7/15kV, de Almacen a Punto de Instalaciòn en Terreno con Acceso Carrozable</t>
  </si>
  <si>
    <t>Conjunto Aislador Line Post Polimérico en Cruceta:</t>
  </si>
  <si>
    <t>Transporte de Transformador Monofásico Fase - Fase de 37.5 kVA; 13,8 / 0,46-0,23 kV y Tablero de Distribucion, de Almacen a Punto de Instalaciòn en Terreno con Acceso Carrozable</t>
  </si>
  <si>
    <t>Transporte de Conductor de Cobre Concéntrico,  2 x 4 mm2, con aislamiento y cubierta de PVC de Almacen a Punto de Instalación en terreno con acceso carrozable</t>
  </si>
  <si>
    <t>Transporte de Conductor de Cobre Concéntrico,  2 x 4 mm2, con aislamiento y cubierta de PVC de Almacen a Punto de Instalación en terreno sin acceso carrozable  (&lt; 1000 m)</t>
  </si>
  <si>
    <t>Transporte de luminarias LED y accesorios de Almacen a Punto de Instalación en terreno sin acceso carrozable  (&lt; 1000 m)</t>
  </si>
  <si>
    <t>Transporte de Conductor Autoportante de Aluminio de 2x25/25 mm² de Almacen a Punto de Instalación en terreno sin acceso carrozable  (&lt; 1000 m)</t>
  </si>
  <si>
    <t>Transporte de Conductor Autoportante de Aluminio de 2x25+16/25 mm² de Almacen a Punto de Instalación en terreno sin acceso carrozable  (&lt; 1000 m)</t>
  </si>
  <si>
    <t>Armado Tipo ET, derivacion en         (T)</t>
  </si>
  <si>
    <t>Espuma Expansiva (Frasco)</t>
  </si>
  <si>
    <t>Cable de acero grado Alta Resistencia (HS), de 10 mm ø, 7 hilos</t>
  </si>
  <si>
    <t>Supresor de pico protección de sobretensión  tipo II, Uoc 275V, In(8/20) us (KA) 5</t>
  </si>
  <si>
    <t>Bateria de electrolito gelificado, 100 Ah, 12 Vdc</t>
  </si>
  <si>
    <t>Rack para bateria gelificada,  100 Ah, 12 Vdc, incluye accesorios de fijación y protección</t>
  </si>
  <si>
    <t>Inversor de 250VA continuos 12Vdc/220Vac, 60 Hz</t>
  </si>
  <si>
    <t>Perno de 1/4"∅ X 1" Longitud, de FoGo para aterramiento</t>
  </si>
  <si>
    <t>Perno Bronce de 13mm∅ roscado, con tuerca y arandela</t>
  </si>
  <si>
    <t>RESUMEN GENERAL PRESUPUESTO DE OBRA</t>
  </si>
  <si>
    <t>RESUMEN PRESUPUESTO DE OBRA</t>
  </si>
  <si>
    <t>PRESUPUESTO DE OBRA</t>
  </si>
  <si>
    <t>Perfil "U" de A° G° de 150 x 105 x 4.5 mm y 3.00m de Longitud</t>
  </si>
  <si>
    <t>Perno CCAW, ø 9.5mm x 38 mm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</si>
</sst>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8" formatCode="&quot;S/&quot;\ #,##0.00;[Red]\-&quot;S/&quot;\ #,##0.00"/>
    <numFmt numFmtId="43" formatCode="_-* #,##0.00_-;\-* #,##0.00_-;_-* &quot;-&quot;??_-;_-@_-"/>
    <numFmt numFmtId="164" formatCode="#,###,##0.00"/>
    <numFmt numFmtId="165" formatCode="0.0%"/>
    <numFmt numFmtId="166" formatCode="_ &quot;S/.&quot;\ * #,##0.00_ ;_ &quot;S/.&quot;\ * \-#,##0.00_ ;_ &quot;S/.&quot;\ * &quot;-&quot;??_ ;_ @_ "/>
    <numFmt numFmtId="167" formatCode="#,##0.0000000"/>
    <numFmt numFmtId="168" formatCode="_(* #,##0.00_);_(* \(#,##0.00\);_(* &quot;-&quot;??_);_(@_)"/>
    <numFmt numFmtId="169" formatCode="#,##0.00;\-#,##0.00;\-;@"/>
    <numFmt numFmtId="170" formatCode="&quot;S/&quot;#,##0.00"/>
    <numFmt numFmtId="171" formatCode="0.0"/>
    <numFmt numFmtId="172" formatCode="#\ ##0.00"/>
    <numFmt numFmtId="173" formatCode="&quot;S/.&quot;\ #,##0_);\(&quot;S/.&quot;\ #,##0\)"/>
    <numFmt numFmtId="174" formatCode="_ [$S/.-280A]\ * #,##0.00_ ;_ [$S/.-280A]\ * \-#,##0.00_ ;_ [$S/.-280A]\ * &quot;-&quot;??_ ;_ @_ "/>
    <numFmt numFmtId="175" formatCode="#,##0.000"/>
    <numFmt numFmtId="176" formatCode="#,##0.00_ ;\-#,##0.00\ "/>
    <numFmt numFmtId="177" formatCode="0.000"/>
    <numFmt numFmtId="178" formatCode="#,##0.000;\-#,##0.000;\-;@"/>
    <numFmt numFmtId="179" formatCode="#,##0.00_ "/>
    <numFmt numFmtId="180" formatCode="#\ ###\ ##0.00"/>
    <numFmt numFmtId="181" formatCode="00"/>
    <numFmt numFmtId="182" formatCode="#,##0.0000"/>
    <numFmt numFmtId="183" formatCode="0.000000"/>
    <numFmt numFmtId="184" formatCode="###\ ##0.00"/>
    <numFmt numFmtId="185" formatCode="0.0000"/>
    <numFmt numFmtId="186" formatCode="#####\ ##0.00"/>
    <numFmt numFmtId="187" formatCode="\ #\ ##0.00"/>
    <numFmt numFmtId="188" formatCode="0.00000%"/>
    <numFmt numFmtId="189" formatCode="0.0000000"/>
    <numFmt numFmtId="190" formatCode="#,##0.00000"/>
    <numFmt numFmtId="191" formatCode="0.000%"/>
    <numFmt numFmtId="192" formatCode="0.000000000000"/>
    <numFmt numFmtId="193" formatCode="#,##0.000000"/>
  </numFmts>
  <fonts count="7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22"/>
      <name val="Arial"/>
      <family val="2"/>
    </font>
    <font>
      <sz val="10"/>
      <color theme="4" tint="-0.499984740745262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Arial Narrow"/>
      <family val="2"/>
    </font>
    <font>
      <b/>
      <u/>
      <sz val="11"/>
      <name val="Arial"/>
      <family val="2"/>
    </font>
    <font>
      <sz val="11"/>
      <color theme="1"/>
      <name val="Arial"/>
      <family val="2"/>
    </font>
    <font>
      <sz val="11"/>
      <color theme="4" tint="-0.499984740745262"/>
      <name val="Arial"/>
      <family val="2"/>
    </font>
    <font>
      <b/>
      <sz val="24"/>
      <name val="Arial"/>
      <family val="2"/>
    </font>
    <font>
      <i/>
      <sz val="12"/>
      <name val="Arial"/>
      <family val="2"/>
    </font>
    <font>
      <b/>
      <u/>
      <sz val="14"/>
      <name val="Arial"/>
      <family val="2"/>
    </font>
    <font>
      <b/>
      <sz val="7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9"/>
      <name val="Arial"/>
      <family val="2"/>
    </font>
    <font>
      <sz val="8"/>
      <name val="Times New Roman"/>
      <family val="1"/>
    </font>
    <font>
      <b/>
      <sz val="14"/>
      <name val="Arial Narrow"/>
      <family val="2"/>
    </font>
    <font>
      <b/>
      <sz val="15"/>
      <name val="Arial Narrow"/>
      <family val="2"/>
    </font>
    <font>
      <b/>
      <u/>
      <sz val="12"/>
      <name val="Arial"/>
      <family val="2"/>
    </font>
    <font>
      <b/>
      <sz val="12"/>
      <color indexed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rgb="FF0000FF"/>
      <name val="Arial"/>
      <family val="2"/>
    </font>
    <font>
      <b/>
      <sz val="13"/>
      <name val="Arial"/>
      <family val="2"/>
    </font>
    <font>
      <b/>
      <sz val="10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b/>
      <u/>
      <sz val="22"/>
      <name val="Arial"/>
      <family val="2"/>
    </font>
    <font>
      <b/>
      <sz val="11"/>
      <color rgb="FF0000CC"/>
      <name val="Arial"/>
      <family val="2"/>
    </font>
    <font>
      <b/>
      <sz val="11"/>
      <color rgb="FF0000FF"/>
      <name val="Arial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u/>
      <sz val="11"/>
      <name val="Arial"/>
      <family val="2"/>
    </font>
    <font>
      <b/>
      <sz val="11"/>
      <color rgb="FFC00000"/>
      <name val="Arial"/>
      <family val="2"/>
    </font>
    <font>
      <b/>
      <sz val="12"/>
      <color rgb="FF0000CC"/>
      <name val="Arial"/>
      <family val="2"/>
    </font>
    <font>
      <b/>
      <u/>
      <sz val="11"/>
      <color rgb="FFC00000"/>
      <name val="Arial"/>
      <family val="2"/>
    </font>
    <font>
      <sz val="10"/>
      <color indexed="10"/>
      <name val="Arial"/>
      <family val="2"/>
    </font>
    <font>
      <b/>
      <u/>
      <sz val="11"/>
      <name val="Arial Narrow"/>
      <family val="2"/>
    </font>
    <font>
      <b/>
      <sz val="12"/>
      <color theme="4" tint="-0.499984740745262"/>
      <name val="Arial"/>
      <family val="2"/>
    </font>
    <font>
      <b/>
      <sz val="18"/>
      <name val="Swis721 Cn BT"/>
      <family val="2"/>
    </font>
    <font>
      <b/>
      <sz val="12"/>
      <color rgb="FF0000FF"/>
      <name val="Arial Narrow"/>
      <family val="2"/>
    </font>
    <font>
      <b/>
      <u/>
      <sz val="20"/>
      <name val="Arial"/>
      <family val="2"/>
    </font>
    <font>
      <sz val="10"/>
      <color theme="0"/>
      <name val="Arial"/>
      <family val="2"/>
    </font>
    <font>
      <sz val="11"/>
      <color indexed="9"/>
      <name val="Arial"/>
      <family val="2"/>
    </font>
    <font>
      <sz val="11"/>
      <color theme="0" tint="-0.14999847407452621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sz val="11"/>
      <color rgb="FFE30025"/>
      <name val="Arial"/>
      <family val="2"/>
    </font>
    <font>
      <sz val="11"/>
      <color rgb="FF0039A6"/>
      <name val="Arial"/>
      <family val="2"/>
    </font>
    <font>
      <b/>
      <sz val="14"/>
      <color rgb="FFC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indexed="64"/>
      </left>
      <right/>
      <top style="double">
        <color indexed="8"/>
      </top>
      <bottom style="double">
        <color indexed="64"/>
      </bottom>
      <diagonal/>
    </border>
    <border>
      <left/>
      <right/>
      <top style="double">
        <color indexed="8"/>
      </top>
      <bottom style="double">
        <color indexed="64"/>
      </bottom>
      <diagonal/>
    </border>
    <border>
      <left style="double">
        <color indexed="8"/>
      </left>
      <right style="double">
        <color indexed="64"/>
      </right>
      <top style="double">
        <color indexed="8"/>
      </top>
      <bottom style="double">
        <color indexed="64"/>
      </bottom>
      <diagonal/>
    </border>
    <border>
      <left/>
      <right style="double">
        <color indexed="8"/>
      </right>
      <top style="double">
        <color indexed="8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7">
    <xf numFmtId="0" fontId="0" fillId="0" borderId="0"/>
    <xf numFmtId="9" fontId="9" fillId="0" borderId="0" applyFont="0" applyFill="0" applyBorder="0" applyAlignment="0" applyProtection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8" fillId="0" borderId="0"/>
    <xf numFmtId="0" fontId="7" fillId="0" borderId="0"/>
    <xf numFmtId="0" fontId="9" fillId="0" borderId="0"/>
    <xf numFmtId="0" fontId="6" fillId="0" borderId="0"/>
    <xf numFmtId="0" fontId="8" fillId="0" borderId="0"/>
    <xf numFmtId="0" fontId="9" fillId="0" borderId="0"/>
    <xf numFmtId="0" fontId="5" fillId="0" borderId="0"/>
    <xf numFmtId="0" fontId="9" fillId="0" borderId="0"/>
    <xf numFmtId="0" fontId="34" fillId="0" borderId="0"/>
    <xf numFmtId="173" fontId="9" fillId="0" borderId="0" applyFont="0" applyFill="0" applyBorder="0" applyAlignment="0" applyProtection="0"/>
    <xf numFmtId="0" fontId="9" fillId="0" borderId="0"/>
    <xf numFmtId="174" fontId="5" fillId="0" borderId="0"/>
    <xf numFmtId="0" fontId="34" fillId="0" borderId="0"/>
    <xf numFmtId="9" fontId="8" fillId="0" borderId="0" applyFont="0" applyFill="0" applyBorder="0" applyAlignment="0" applyProtection="0"/>
    <xf numFmtId="0" fontId="9" fillId="0" borderId="0"/>
    <xf numFmtId="0" fontId="20" fillId="0" borderId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3" fillId="0" borderId="0"/>
    <xf numFmtId="0" fontId="9" fillId="0" borderId="0"/>
    <xf numFmtId="0" fontId="8" fillId="0" borderId="0"/>
    <xf numFmtId="9" fontId="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9" fontId="9" fillId="0" borderId="0" applyFont="0" applyFill="0" applyBorder="0" applyAlignment="0" applyProtection="0"/>
    <xf numFmtId="0" fontId="18" fillId="0" borderId="0"/>
    <xf numFmtId="0" fontId="8" fillId="0" borderId="0"/>
    <xf numFmtId="9" fontId="21" fillId="0" borderId="0" applyFont="0" applyFill="0" applyBorder="0" applyAlignment="0" applyProtection="0"/>
    <xf numFmtId="0" fontId="8" fillId="0" borderId="0"/>
    <xf numFmtId="168" fontId="9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2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287">
    <xf numFmtId="0" fontId="0" fillId="0" borderId="0" xfId="0"/>
    <xf numFmtId="0" fontId="14" fillId="0" borderId="0" xfId="2" applyFont="1" applyAlignment="1">
      <alignment vertical="center"/>
    </xf>
    <xf numFmtId="0" fontId="14" fillId="0" borderId="0" xfId="2" applyFont="1" applyAlignment="1">
      <alignment horizontal="left" vertical="center"/>
    </xf>
    <xf numFmtId="0" fontId="11" fillId="0" borderId="0" xfId="8" applyFont="1" applyAlignment="1">
      <alignment vertical="center"/>
    </xf>
    <xf numFmtId="0" fontId="9" fillId="0" borderId="0" xfId="2" applyFont="1"/>
    <xf numFmtId="0" fontId="22" fillId="0" borderId="0" xfId="5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9" fillId="0" borderId="0" xfId="8" applyFont="1" applyAlignment="1">
      <alignment vertical="center"/>
    </xf>
    <xf numFmtId="0" fontId="19" fillId="0" borderId="0" xfId="5" applyFont="1" applyAlignment="1">
      <alignment horizontal="centerContinuous" vertical="center"/>
    </xf>
    <xf numFmtId="0" fontId="19" fillId="0" borderId="0" xfId="5" applyFont="1" applyAlignment="1">
      <alignment horizontal="centerContinuous" vertical="center" wrapText="1"/>
    </xf>
    <xf numFmtId="0" fontId="9" fillId="0" borderId="0" xfId="8" applyFont="1" applyAlignment="1">
      <alignment horizontal="left" vertical="center"/>
    </xf>
    <xf numFmtId="0" fontId="31" fillId="0" borderId="0" xfId="2" quotePrefix="1" applyFont="1" applyAlignment="1">
      <alignment horizontal="left" vertical="center"/>
    </xf>
    <xf numFmtId="0" fontId="21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14" fillId="0" borderId="0" xfId="8" applyFont="1" applyAlignment="1">
      <alignment horizontal="left" vertical="center"/>
    </xf>
    <xf numFmtId="0" fontId="14" fillId="0" borderId="0" xfId="8" applyFont="1" applyAlignment="1">
      <alignment vertical="center"/>
    </xf>
    <xf numFmtId="4" fontId="11" fillId="0" borderId="0" xfId="8" applyNumberFormat="1" applyFont="1" applyAlignment="1">
      <alignment vertical="center"/>
    </xf>
    <xf numFmtId="167" fontId="11" fillId="0" borderId="0" xfId="8" applyNumberFormat="1" applyFont="1" applyAlignment="1">
      <alignment vertical="center"/>
    </xf>
    <xf numFmtId="4" fontId="26" fillId="0" borderId="0" xfId="8" applyNumberFormat="1" applyFont="1" applyAlignment="1">
      <alignment horizontal="center" vertical="center"/>
    </xf>
    <xf numFmtId="4" fontId="26" fillId="0" borderId="0" xfId="8" applyNumberFormat="1" applyFont="1" applyAlignment="1">
      <alignment vertical="center"/>
    </xf>
    <xf numFmtId="4" fontId="9" fillId="0" borderId="0" xfId="8" applyNumberFormat="1" applyFont="1" applyAlignment="1">
      <alignment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9" fillId="0" borderId="0" xfId="6" quotePrefix="1" applyFont="1" applyAlignment="1">
      <alignment horizontal="left" vertical="center"/>
    </xf>
    <xf numFmtId="0" fontId="19" fillId="0" borderId="0" xfId="2" applyFont="1" applyAlignment="1">
      <alignment horizontal="centerContinuous" vertical="center"/>
    </xf>
    <xf numFmtId="0" fontId="19" fillId="0" borderId="0" xfId="6" quotePrefix="1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8" fillId="0" borderId="0" xfId="2" applyFont="1" applyAlignment="1">
      <alignment horizontal="right" vertical="center"/>
    </xf>
    <xf numFmtId="49" fontId="17" fillId="0" borderId="0" xfId="2" applyNumberFormat="1" applyFont="1" applyAlignment="1">
      <alignment horizontal="left" vertical="center"/>
    </xf>
    <xf numFmtId="0" fontId="19" fillId="0" borderId="0" xfId="6" applyFont="1" applyAlignment="1">
      <alignment horizontal="left" vertical="center"/>
    </xf>
    <xf numFmtId="17" fontId="19" fillId="0" borderId="0" xfId="2" applyNumberFormat="1" applyFont="1" applyAlignment="1">
      <alignment horizontal="right" vertical="center"/>
    </xf>
    <xf numFmtId="0" fontId="14" fillId="0" borderId="0" xfId="4" quotePrefix="1" applyFont="1" applyAlignment="1">
      <alignment horizontal="center" vertical="center"/>
    </xf>
    <xf numFmtId="0" fontId="16" fillId="0" borderId="22" xfId="2" applyFont="1" applyBorder="1" applyAlignment="1">
      <alignment vertical="center"/>
    </xf>
    <xf numFmtId="0" fontId="16" fillId="0" borderId="0" xfId="2" applyFont="1" applyAlignment="1">
      <alignment horizontal="centerContinuous" vertical="center"/>
    </xf>
    <xf numFmtId="0" fontId="16" fillId="0" borderId="16" xfId="2" applyFont="1" applyBorder="1" applyAlignment="1">
      <alignment horizontal="centerContinuous" vertical="center"/>
    </xf>
    <xf numFmtId="2" fontId="16" fillId="0" borderId="22" xfId="2" applyNumberFormat="1" applyFont="1" applyBorder="1" applyAlignment="1">
      <alignment horizontal="center" vertical="center"/>
    </xf>
    <xf numFmtId="0" fontId="29" fillId="0" borderId="0" xfId="2" applyFont="1" applyAlignment="1">
      <alignment vertical="center"/>
    </xf>
    <xf numFmtId="0" fontId="16" fillId="0" borderId="0" xfId="2" quotePrefix="1" applyFont="1" applyAlignment="1">
      <alignment horizontal="left" vertical="center"/>
    </xf>
    <xf numFmtId="0" fontId="16" fillId="0" borderId="23" xfId="2" applyFont="1" applyBorder="1" applyAlignment="1">
      <alignment horizontal="center" vertical="center"/>
    </xf>
    <xf numFmtId="0" fontId="17" fillId="0" borderId="19" xfId="2" applyFont="1" applyBorder="1" applyAlignment="1">
      <alignment vertical="center"/>
    </xf>
    <xf numFmtId="0" fontId="17" fillId="0" borderId="20" xfId="2" applyFont="1" applyBorder="1" applyAlignment="1">
      <alignment vertical="center"/>
    </xf>
    <xf numFmtId="0" fontId="16" fillId="0" borderId="20" xfId="2" applyFont="1" applyBorder="1" applyAlignment="1">
      <alignment vertical="center"/>
    </xf>
    <xf numFmtId="0" fontId="16" fillId="0" borderId="22" xfId="2" applyFont="1" applyBorder="1" applyAlignment="1">
      <alignment horizontal="center" vertical="center"/>
    </xf>
    <xf numFmtId="0" fontId="16" fillId="0" borderId="8" xfId="5" applyFont="1" applyBorder="1" applyAlignment="1">
      <alignment horizontal="left" vertical="center"/>
    </xf>
    <xf numFmtId="0" fontId="16" fillId="0" borderId="0" xfId="2" applyFont="1" applyAlignment="1">
      <alignment horizontal="right" vertical="center"/>
    </xf>
    <xf numFmtId="0" fontId="16" fillId="0" borderId="8" xfId="2" applyFont="1" applyBorder="1" applyAlignment="1">
      <alignment vertical="center"/>
    </xf>
    <xf numFmtId="0" fontId="16" fillId="0" borderId="0" xfId="2" applyFont="1" applyAlignment="1">
      <alignment horizontal="left" vertical="center"/>
    </xf>
    <xf numFmtId="0" fontId="16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vertical="center"/>
    </xf>
    <xf numFmtId="0" fontId="17" fillId="0" borderId="27" xfId="5" applyFont="1" applyBorder="1" applyAlignment="1">
      <alignment horizontal="left" vertical="center"/>
    </xf>
    <xf numFmtId="0" fontId="16" fillId="0" borderId="14" xfId="2" applyFont="1" applyBorder="1" applyAlignment="1">
      <alignment horizontal="center" vertical="center"/>
    </xf>
    <xf numFmtId="0" fontId="17" fillId="0" borderId="0" xfId="5" applyFont="1" applyAlignment="1">
      <alignment horizontal="left" vertical="center"/>
    </xf>
    <xf numFmtId="0" fontId="16" fillId="0" borderId="30" xfId="2" applyFont="1" applyBorder="1" applyAlignment="1">
      <alignment horizontal="center" vertical="center"/>
    </xf>
    <xf numFmtId="0" fontId="17" fillId="0" borderId="25" xfId="2" applyFont="1" applyBorder="1" applyAlignment="1">
      <alignment vertical="center"/>
    </xf>
    <xf numFmtId="0" fontId="17" fillId="0" borderId="25" xfId="5" applyFont="1" applyBorder="1" applyAlignment="1">
      <alignment horizontal="left" vertical="center"/>
    </xf>
    <xf numFmtId="0" fontId="16" fillId="0" borderId="18" xfId="2" applyFont="1" applyBorder="1"/>
    <xf numFmtId="0" fontId="16" fillId="0" borderId="20" xfId="2" applyFont="1" applyBorder="1"/>
    <xf numFmtId="4" fontId="17" fillId="0" borderId="21" xfId="2" applyNumberFormat="1" applyFont="1" applyBorder="1" applyAlignment="1">
      <alignment horizontal="right" vertical="center" indent="1"/>
    </xf>
    <xf numFmtId="170" fontId="12" fillId="0" borderId="0" xfId="0" applyNumberFormat="1" applyFont="1"/>
    <xf numFmtId="0" fontId="16" fillId="0" borderId="0" xfId="2" applyFont="1" applyAlignment="1">
      <alignment horizontal="right" indent="1"/>
    </xf>
    <xf numFmtId="0" fontId="16" fillId="0" borderId="0" xfId="0" applyFont="1" applyAlignment="1">
      <alignment horizontal="right" indent="1"/>
    </xf>
    <xf numFmtId="0" fontId="35" fillId="3" borderId="21" xfId="4" applyFont="1" applyFill="1" applyBorder="1" applyAlignment="1">
      <alignment horizontal="center" vertical="center" wrapText="1"/>
    </xf>
    <xf numFmtId="4" fontId="22" fillId="0" borderId="0" xfId="5" applyNumberFormat="1" applyFont="1" applyAlignment="1">
      <alignment horizontal="center" vertical="center"/>
    </xf>
    <xf numFmtId="0" fontId="9" fillId="0" borderId="0" xfId="12" applyFont="1" applyAlignment="1">
      <alignment vertical="center"/>
    </xf>
    <xf numFmtId="0" fontId="19" fillId="0" borderId="0" xfId="12" applyFont="1" applyAlignment="1">
      <alignment horizontal="center" vertical="center"/>
    </xf>
    <xf numFmtId="164" fontId="9" fillId="0" borderId="0" xfId="12" applyNumberFormat="1" applyFont="1" applyAlignment="1">
      <alignment vertical="center"/>
    </xf>
    <xf numFmtId="0" fontId="13" fillId="0" borderId="0" xfId="13" applyFont="1" applyAlignment="1">
      <alignment vertical="center"/>
    </xf>
    <xf numFmtId="0" fontId="19" fillId="0" borderId="0" xfId="13" applyFont="1" applyAlignment="1">
      <alignment vertical="center"/>
    </xf>
    <xf numFmtId="0" fontId="22" fillId="0" borderId="0" xfId="13" applyFont="1" applyAlignment="1">
      <alignment vertical="center"/>
    </xf>
    <xf numFmtId="164" fontId="13" fillId="0" borderId="0" xfId="13" applyNumberFormat="1" applyFont="1" applyAlignment="1">
      <alignment vertical="center"/>
    </xf>
    <xf numFmtId="0" fontId="9" fillId="0" borderId="0" xfId="13" applyAlignment="1">
      <alignment vertical="center"/>
    </xf>
    <xf numFmtId="49" fontId="22" fillId="0" borderId="0" xfId="13" applyNumberFormat="1" applyFont="1" applyAlignment="1">
      <alignment vertical="center"/>
    </xf>
    <xf numFmtId="10" fontId="19" fillId="0" borderId="0" xfId="1" applyNumberFormat="1" applyFont="1" applyFill="1" applyBorder="1" applyAlignment="1">
      <alignment horizontal="center" vertical="center"/>
    </xf>
    <xf numFmtId="10" fontId="38" fillId="0" borderId="0" xfId="13" applyNumberFormat="1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0" fontId="9" fillId="0" borderId="0" xfId="1" applyNumberFormat="1" applyFont="1" applyAlignment="1">
      <alignment horizontal="center" vertical="center"/>
    </xf>
    <xf numFmtId="2" fontId="13" fillId="0" borderId="0" xfId="13" applyNumberFormat="1" applyFont="1" applyAlignment="1">
      <alignment horizontal="center" vertical="center"/>
    </xf>
    <xf numFmtId="164" fontId="9" fillId="0" borderId="0" xfId="13" applyNumberFormat="1" applyAlignment="1">
      <alignment vertical="center"/>
    </xf>
    <xf numFmtId="171" fontId="19" fillId="0" borderId="0" xfId="13" quotePrefix="1" applyNumberFormat="1" applyFont="1" applyAlignment="1">
      <alignment horizontal="center" vertical="center"/>
    </xf>
    <xf numFmtId="0" fontId="11" fillId="0" borderId="0" xfId="13" applyFont="1" applyAlignment="1">
      <alignment vertical="center"/>
    </xf>
    <xf numFmtId="0" fontId="13" fillId="0" borderId="0" xfId="13" applyFont="1" applyAlignment="1">
      <alignment horizontal="center" vertical="center"/>
    </xf>
    <xf numFmtId="0" fontId="21" fillId="0" borderId="0" xfId="13" applyFont="1" applyAlignment="1">
      <alignment horizontal="center" vertical="center"/>
    </xf>
    <xf numFmtId="0" fontId="21" fillId="0" borderId="0" xfId="13" applyFont="1" applyAlignment="1">
      <alignment vertical="center"/>
    </xf>
    <xf numFmtId="0" fontId="33" fillId="6" borderId="26" xfId="13" applyFont="1" applyFill="1" applyBorder="1" applyAlignment="1">
      <alignment horizontal="centerContinuous" vertical="center"/>
    </xf>
    <xf numFmtId="0" fontId="33" fillId="6" borderId="39" xfId="13" applyFont="1" applyFill="1" applyBorder="1" applyAlignment="1">
      <alignment horizontal="center" vertical="center"/>
    </xf>
    <xf numFmtId="0" fontId="33" fillId="6" borderId="27" xfId="13" applyFont="1" applyFill="1" applyBorder="1" applyAlignment="1">
      <alignment horizontal="center" vertical="center"/>
    </xf>
    <xf numFmtId="164" fontId="33" fillId="6" borderId="40" xfId="13" applyNumberFormat="1" applyFont="1" applyFill="1" applyBorder="1" applyAlignment="1">
      <alignment horizontal="center" vertical="center"/>
    </xf>
    <xf numFmtId="0" fontId="13" fillId="6" borderId="41" xfId="13" applyFont="1" applyFill="1" applyBorder="1" applyAlignment="1">
      <alignment vertical="center"/>
    </xf>
    <xf numFmtId="0" fontId="33" fillId="6" borderId="7" xfId="13" applyFont="1" applyFill="1" applyBorder="1" applyAlignment="1">
      <alignment horizontal="center" vertical="center"/>
    </xf>
    <xf numFmtId="0" fontId="33" fillId="6" borderId="13" xfId="13" applyFont="1" applyFill="1" applyBorder="1" applyAlignment="1">
      <alignment horizontal="center" vertical="center"/>
    </xf>
    <xf numFmtId="164" fontId="33" fillId="6" borderId="42" xfId="13" applyNumberFormat="1" applyFont="1" applyFill="1" applyBorder="1" applyAlignment="1">
      <alignment horizontal="center" vertical="center"/>
    </xf>
    <xf numFmtId="0" fontId="13" fillId="0" borderId="14" xfId="13" applyFont="1" applyBorder="1" applyAlignment="1">
      <alignment vertical="center"/>
    </xf>
    <xf numFmtId="0" fontId="13" fillId="0" borderId="2" xfId="13" applyFont="1" applyBorder="1" applyAlignment="1">
      <alignment horizontal="center" vertical="center"/>
    </xf>
    <xf numFmtId="10" fontId="13" fillId="0" borderId="0" xfId="1" applyNumberFormat="1" applyFont="1" applyFill="1" applyBorder="1" applyAlignment="1">
      <alignment horizontal="center" vertical="center"/>
    </xf>
    <xf numFmtId="172" fontId="13" fillId="0" borderId="2" xfId="13" applyNumberFormat="1" applyFont="1" applyBorder="1" applyAlignment="1">
      <alignment horizontal="center" vertical="center"/>
    </xf>
    <xf numFmtId="172" fontId="13" fillId="0" borderId="0" xfId="13" applyNumberFormat="1" applyFont="1" applyAlignment="1">
      <alignment horizontal="center" vertical="center"/>
    </xf>
    <xf numFmtId="164" fontId="13" fillId="0" borderId="43" xfId="13" applyNumberFormat="1" applyFont="1" applyBorder="1" applyAlignment="1">
      <alignment horizontal="center" vertical="center"/>
    </xf>
    <xf numFmtId="0" fontId="11" fillId="7" borderId="0" xfId="13" applyFont="1" applyFill="1" applyAlignment="1">
      <alignment vertical="center"/>
    </xf>
    <xf numFmtId="0" fontId="13" fillId="0" borderId="41" xfId="13" applyFont="1" applyBorder="1" applyAlignment="1">
      <alignment vertical="center"/>
    </xf>
    <xf numFmtId="0" fontId="13" fillId="0" borderId="7" xfId="13" applyFont="1" applyBorder="1" applyAlignment="1">
      <alignment horizontal="center" vertical="center"/>
    </xf>
    <xf numFmtId="0" fontId="33" fillId="0" borderId="44" xfId="13" applyFont="1" applyBorder="1" applyAlignment="1">
      <alignment horizontal="right" vertical="center"/>
    </xf>
    <xf numFmtId="0" fontId="13" fillId="0" borderId="45" xfId="13" applyFont="1" applyBorder="1" applyAlignment="1">
      <alignment vertical="center"/>
    </xf>
    <xf numFmtId="10" fontId="13" fillId="0" borderId="45" xfId="13" applyNumberFormat="1" applyFont="1" applyBorder="1" applyAlignment="1">
      <alignment horizontal="center" vertical="center"/>
    </xf>
    <xf numFmtId="172" fontId="13" fillId="0" borderId="45" xfId="13" applyNumberFormat="1" applyFont="1" applyBorder="1" applyAlignment="1">
      <alignment horizontal="center" vertical="center"/>
    </xf>
    <xf numFmtId="164" fontId="33" fillId="0" borderId="46" xfId="13" applyNumberFormat="1" applyFont="1" applyBorder="1" applyAlignment="1">
      <alignment horizontal="center" vertical="center"/>
    </xf>
    <xf numFmtId="0" fontId="39" fillId="0" borderId="0" xfId="13" applyFont="1" applyAlignment="1">
      <alignment vertical="center"/>
    </xf>
    <xf numFmtId="10" fontId="13" fillId="0" borderId="0" xfId="13" applyNumberFormat="1" applyFont="1" applyAlignment="1">
      <alignment vertical="center"/>
    </xf>
    <xf numFmtId="172" fontId="13" fillId="0" borderId="0" xfId="13" applyNumberFormat="1" applyFont="1" applyAlignment="1">
      <alignment vertical="center"/>
    </xf>
    <xf numFmtId="164" fontId="33" fillId="0" borderId="0" xfId="13" applyNumberFormat="1" applyFont="1" applyAlignment="1">
      <alignment vertical="center"/>
    </xf>
    <xf numFmtId="0" fontId="33" fillId="6" borderId="47" xfId="13" applyFont="1" applyFill="1" applyBorder="1" applyAlignment="1">
      <alignment horizontal="center" vertical="center"/>
    </xf>
    <xf numFmtId="10" fontId="33" fillId="6" borderId="39" xfId="13" applyNumberFormat="1" applyFont="1" applyFill="1" applyBorder="1" applyAlignment="1">
      <alignment horizontal="center" vertical="center"/>
    </xf>
    <xf numFmtId="172" fontId="33" fillId="6" borderId="48" xfId="13" applyNumberFormat="1" applyFont="1" applyFill="1" applyBorder="1" applyAlignment="1">
      <alignment horizontal="center" vertical="center"/>
    </xf>
    <xf numFmtId="172" fontId="33" fillId="6" borderId="39" xfId="13" applyNumberFormat="1" applyFont="1" applyFill="1" applyBorder="1" applyAlignment="1">
      <alignment horizontal="center" vertical="center"/>
    </xf>
    <xf numFmtId="0" fontId="13" fillId="6" borderId="14" xfId="13" applyFont="1" applyFill="1" applyBorder="1" applyAlignment="1">
      <alignment vertical="center"/>
    </xf>
    <xf numFmtId="0" fontId="33" fillId="6" borderId="0" xfId="13" applyFont="1" applyFill="1" applyAlignment="1">
      <alignment horizontal="center" vertical="center"/>
    </xf>
    <xf numFmtId="10" fontId="33" fillId="6" borderId="7" xfId="13" applyNumberFormat="1" applyFont="1" applyFill="1" applyBorder="1" applyAlignment="1">
      <alignment horizontal="center" vertical="center"/>
    </xf>
    <xf numFmtId="172" fontId="33" fillId="6" borderId="6" xfId="13" applyNumberFormat="1" applyFont="1" applyFill="1" applyBorder="1" applyAlignment="1">
      <alignment horizontal="center" vertical="center"/>
    </xf>
    <xf numFmtId="0" fontId="13" fillId="0" borderId="49" xfId="13" applyFont="1" applyBorder="1" applyAlignment="1">
      <alignment vertical="center"/>
    </xf>
    <xf numFmtId="0" fontId="13" fillId="0" borderId="12" xfId="13" applyFont="1" applyBorder="1" applyAlignment="1">
      <alignment horizontal="center" vertical="center"/>
    </xf>
    <xf numFmtId="10" fontId="13" fillId="0" borderId="1" xfId="1" applyNumberFormat="1" applyFont="1" applyFill="1" applyBorder="1" applyAlignment="1">
      <alignment horizontal="center" vertical="center"/>
    </xf>
    <xf numFmtId="172" fontId="13" fillId="0" borderId="5" xfId="13" applyNumberFormat="1" applyFont="1" applyBorder="1" applyAlignment="1">
      <alignment horizontal="center" vertical="center"/>
    </xf>
    <xf numFmtId="172" fontId="13" fillId="0" borderId="10" xfId="13" applyNumberFormat="1" applyFont="1" applyBorder="1" applyAlignment="1">
      <alignment horizontal="center" vertical="center"/>
    </xf>
    <xf numFmtId="10" fontId="13" fillId="0" borderId="2" xfId="1" applyNumberFormat="1" applyFont="1" applyFill="1" applyBorder="1" applyAlignment="1">
      <alignment horizontal="center" vertical="center"/>
    </xf>
    <xf numFmtId="10" fontId="13" fillId="0" borderId="2" xfId="1" applyNumberFormat="1" applyFont="1" applyBorder="1" applyAlignment="1">
      <alignment horizontal="center" vertical="center"/>
    </xf>
    <xf numFmtId="0" fontId="13" fillId="0" borderId="13" xfId="13" applyFont="1" applyBorder="1" applyAlignment="1">
      <alignment horizontal="center" vertical="center"/>
    </xf>
    <xf numFmtId="10" fontId="13" fillId="0" borderId="7" xfId="1" applyNumberFormat="1" applyFont="1" applyBorder="1" applyAlignment="1">
      <alignment horizontal="center" vertical="center"/>
    </xf>
    <xf numFmtId="172" fontId="13" fillId="0" borderId="13" xfId="13" applyNumberFormat="1" applyFont="1" applyBorder="1" applyAlignment="1">
      <alignment horizontal="center" vertical="center"/>
    </xf>
    <xf numFmtId="172" fontId="13" fillId="0" borderId="7" xfId="13" applyNumberFormat="1" applyFont="1" applyBorder="1" applyAlignment="1">
      <alignment horizontal="center" vertical="center"/>
    </xf>
    <xf numFmtId="164" fontId="13" fillId="0" borderId="50" xfId="13" applyNumberFormat="1" applyFont="1" applyBorder="1" applyAlignment="1">
      <alignment horizontal="center" vertical="center"/>
    </xf>
    <xf numFmtId="0" fontId="13" fillId="0" borderId="25" xfId="13" applyFont="1" applyBorder="1" applyAlignment="1">
      <alignment vertical="center"/>
    </xf>
    <xf numFmtId="0" fontId="13" fillId="0" borderId="25" xfId="13" applyFont="1" applyBorder="1" applyAlignment="1">
      <alignment horizontal="center" vertical="center"/>
    </xf>
    <xf numFmtId="10" fontId="13" fillId="0" borderId="25" xfId="13" applyNumberFormat="1" applyFont="1" applyBorder="1" applyAlignment="1">
      <alignment horizontal="center" vertical="center"/>
    </xf>
    <xf numFmtId="172" fontId="13" fillId="0" borderId="25" xfId="13" applyNumberFormat="1" applyFont="1" applyBorder="1" applyAlignment="1">
      <alignment horizontal="center" vertical="center"/>
    </xf>
    <xf numFmtId="164" fontId="33" fillId="0" borderId="51" xfId="13" applyNumberFormat="1" applyFont="1" applyBorder="1" applyAlignment="1">
      <alignment horizontal="center" vertical="center"/>
    </xf>
    <xf numFmtId="172" fontId="33" fillId="6" borderId="47" xfId="13" applyNumberFormat="1" applyFont="1" applyFill="1" applyBorder="1" applyAlignment="1">
      <alignment horizontal="center" vertical="center"/>
    </xf>
    <xf numFmtId="0" fontId="13" fillId="6" borderId="52" xfId="13" applyFont="1" applyFill="1" applyBorder="1" applyAlignment="1">
      <alignment vertical="center"/>
    </xf>
    <xf numFmtId="172" fontId="33" fillId="6" borderId="11" xfId="13" applyNumberFormat="1" applyFont="1" applyFill="1" applyBorder="1" applyAlignment="1">
      <alignment horizontal="center" vertical="center"/>
    </xf>
    <xf numFmtId="0" fontId="13" fillId="0" borderId="53" xfId="13" applyFont="1" applyBorder="1" applyAlignment="1">
      <alignment vertical="center"/>
    </xf>
    <xf numFmtId="0" fontId="13" fillId="0" borderId="22" xfId="13" applyFont="1" applyBorder="1" applyAlignment="1">
      <alignment vertical="center"/>
    </xf>
    <xf numFmtId="172" fontId="13" fillId="0" borderId="8" xfId="13" applyNumberFormat="1" applyFont="1" applyBorder="1" applyAlignment="1">
      <alignment horizontal="center" vertical="center"/>
    </xf>
    <xf numFmtId="10" fontId="13" fillId="0" borderId="7" xfId="13" applyNumberFormat="1" applyFont="1" applyBorder="1" applyAlignment="1">
      <alignment horizontal="center" vertical="center"/>
    </xf>
    <xf numFmtId="172" fontId="13" fillId="0" borderId="11" xfId="13" applyNumberFormat="1" applyFont="1" applyBorder="1" applyAlignment="1">
      <alignment horizontal="center" vertical="center"/>
    </xf>
    <xf numFmtId="164" fontId="13" fillId="0" borderId="42" xfId="13" applyNumberFormat="1" applyFont="1" applyBorder="1" applyAlignment="1">
      <alignment horizontal="center" vertical="center"/>
    </xf>
    <xf numFmtId="172" fontId="33" fillId="6" borderId="39" xfId="13" applyNumberFormat="1" applyFont="1" applyFill="1" applyBorder="1" applyAlignment="1">
      <alignment horizontal="left" vertical="center"/>
    </xf>
    <xf numFmtId="0" fontId="40" fillId="0" borderId="2" xfId="13" applyFont="1" applyBorder="1" applyAlignment="1">
      <alignment horizontal="center" vertical="center"/>
    </xf>
    <xf numFmtId="0" fontId="40" fillId="0" borderId="8" xfId="13" applyFont="1" applyBorder="1" applyAlignment="1">
      <alignment horizontal="center" vertical="center"/>
    </xf>
    <xf numFmtId="10" fontId="40" fillId="0" borderId="2" xfId="1" applyNumberFormat="1" applyFont="1" applyBorder="1" applyAlignment="1">
      <alignment horizontal="center" vertical="center"/>
    </xf>
    <xf numFmtId="172" fontId="40" fillId="0" borderId="8" xfId="13" applyNumberFormat="1" applyFont="1" applyBorder="1" applyAlignment="1">
      <alignment horizontal="center" vertical="center"/>
    </xf>
    <xf numFmtId="0" fontId="40" fillId="0" borderId="14" xfId="13" applyFont="1" applyBorder="1" applyAlignment="1">
      <alignment vertical="center"/>
    </xf>
    <xf numFmtId="0" fontId="41" fillId="0" borderId="0" xfId="13" applyFont="1" applyAlignment="1">
      <alignment horizontal="center" vertical="center"/>
    </xf>
    <xf numFmtId="0" fontId="42" fillId="0" borderId="0" xfId="13" applyFont="1" applyAlignment="1">
      <alignment vertical="center"/>
    </xf>
    <xf numFmtId="0" fontId="9" fillId="0" borderId="0" xfId="15" applyAlignment="1">
      <alignment vertical="center"/>
    </xf>
    <xf numFmtId="0" fontId="33" fillId="8" borderId="26" xfId="13" applyFont="1" applyFill="1" applyBorder="1" applyAlignment="1">
      <alignment horizontal="centerContinuous" vertical="center"/>
    </xf>
    <xf numFmtId="0" fontId="33" fillId="6" borderId="27" xfId="13" applyFont="1" applyFill="1" applyBorder="1" applyAlignment="1">
      <alignment horizontal="left" vertical="center"/>
    </xf>
    <xf numFmtId="172" fontId="33" fillId="6" borderId="27" xfId="13" applyNumberFormat="1" applyFont="1" applyFill="1" applyBorder="1" applyAlignment="1">
      <alignment horizontal="center" vertical="center"/>
    </xf>
    <xf numFmtId="0" fontId="33" fillId="6" borderId="11" xfId="13" applyFont="1" applyFill="1" applyBorder="1" applyAlignment="1">
      <alignment horizontal="center" vertical="center"/>
    </xf>
    <xf numFmtId="172" fontId="33" fillId="6" borderId="7" xfId="13" applyNumberFormat="1" applyFont="1" applyFill="1" applyBorder="1" applyAlignment="1">
      <alignment horizontal="center" vertical="center"/>
    </xf>
    <xf numFmtId="172" fontId="23" fillId="6" borderId="7" xfId="16" applyNumberFormat="1" applyFont="1" applyFill="1" applyBorder="1" applyAlignment="1">
      <alignment horizontal="center" vertical="center"/>
    </xf>
    <xf numFmtId="10" fontId="13" fillId="0" borderId="2" xfId="13" applyNumberFormat="1" applyFont="1" applyBorder="1" applyAlignment="1">
      <alignment horizontal="center" vertical="center"/>
    </xf>
    <xf numFmtId="0" fontId="13" fillId="0" borderId="45" xfId="13" applyFont="1" applyBorder="1" applyAlignment="1">
      <alignment horizontal="center" vertical="center"/>
    </xf>
    <xf numFmtId="10" fontId="13" fillId="0" borderId="0" xfId="13" applyNumberFormat="1" applyFont="1" applyAlignment="1">
      <alignment horizontal="center" vertical="center"/>
    </xf>
    <xf numFmtId="164" fontId="13" fillId="0" borderId="0" xfId="13" applyNumberFormat="1" applyFont="1" applyAlignment="1">
      <alignment horizontal="center" vertical="center"/>
    </xf>
    <xf numFmtId="0" fontId="22" fillId="0" borderId="18" xfId="13" applyFont="1" applyBorder="1" applyAlignment="1">
      <alignment vertical="center"/>
    </xf>
    <xf numFmtId="0" fontId="22" fillId="0" borderId="20" xfId="13" applyFont="1" applyBorder="1" applyAlignment="1">
      <alignment vertical="center"/>
    </xf>
    <xf numFmtId="0" fontId="22" fillId="0" borderId="20" xfId="13" applyFont="1" applyBorder="1" applyAlignment="1">
      <alignment horizontal="center" vertical="center"/>
    </xf>
    <xf numFmtId="10" fontId="22" fillId="0" borderId="20" xfId="13" applyNumberFormat="1" applyFont="1" applyBorder="1" applyAlignment="1">
      <alignment horizontal="center" vertical="center"/>
    </xf>
    <xf numFmtId="172" fontId="22" fillId="0" borderId="20" xfId="13" applyNumberFormat="1" applyFont="1" applyBorder="1" applyAlignment="1">
      <alignment horizontal="center" vertical="center"/>
    </xf>
    <xf numFmtId="164" fontId="22" fillId="0" borderId="55" xfId="13" applyNumberFormat="1" applyFont="1" applyBorder="1" applyAlignment="1">
      <alignment horizontal="center" vertical="center"/>
    </xf>
    <xf numFmtId="0" fontId="21" fillId="0" borderId="0" xfId="15" applyFont="1" applyAlignment="1">
      <alignment horizontal="center" vertical="center"/>
    </xf>
    <xf numFmtId="0" fontId="21" fillId="0" borderId="0" xfId="15" applyFont="1" applyAlignment="1">
      <alignment vertical="center"/>
    </xf>
    <xf numFmtId="0" fontId="13" fillId="0" borderId="0" xfId="15" applyFont="1" applyAlignment="1">
      <alignment vertical="center"/>
    </xf>
    <xf numFmtId="10" fontId="33" fillId="0" borderId="0" xfId="15" applyNumberFormat="1" applyFont="1" applyAlignment="1">
      <alignment horizontal="right" vertical="center"/>
    </xf>
    <xf numFmtId="172" fontId="33" fillId="0" borderId="0" xfId="15" applyNumberFormat="1" applyFont="1" applyAlignment="1">
      <alignment horizontal="center" vertical="center"/>
    </xf>
    <xf numFmtId="172" fontId="33" fillId="0" borderId="0" xfId="15" applyNumberFormat="1" applyFont="1" applyAlignment="1">
      <alignment vertical="center"/>
    </xf>
    <xf numFmtId="172" fontId="13" fillId="0" borderId="0" xfId="15" applyNumberFormat="1" applyFont="1" applyAlignment="1">
      <alignment vertical="center"/>
    </xf>
    <xf numFmtId="0" fontId="13" fillId="0" borderId="0" xfId="15" applyFont="1" applyAlignment="1">
      <alignment horizontal="center" vertical="center"/>
    </xf>
    <xf numFmtId="0" fontId="33" fillId="8" borderId="9" xfId="15" applyFont="1" applyFill="1" applyBorder="1" applyAlignment="1">
      <alignment horizontal="centerContinuous" vertical="center"/>
    </xf>
    <xf numFmtId="0" fontId="33" fillId="8" borderId="1" xfId="15" applyFont="1" applyFill="1" applyBorder="1" applyAlignment="1">
      <alignment horizontal="center" vertical="center"/>
    </xf>
    <xf numFmtId="0" fontId="33" fillId="8" borderId="9" xfId="15" applyFont="1" applyFill="1" applyBorder="1" applyAlignment="1">
      <alignment horizontal="center" vertical="center"/>
    </xf>
    <xf numFmtId="10" fontId="33" fillId="8" borderId="1" xfId="15" applyNumberFormat="1" applyFont="1" applyFill="1" applyBorder="1" applyAlignment="1">
      <alignment horizontal="center" vertical="center"/>
    </xf>
    <xf numFmtId="172" fontId="33" fillId="8" borderId="10" xfId="15" applyNumberFormat="1" applyFont="1" applyFill="1" applyBorder="1" applyAlignment="1">
      <alignment horizontal="center" vertical="center"/>
    </xf>
    <xf numFmtId="172" fontId="33" fillId="8" borderId="1" xfId="15" applyNumberFormat="1" applyFont="1" applyFill="1" applyBorder="1" applyAlignment="1">
      <alignment horizontal="center" vertical="center"/>
    </xf>
    <xf numFmtId="0" fontId="13" fillId="8" borderId="8" xfId="15" applyFont="1" applyFill="1" applyBorder="1" applyAlignment="1">
      <alignment vertical="center"/>
    </xf>
    <xf numFmtId="0" fontId="33" fillId="8" borderId="7" xfId="15" applyFont="1" applyFill="1" applyBorder="1" applyAlignment="1">
      <alignment horizontal="center" vertical="center"/>
    </xf>
    <xf numFmtId="10" fontId="33" fillId="8" borderId="7" xfId="15" applyNumberFormat="1" applyFont="1" applyFill="1" applyBorder="1" applyAlignment="1">
      <alignment horizontal="center" vertical="center"/>
    </xf>
    <xf numFmtId="172" fontId="33" fillId="8" borderId="6" xfId="15" applyNumberFormat="1" applyFont="1" applyFill="1" applyBorder="1" applyAlignment="1">
      <alignment horizontal="center" vertical="center"/>
    </xf>
    <xf numFmtId="0" fontId="33" fillId="8" borderId="13" xfId="15" applyFont="1" applyFill="1" applyBorder="1" applyAlignment="1">
      <alignment horizontal="center" vertical="center"/>
    </xf>
    <xf numFmtId="0" fontId="43" fillId="0" borderId="49" xfId="18" applyFont="1" applyBorder="1" applyAlignment="1">
      <alignment vertical="center"/>
    </xf>
    <xf numFmtId="0" fontId="44" fillId="0" borderId="2" xfId="18" applyFont="1" applyBorder="1" applyAlignment="1">
      <alignment horizontal="center" vertical="center"/>
    </xf>
    <xf numFmtId="4" fontId="44" fillId="0" borderId="2" xfId="18" applyNumberFormat="1" applyFont="1" applyBorder="1" applyAlignment="1">
      <alignment horizontal="center" vertical="center"/>
    </xf>
    <xf numFmtId="10" fontId="44" fillId="0" borderId="2" xfId="18" applyNumberFormat="1" applyFont="1" applyBorder="1" applyAlignment="1">
      <alignment horizontal="center" vertical="center"/>
    </xf>
    <xf numFmtId="172" fontId="44" fillId="0" borderId="2" xfId="18" applyNumberFormat="1" applyFont="1" applyBorder="1" applyAlignment="1">
      <alignment horizontal="center" vertical="center"/>
    </xf>
    <xf numFmtId="164" fontId="44" fillId="0" borderId="43" xfId="18" applyNumberFormat="1" applyFont="1" applyBorder="1" applyAlignment="1">
      <alignment horizontal="center" vertical="center"/>
    </xf>
    <xf numFmtId="0" fontId="44" fillId="0" borderId="14" xfId="18" quotePrefix="1" applyFont="1" applyBorder="1" applyAlignment="1">
      <alignment vertical="center"/>
    </xf>
    <xf numFmtId="0" fontId="44" fillId="0" borderId="2" xfId="13" applyFont="1" applyBorder="1" applyAlignment="1">
      <alignment horizontal="center" vertical="center"/>
    </xf>
    <xf numFmtId="172" fontId="44" fillId="0" borderId="2" xfId="13" applyNumberFormat="1" applyFont="1" applyBorder="1" applyAlignment="1">
      <alignment horizontal="center" vertical="center"/>
    </xf>
    <xf numFmtId="172" fontId="43" fillId="0" borderId="2" xfId="18" applyNumberFormat="1" applyFont="1" applyBorder="1" applyAlignment="1">
      <alignment horizontal="center" vertical="center"/>
    </xf>
    <xf numFmtId="164" fontId="44" fillId="0" borderId="43" xfId="13" applyNumberFormat="1" applyFont="1" applyBorder="1" applyAlignment="1">
      <alignment horizontal="center" vertical="center"/>
    </xf>
    <xf numFmtId="172" fontId="13" fillId="0" borderId="0" xfId="15" applyNumberFormat="1" applyFont="1" applyAlignment="1">
      <alignment horizontal="center" vertical="center"/>
    </xf>
    <xf numFmtId="0" fontId="43" fillId="0" borderId="14" xfId="18" applyFont="1" applyBorder="1" applyAlignment="1">
      <alignment vertical="center"/>
    </xf>
    <xf numFmtId="0" fontId="43" fillId="0" borderId="49" xfId="13" applyFont="1" applyBorder="1" applyAlignment="1">
      <alignment horizontal="right" vertical="center"/>
    </xf>
    <xf numFmtId="0" fontId="44" fillId="0" borderId="12" xfId="13" applyFont="1" applyBorder="1" applyAlignment="1">
      <alignment vertical="center"/>
    </xf>
    <xf numFmtId="0" fontId="44" fillId="0" borderId="12" xfId="13" applyFont="1" applyBorder="1" applyAlignment="1">
      <alignment horizontal="center" vertical="center"/>
    </xf>
    <xf numFmtId="10" fontId="44" fillId="0" borderId="12" xfId="13" applyNumberFormat="1" applyFont="1" applyBorder="1" applyAlignment="1">
      <alignment horizontal="center" vertical="center"/>
    </xf>
    <xf numFmtId="172" fontId="44" fillId="0" borderId="12" xfId="13" applyNumberFormat="1" applyFont="1" applyBorder="1" applyAlignment="1">
      <alignment horizontal="center" vertical="center"/>
    </xf>
    <xf numFmtId="164" fontId="43" fillId="0" borderId="54" xfId="13" applyNumberFormat="1" applyFont="1" applyBorder="1" applyAlignment="1">
      <alignment horizontal="center" vertical="center"/>
    </xf>
    <xf numFmtId="0" fontId="43" fillId="0" borderId="12" xfId="13" applyFont="1" applyBorder="1" applyAlignment="1">
      <alignment horizontal="right" vertical="center"/>
    </xf>
    <xf numFmtId="164" fontId="43" fillId="0" borderId="12" xfId="13" applyNumberFormat="1" applyFont="1" applyBorder="1" applyAlignment="1">
      <alignment horizontal="center" vertical="center"/>
    </xf>
    <xf numFmtId="0" fontId="43" fillId="0" borderId="49" xfId="13" applyFont="1" applyBorder="1" applyAlignment="1">
      <alignment horizontal="centerContinuous" vertical="center"/>
    </xf>
    <xf numFmtId="0" fontId="43" fillId="0" borderId="1" xfId="13" applyFont="1" applyBorder="1" applyAlignment="1">
      <alignment horizontal="center" vertical="center"/>
    </xf>
    <xf numFmtId="0" fontId="43" fillId="0" borderId="12" xfId="13" applyFont="1" applyBorder="1" applyAlignment="1">
      <alignment horizontal="center" vertical="center"/>
    </xf>
    <xf numFmtId="10" fontId="43" fillId="0" borderId="1" xfId="13" applyNumberFormat="1" applyFont="1" applyBorder="1" applyAlignment="1">
      <alignment horizontal="center" vertical="center"/>
    </xf>
    <xf numFmtId="172" fontId="43" fillId="0" borderId="9" xfId="13" applyNumberFormat="1" applyFont="1" applyBorder="1" applyAlignment="1">
      <alignment horizontal="center" vertical="center"/>
    </xf>
    <xf numFmtId="172" fontId="43" fillId="0" borderId="1" xfId="13" applyNumberFormat="1" applyFont="1" applyBorder="1" applyAlignment="1">
      <alignment horizontal="center" vertical="center"/>
    </xf>
    <xf numFmtId="0" fontId="44" fillId="0" borderId="52" xfId="13" applyFont="1" applyBorder="1" applyAlignment="1">
      <alignment vertical="center"/>
    </xf>
    <xf numFmtId="0" fontId="43" fillId="0" borderId="7" xfId="13" applyFont="1" applyBorder="1" applyAlignment="1">
      <alignment horizontal="center" vertical="center"/>
    </xf>
    <xf numFmtId="0" fontId="43" fillId="0" borderId="13" xfId="13" applyFont="1" applyBorder="1" applyAlignment="1">
      <alignment horizontal="center" vertical="center"/>
    </xf>
    <xf numFmtId="10" fontId="43" fillId="0" borderId="7" xfId="13" applyNumberFormat="1" applyFont="1" applyBorder="1" applyAlignment="1">
      <alignment horizontal="center" vertical="center"/>
    </xf>
    <xf numFmtId="172" fontId="43" fillId="0" borderId="11" xfId="13" applyNumberFormat="1" applyFont="1" applyBorder="1" applyAlignment="1">
      <alignment horizontal="center" vertical="center"/>
    </xf>
    <xf numFmtId="164" fontId="43" fillId="0" borderId="42" xfId="13" applyNumberFormat="1" applyFont="1" applyBorder="1" applyAlignment="1">
      <alignment horizontal="center" vertical="center"/>
    </xf>
    <xf numFmtId="0" fontId="43" fillId="0" borderId="14" xfId="18" applyFont="1" applyBorder="1" applyAlignment="1">
      <alignment vertical="center" wrapText="1"/>
    </xf>
    <xf numFmtId="4" fontId="43" fillId="0" borderId="2" xfId="18" applyNumberFormat="1" applyFont="1" applyBorder="1" applyAlignment="1">
      <alignment horizontal="center" vertical="center"/>
    </xf>
    <xf numFmtId="0" fontId="44" fillId="0" borderId="14" xfId="18" applyFont="1" applyBorder="1" applyAlignment="1">
      <alignment vertical="center"/>
    </xf>
    <xf numFmtId="0" fontId="44" fillId="0" borderId="14" xfId="18" quotePrefix="1" applyFont="1" applyBorder="1" applyAlignment="1">
      <alignment vertical="center" wrapText="1"/>
    </xf>
    <xf numFmtId="0" fontId="44" fillId="0" borderId="22" xfId="13" quotePrefix="1" applyFont="1" applyBorder="1" applyAlignment="1">
      <alignment vertical="center" wrapText="1"/>
    </xf>
    <xf numFmtId="2" fontId="44" fillId="0" borderId="0" xfId="13" applyNumberFormat="1" applyFont="1" applyAlignment="1">
      <alignment horizontal="center" vertical="center"/>
    </xf>
    <xf numFmtId="10" fontId="44" fillId="0" borderId="2" xfId="1" applyNumberFormat="1" applyFont="1" applyFill="1" applyBorder="1" applyAlignment="1">
      <alignment horizontal="center" vertical="center"/>
    </xf>
    <xf numFmtId="0" fontId="44" fillId="0" borderId="14" xfId="13" quotePrefix="1" applyFont="1" applyBorder="1" applyAlignment="1">
      <alignment vertical="center"/>
    </xf>
    <xf numFmtId="172" fontId="44" fillId="0" borderId="8" xfId="13" applyNumberFormat="1" applyFont="1" applyBorder="1" applyAlignment="1">
      <alignment horizontal="center" vertical="center"/>
    </xf>
    <xf numFmtId="0" fontId="44" fillId="0" borderId="41" xfId="13" quotePrefix="1" applyFont="1" applyBorder="1" applyAlignment="1">
      <alignment vertical="center"/>
    </xf>
    <xf numFmtId="0" fontId="44" fillId="0" borderId="7" xfId="13" applyFont="1" applyBorder="1" applyAlignment="1">
      <alignment horizontal="center" vertical="center"/>
    </xf>
    <xf numFmtId="2" fontId="44" fillId="0" borderId="13" xfId="13" applyNumberFormat="1" applyFont="1" applyBorder="1" applyAlignment="1">
      <alignment horizontal="center" vertical="center"/>
    </xf>
    <xf numFmtId="10" fontId="44" fillId="0" borderId="7" xfId="1" applyNumberFormat="1" applyFont="1" applyFill="1" applyBorder="1" applyAlignment="1">
      <alignment horizontal="center" vertical="center"/>
    </xf>
    <xf numFmtId="172" fontId="44" fillId="0" borderId="7" xfId="13" applyNumberFormat="1" applyFont="1" applyBorder="1" applyAlignment="1">
      <alignment horizontal="center" vertical="center"/>
    </xf>
    <xf numFmtId="172" fontId="44" fillId="0" borderId="11" xfId="13" applyNumberFormat="1" applyFont="1" applyBorder="1" applyAlignment="1">
      <alignment horizontal="center" vertical="center"/>
    </xf>
    <xf numFmtId="164" fontId="44" fillId="0" borderId="42" xfId="13" applyNumberFormat="1" applyFont="1" applyBorder="1" applyAlignment="1">
      <alignment horizontal="center" vertical="center"/>
    </xf>
    <xf numFmtId="0" fontId="43" fillId="0" borderId="33" xfId="18" applyFont="1" applyBorder="1" applyAlignment="1">
      <alignment vertical="center" wrapText="1"/>
    </xf>
    <xf numFmtId="0" fontId="44" fillId="0" borderId="3" xfId="18" applyFont="1" applyBorder="1" applyAlignment="1">
      <alignment horizontal="center" vertical="center"/>
    </xf>
    <xf numFmtId="4" fontId="44" fillId="0" borderId="3" xfId="18" applyNumberFormat="1" applyFont="1" applyBorder="1" applyAlignment="1">
      <alignment horizontal="center" vertical="center"/>
    </xf>
    <xf numFmtId="10" fontId="44" fillId="0" borderId="3" xfId="18" applyNumberFormat="1" applyFont="1" applyBorder="1" applyAlignment="1">
      <alignment horizontal="center" vertical="center"/>
    </xf>
    <xf numFmtId="172" fontId="44" fillId="0" borderId="3" xfId="18" applyNumberFormat="1" applyFont="1" applyBorder="1" applyAlignment="1">
      <alignment horizontal="center" vertical="center"/>
    </xf>
    <xf numFmtId="164" fontId="44" fillId="0" borderId="3" xfId="18" applyNumberFormat="1" applyFont="1" applyBorder="1" applyAlignment="1">
      <alignment horizontal="center" vertical="center"/>
    </xf>
    <xf numFmtId="0" fontId="44" fillId="0" borderId="0" xfId="13" applyFont="1" applyAlignment="1">
      <alignment horizontal="center" vertical="center"/>
    </xf>
    <xf numFmtId="2" fontId="44" fillId="0" borderId="8" xfId="13" applyNumberFormat="1" applyFont="1" applyBorder="1" applyAlignment="1">
      <alignment horizontal="center" vertical="center"/>
    </xf>
    <xf numFmtId="174" fontId="43" fillId="0" borderId="18" xfId="19" applyFont="1" applyBorder="1" applyAlignment="1">
      <alignment horizontal="right" vertical="center"/>
    </xf>
    <xf numFmtId="174" fontId="44" fillId="0" borderId="20" xfId="19" applyFont="1" applyBorder="1" applyAlignment="1">
      <alignment vertical="center"/>
    </xf>
    <xf numFmtId="174" fontId="44" fillId="0" borderId="20" xfId="19" applyFont="1" applyBorder="1" applyAlignment="1">
      <alignment horizontal="center" vertical="center"/>
    </xf>
    <xf numFmtId="10" fontId="44" fillId="0" borderId="20" xfId="19" applyNumberFormat="1" applyFont="1" applyBorder="1" applyAlignment="1">
      <alignment horizontal="center" vertical="center"/>
    </xf>
    <xf numFmtId="172" fontId="44" fillId="0" borderId="20" xfId="19" applyNumberFormat="1" applyFont="1" applyBorder="1" applyAlignment="1">
      <alignment horizontal="center" vertical="center"/>
    </xf>
    <xf numFmtId="164" fontId="43" fillId="0" borderId="55" xfId="19" applyNumberFormat="1" applyFont="1" applyBorder="1" applyAlignment="1">
      <alignment horizontal="center" vertical="center"/>
    </xf>
    <xf numFmtId="0" fontId="40" fillId="0" borderId="0" xfId="13" applyFont="1" applyAlignment="1">
      <alignment vertical="center"/>
    </xf>
    <xf numFmtId="10" fontId="40" fillId="0" borderId="0" xfId="13" applyNumberFormat="1" applyFont="1" applyAlignment="1">
      <alignment vertical="center"/>
    </xf>
    <xf numFmtId="172" fontId="40" fillId="0" borderId="0" xfId="13" applyNumberFormat="1" applyFont="1" applyAlignment="1">
      <alignment vertical="center"/>
    </xf>
    <xf numFmtId="164" fontId="40" fillId="0" borderId="0" xfId="13" applyNumberFormat="1" applyFont="1" applyAlignment="1">
      <alignment vertical="center"/>
    </xf>
    <xf numFmtId="0" fontId="33" fillId="0" borderId="0" xfId="16" applyFont="1" applyAlignment="1">
      <alignment horizontal="center" vertical="center"/>
    </xf>
    <xf numFmtId="0" fontId="33" fillId="0" borderId="0" xfId="16" applyFont="1" applyAlignment="1">
      <alignment vertical="center"/>
    </xf>
    <xf numFmtId="0" fontId="21" fillId="6" borderId="26" xfId="13" applyFont="1" applyFill="1" applyBorder="1" applyAlignment="1">
      <alignment horizontal="center" vertical="center"/>
    </xf>
    <xf numFmtId="0" fontId="21" fillId="6" borderId="39" xfId="13" applyFont="1" applyFill="1" applyBorder="1" applyAlignment="1">
      <alignment horizontal="center" vertical="center"/>
    </xf>
    <xf numFmtId="0" fontId="21" fillId="6" borderId="27" xfId="13" applyFont="1" applyFill="1" applyBorder="1" applyAlignment="1">
      <alignment horizontal="center" vertical="center"/>
    </xf>
    <xf numFmtId="10" fontId="33" fillId="6" borderId="39" xfId="13" applyNumberFormat="1" applyFont="1" applyFill="1" applyBorder="1" applyAlignment="1">
      <alignment horizontal="left" vertical="center"/>
    </xf>
    <xf numFmtId="172" fontId="21" fillId="6" borderId="27" xfId="13" applyNumberFormat="1" applyFont="1" applyFill="1" applyBorder="1" applyAlignment="1">
      <alignment horizontal="left" vertical="center"/>
    </xf>
    <xf numFmtId="172" fontId="23" fillId="6" borderId="39" xfId="16" applyNumberFormat="1" applyFont="1" applyFill="1" applyBorder="1" applyAlignment="1">
      <alignment horizontal="left" vertical="center"/>
    </xf>
    <xf numFmtId="164" fontId="21" fillId="6" borderId="40" xfId="16" applyNumberFormat="1" applyFont="1" applyFill="1" applyBorder="1" applyAlignment="1">
      <alignment horizontal="center" vertical="center"/>
    </xf>
    <xf numFmtId="0" fontId="21" fillId="6" borderId="14" xfId="13" applyFont="1" applyFill="1" applyBorder="1" applyAlignment="1">
      <alignment vertical="center"/>
    </xf>
    <xf numFmtId="0" fontId="21" fillId="6" borderId="2" xfId="13" applyFont="1" applyFill="1" applyBorder="1" applyAlignment="1">
      <alignment horizontal="center" vertical="center"/>
    </xf>
    <xf numFmtId="0" fontId="21" fillId="6" borderId="11" xfId="13" applyFont="1" applyFill="1" applyBorder="1" applyAlignment="1">
      <alignment horizontal="center" vertical="center"/>
    </xf>
    <xf numFmtId="10" fontId="21" fillId="6" borderId="7" xfId="13" applyNumberFormat="1" applyFont="1" applyFill="1" applyBorder="1" applyAlignment="1">
      <alignment horizontal="center" vertical="center"/>
    </xf>
    <xf numFmtId="0" fontId="13" fillId="0" borderId="49" xfId="16" applyFont="1" applyBorder="1" applyAlignment="1">
      <alignment vertical="center"/>
    </xf>
    <xf numFmtId="0" fontId="13" fillId="0" borderId="1" xfId="13" applyFont="1" applyBorder="1" applyAlignment="1">
      <alignment horizontal="center" vertical="center"/>
    </xf>
    <xf numFmtId="10" fontId="13" fillId="0" borderId="1" xfId="1" applyNumberFormat="1" applyFont="1" applyBorder="1" applyAlignment="1">
      <alignment horizontal="center" vertical="center"/>
    </xf>
    <xf numFmtId="172" fontId="13" fillId="0" borderId="1" xfId="16" applyNumberFormat="1" applyFont="1" applyBorder="1" applyAlignment="1">
      <alignment horizontal="center" vertical="center"/>
    </xf>
    <xf numFmtId="164" fontId="13" fillId="0" borderId="54" xfId="16" applyNumberFormat="1" applyFont="1" applyBorder="1" applyAlignment="1">
      <alignment horizontal="center" vertical="center"/>
    </xf>
    <xf numFmtId="0" fontId="13" fillId="0" borderId="14" xfId="16" applyFont="1" applyBorder="1" applyAlignment="1">
      <alignment vertical="center"/>
    </xf>
    <xf numFmtId="0" fontId="13" fillId="0" borderId="0" xfId="16" applyFont="1" applyAlignment="1">
      <alignment horizontal="center" vertical="center"/>
    </xf>
    <xf numFmtId="172" fontId="13" fillId="0" borderId="5" xfId="16" applyNumberFormat="1" applyFont="1" applyBorder="1" applyAlignment="1">
      <alignment horizontal="center" vertical="center"/>
    </xf>
    <xf numFmtId="172" fontId="13" fillId="0" borderId="2" xfId="16" applyNumberFormat="1" applyFont="1" applyBorder="1" applyAlignment="1">
      <alignment horizontal="center" vertical="center"/>
    </xf>
    <xf numFmtId="164" fontId="13" fillId="0" borderId="43" xfId="16" applyNumberFormat="1" applyFont="1" applyBorder="1" applyAlignment="1">
      <alignment horizontal="center" vertical="center"/>
    </xf>
    <xf numFmtId="0" fontId="13" fillId="0" borderId="14" xfId="16" quotePrefix="1" applyFont="1" applyBorder="1" applyAlignment="1">
      <alignment horizontal="left" vertical="center"/>
    </xf>
    <xf numFmtId="172" fontId="13" fillId="0" borderId="7" xfId="16" applyNumberFormat="1" applyFont="1" applyBorder="1" applyAlignment="1">
      <alignment horizontal="center" vertical="center"/>
    </xf>
    <xf numFmtId="164" fontId="13" fillId="0" borderId="42" xfId="16" applyNumberFormat="1" applyFont="1" applyBorder="1" applyAlignment="1">
      <alignment horizontal="center" vertical="center"/>
    </xf>
    <xf numFmtId="0" fontId="33" fillId="0" borderId="25" xfId="13" applyFont="1" applyBorder="1" applyAlignment="1">
      <alignment vertical="center"/>
    </xf>
    <xf numFmtId="0" fontId="33" fillId="0" borderId="45" xfId="13" applyFont="1" applyBorder="1" applyAlignment="1">
      <alignment vertical="center"/>
    </xf>
    <xf numFmtId="10" fontId="33" fillId="0" borderId="45" xfId="13" applyNumberFormat="1" applyFont="1" applyBorder="1" applyAlignment="1">
      <alignment vertical="center"/>
    </xf>
    <xf numFmtId="172" fontId="33" fillId="0" borderId="45" xfId="13" applyNumberFormat="1" applyFont="1" applyBorder="1" applyAlignment="1">
      <alignment vertical="center"/>
    </xf>
    <xf numFmtId="172" fontId="33" fillId="0" borderId="56" xfId="13" applyNumberFormat="1" applyFont="1" applyBorder="1" applyAlignment="1">
      <alignment vertical="center"/>
    </xf>
    <xf numFmtId="0" fontId="21" fillId="6" borderId="32" xfId="13" applyFont="1" applyFill="1" applyBorder="1" applyAlignment="1">
      <alignment horizontal="centerContinuous" vertical="center"/>
    </xf>
    <xf numFmtId="0" fontId="21" fillId="6" borderId="52" xfId="13" applyFont="1" applyFill="1" applyBorder="1" applyAlignment="1">
      <alignment vertical="center"/>
    </xf>
    <xf numFmtId="0" fontId="21" fillId="6" borderId="7" xfId="13" applyFont="1" applyFill="1" applyBorder="1" applyAlignment="1">
      <alignment horizontal="center" vertical="center"/>
    </xf>
    <xf numFmtId="0" fontId="13" fillId="0" borderId="22" xfId="16" applyFont="1" applyBorder="1" applyAlignment="1">
      <alignment vertical="center"/>
    </xf>
    <xf numFmtId="0" fontId="13" fillId="0" borderId="9" xfId="13" applyFont="1" applyBorder="1" applyAlignment="1">
      <alignment horizontal="center" vertical="center"/>
    </xf>
    <xf numFmtId="172" fontId="13" fillId="0" borderId="12" xfId="13" applyNumberFormat="1" applyFont="1" applyBorder="1" applyAlignment="1">
      <alignment horizontal="center" vertical="center"/>
    </xf>
    <xf numFmtId="0" fontId="13" fillId="0" borderId="8" xfId="16" applyFont="1" applyBorder="1" applyAlignment="1">
      <alignment horizontal="center" vertical="center"/>
    </xf>
    <xf numFmtId="0" fontId="13" fillId="0" borderId="22" xfId="16" applyFont="1" applyBorder="1" applyAlignment="1">
      <alignment horizontal="left" vertical="center"/>
    </xf>
    <xf numFmtId="0" fontId="13" fillId="0" borderId="8" xfId="13" applyFont="1" applyBorder="1" applyAlignment="1">
      <alignment horizontal="center" vertical="center"/>
    </xf>
    <xf numFmtId="0" fontId="13" fillId="0" borderId="11" xfId="16" applyFont="1" applyBorder="1" applyAlignment="1">
      <alignment horizontal="center" vertical="center"/>
    </xf>
    <xf numFmtId="172" fontId="13" fillId="0" borderId="6" xfId="16" applyNumberFormat="1" applyFont="1" applyBorder="1" applyAlignment="1">
      <alignment horizontal="center" vertical="center"/>
    </xf>
    <xf numFmtId="0" fontId="33" fillId="0" borderId="45" xfId="13" applyFont="1" applyBorder="1" applyAlignment="1">
      <alignment horizontal="center" vertical="center"/>
    </xf>
    <xf numFmtId="172" fontId="33" fillId="6" borderId="27" xfId="13" applyNumberFormat="1" applyFont="1" applyFill="1" applyBorder="1" applyAlignment="1">
      <alignment horizontal="left" vertical="center"/>
    </xf>
    <xf numFmtId="4" fontId="13" fillId="0" borderId="1" xfId="17" applyNumberFormat="1" applyFont="1" applyBorder="1" applyAlignment="1">
      <alignment horizontal="center" vertical="center"/>
    </xf>
    <xf numFmtId="164" fontId="13" fillId="2" borderId="54" xfId="16" applyNumberFormat="1" applyFont="1" applyFill="1" applyBorder="1" applyAlignment="1">
      <alignment horizontal="center" vertical="center"/>
    </xf>
    <xf numFmtId="4" fontId="13" fillId="0" borderId="7" xfId="17" applyNumberFormat="1" applyFont="1" applyBorder="1" applyAlignment="1">
      <alignment horizontal="center" vertical="center"/>
    </xf>
    <xf numFmtId="172" fontId="13" fillId="0" borderId="45" xfId="13" applyNumberFormat="1" applyFont="1" applyBorder="1" applyAlignment="1">
      <alignment vertical="center"/>
    </xf>
    <xf numFmtId="0" fontId="33" fillId="0" borderId="0" xfId="18" applyFont="1" applyAlignment="1">
      <alignment vertical="center"/>
    </xf>
    <xf numFmtId="0" fontId="13" fillId="0" borderId="0" xfId="18" applyFont="1" applyAlignment="1">
      <alignment vertical="center"/>
    </xf>
    <xf numFmtId="10" fontId="13" fillId="0" borderId="0" xfId="18" applyNumberFormat="1" applyFont="1" applyAlignment="1">
      <alignment vertical="center"/>
    </xf>
    <xf numFmtId="172" fontId="13" fillId="0" borderId="0" xfId="18" applyNumberFormat="1" applyFont="1" applyAlignment="1">
      <alignment vertical="center"/>
    </xf>
    <xf numFmtId="164" fontId="13" fillId="0" borderId="0" xfId="18" applyNumberFormat="1" applyFont="1" applyAlignment="1">
      <alignment vertical="center"/>
    </xf>
    <xf numFmtId="0" fontId="13" fillId="0" borderId="0" xfId="18" applyFont="1" applyAlignment="1">
      <alignment horizontal="right" vertical="center"/>
    </xf>
    <xf numFmtId="0" fontId="33" fillId="6" borderId="26" xfId="18" applyFont="1" applyFill="1" applyBorder="1" applyAlignment="1">
      <alignment horizontal="centerContinuous" vertical="center"/>
    </xf>
    <xf numFmtId="0" fontId="33" fillId="6" borderId="39" xfId="18" applyFont="1" applyFill="1" applyBorder="1" applyAlignment="1">
      <alignment horizontal="center" vertical="center"/>
    </xf>
    <xf numFmtId="0" fontId="33" fillId="6" borderId="27" xfId="18" applyFont="1" applyFill="1" applyBorder="1" applyAlignment="1">
      <alignment horizontal="center" vertical="center"/>
    </xf>
    <xf numFmtId="164" fontId="33" fillId="6" borderId="40" xfId="18" applyNumberFormat="1" applyFont="1" applyFill="1" applyBorder="1" applyAlignment="1">
      <alignment horizontal="center" vertical="center"/>
    </xf>
    <xf numFmtId="0" fontId="33" fillId="6" borderId="41" xfId="18" applyFont="1" applyFill="1" applyBorder="1" applyAlignment="1">
      <alignment vertical="center"/>
    </xf>
    <xf numFmtId="0" fontId="33" fillId="6" borderId="7" xfId="18" applyFont="1" applyFill="1" applyBorder="1" applyAlignment="1">
      <alignment horizontal="center" vertical="center"/>
    </xf>
    <xf numFmtId="0" fontId="33" fillId="6" borderId="13" xfId="18" applyFont="1" applyFill="1" applyBorder="1" applyAlignment="1">
      <alignment horizontal="center" vertical="center"/>
    </xf>
    <xf numFmtId="164" fontId="33" fillId="6" borderId="42" xfId="18" applyNumberFormat="1" applyFont="1" applyFill="1" applyBorder="1" applyAlignment="1">
      <alignment horizontal="center" vertical="center"/>
    </xf>
    <xf numFmtId="0" fontId="13" fillId="0" borderId="49" xfId="18" applyFont="1" applyBorder="1" applyAlignment="1">
      <alignment vertical="center"/>
    </xf>
    <xf numFmtId="0" fontId="13" fillId="0" borderId="2" xfId="18" applyFont="1" applyBorder="1" applyAlignment="1">
      <alignment horizontal="center" vertical="center"/>
    </xf>
    <xf numFmtId="4" fontId="13" fillId="0" borderId="2" xfId="18" applyNumberFormat="1" applyFont="1" applyBorder="1" applyAlignment="1">
      <alignment horizontal="center" vertical="center"/>
    </xf>
    <xf numFmtId="10" fontId="13" fillId="0" borderId="2" xfId="18" applyNumberFormat="1" applyFont="1" applyBorder="1" applyAlignment="1">
      <alignment horizontal="center" vertical="center"/>
    </xf>
    <xf numFmtId="172" fontId="13" fillId="0" borderId="2" xfId="18" applyNumberFormat="1" applyFont="1" applyBorder="1" applyAlignment="1">
      <alignment horizontal="center" vertical="center"/>
    </xf>
    <xf numFmtId="164" fontId="13" fillId="0" borderId="43" xfId="18" applyNumberFormat="1" applyFont="1" applyBorder="1" applyAlignment="1">
      <alignment horizontal="center" vertical="center"/>
    </xf>
    <xf numFmtId="0" fontId="13" fillId="0" borderId="14" xfId="18" applyFont="1" applyBorder="1" applyAlignment="1">
      <alignment vertical="center"/>
    </xf>
    <xf numFmtId="2" fontId="13" fillId="0" borderId="2" xfId="18" applyNumberFormat="1" applyFont="1" applyBorder="1" applyAlignment="1">
      <alignment horizontal="center" vertical="center"/>
    </xf>
    <xf numFmtId="0" fontId="33" fillId="0" borderId="44" xfId="18" applyFont="1" applyBorder="1" applyAlignment="1">
      <alignment horizontal="right" vertical="center"/>
    </xf>
    <xf numFmtId="0" fontId="13" fillId="0" borderId="45" xfId="18" applyFont="1" applyBorder="1" applyAlignment="1">
      <alignment vertical="center"/>
    </xf>
    <xf numFmtId="0" fontId="13" fillId="0" borderId="45" xfId="18" applyFont="1" applyBorder="1" applyAlignment="1">
      <alignment horizontal="center" vertical="center"/>
    </xf>
    <xf numFmtId="10" fontId="13" fillId="0" borderId="45" xfId="18" applyNumberFormat="1" applyFont="1" applyBorder="1" applyAlignment="1">
      <alignment horizontal="center" vertical="center"/>
    </xf>
    <xf numFmtId="172" fontId="13" fillId="0" borderId="45" xfId="18" applyNumberFormat="1" applyFont="1" applyBorder="1" applyAlignment="1">
      <alignment horizontal="center" vertical="center"/>
    </xf>
    <xf numFmtId="164" fontId="33" fillId="0" borderId="46" xfId="18" applyNumberFormat="1" applyFont="1" applyBorder="1" applyAlignment="1">
      <alignment horizontal="center" vertical="center"/>
    </xf>
    <xf numFmtId="0" fontId="33" fillId="0" borderId="45" xfId="18" applyFont="1" applyBorder="1" applyAlignment="1">
      <alignment horizontal="right" vertical="center"/>
    </xf>
    <xf numFmtId="164" fontId="33" fillId="0" borderId="45" xfId="18" applyNumberFormat="1" applyFont="1" applyBorder="1" applyAlignment="1">
      <alignment horizontal="center" vertical="center"/>
    </xf>
    <xf numFmtId="0" fontId="33" fillId="0" borderId="25" xfId="13" applyFont="1" applyBorder="1" applyAlignment="1">
      <alignment horizontal="centerContinuous" vertical="center" wrapText="1"/>
    </xf>
    <xf numFmtId="0" fontId="13" fillId="0" borderId="25" xfId="13" applyFont="1" applyBorder="1" applyAlignment="1">
      <alignment horizontal="centerContinuous" vertical="center"/>
    </xf>
    <xf numFmtId="10" fontId="13" fillId="0" borderId="25" xfId="13" applyNumberFormat="1" applyFont="1" applyBorder="1" applyAlignment="1">
      <alignment horizontal="centerContinuous" vertical="center"/>
    </xf>
    <xf numFmtId="172" fontId="13" fillId="0" borderId="25" xfId="13" applyNumberFormat="1" applyFont="1" applyBorder="1" applyAlignment="1">
      <alignment horizontal="centerContinuous" vertical="center"/>
    </xf>
    <xf numFmtId="172" fontId="33" fillId="6" borderId="40" xfId="18" applyNumberFormat="1" applyFont="1" applyFill="1" applyBorder="1" applyAlignment="1">
      <alignment horizontal="center" vertical="center"/>
    </xf>
    <xf numFmtId="172" fontId="33" fillId="6" borderId="42" xfId="18" applyNumberFormat="1" applyFont="1" applyFill="1" applyBorder="1" applyAlignment="1">
      <alignment horizontal="center" vertical="center"/>
    </xf>
    <xf numFmtId="0" fontId="40" fillId="0" borderId="53" xfId="15" applyFont="1" applyBorder="1" applyAlignment="1">
      <alignment horizontal="left" wrapText="1"/>
    </xf>
    <xf numFmtId="0" fontId="40" fillId="0" borderId="2" xfId="15" applyFont="1" applyBorder="1" applyAlignment="1">
      <alignment horizontal="center"/>
    </xf>
    <xf numFmtId="0" fontId="40" fillId="0" borderId="0" xfId="15" applyFont="1" applyAlignment="1">
      <alignment horizontal="center"/>
    </xf>
    <xf numFmtId="10" fontId="40" fillId="0" borderId="8" xfId="21" applyNumberFormat="1" applyFont="1" applyBorder="1" applyAlignment="1">
      <alignment horizontal="center"/>
    </xf>
    <xf numFmtId="172" fontId="40" fillId="0" borderId="2" xfId="15" applyNumberFormat="1" applyFont="1" applyBorder="1" applyAlignment="1">
      <alignment horizontal="center"/>
    </xf>
    <xf numFmtId="0" fontId="40" fillId="0" borderId="22" xfId="15" applyFont="1" applyBorder="1" applyAlignment="1">
      <alignment horizontal="left" wrapText="1"/>
    </xf>
    <xf numFmtId="0" fontId="41" fillId="0" borderId="14" xfId="13" applyFont="1" applyBorder="1" applyAlignment="1">
      <alignment horizontal="center" vertical="center"/>
    </xf>
    <xf numFmtId="0" fontId="41" fillId="0" borderId="2" xfId="13" applyFont="1" applyBorder="1" applyAlignment="1">
      <alignment horizontal="center" vertical="center"/>
    </xf>
    <xf numFmtId="10" fontId="41" fillId="0" borderId="2" xfId="1" applyNumberFormat="1" applyFont="1" applyBorder="1" applyAlignment="1">
      <alignment horizontal="center" vertical="center"/>
    </xf>
    <xf numFmtId="172" fontId="41" fillId="0" borderId="2" xfId="13" applyNumberFormat="1" applyFont="1" applyBorder="1" applyAlignment="1">
      <alignment horizontal="center" vertical="center"/>
    </xf>
    <xf numFmtId="172" fontId="41" fillId="0" borderId="43" xfId="13" applyNumberFormat="1" applyFont="1" applyBorder="1" applyAlignment="1">
      <alignment horizontal="center" vertical="center"/>
    </xf>
    <xf numFmtId="172" fontId="33" fillId="0" borderId="46" xfId="13" applyNumberFormat="1" applyFont="1" applyBorder="1" applyAlignment="1">
      <alignment horizontal="center" vertical="center"/>
    </xf>
    <xf numFmtId="0" fontId="33" fillId="0" borderId="25" xfId="18" applyFont="1" applyBorder="1" applyAlignment="1">
      <alignment horizontal="right" vertical="center"/>
    </xf>
    <xf numFmtId="0" fontId="13" fillId="0" borderId="25" xfId="18" applyFont="1" applyBorder="1" applyAlignment="1">
      <alignment vertical="center"/>
    </xf>
    <xf numFmtId="0" fontId="13" fillId="0" borderId="25" xfId="18" applyFont="1" applyBorder="1" applyAlignment="1">
      <alignment horizontal="center" vertical="center"/>
    </xf>
    <xf numFmtId="10" fontId="13" fillId="0" borderId="25" xfId="18" applyNumberFormat="1" applyFont="1" applyBorder="1" applyAlignment="1">
      <alignment horizontal="center" vertical="center"/>
    </xf>
    <xf numFmtId="172" fontId="13" fillId="0" borderId="25" xfId="18" applyNumberFormat="1" applyFont="1" applyBorder="1" applyAlignment="1">
      <alignment horizontal="center" vertical="center"/>
    </xf>
    <xf numFmtId="164" fontId="33" fillId="0" borderId="25" xfId="18" applyNumberFormat="1" applyFont="1" applyBorder="1" applyAlignment="1">
      <alignment horizontal="center" vertical="center"/>
    </xf>
    <xf numFmtId="0" fontId="22" fillId="0" borderId="44" xfId="13" applyFont="1" applyBorder="1" applyAlignment="1">
      <alignment vertical="center"/>
    </xf>
    <xf numFmtId="0" fontId="22" fillId="0" borderId="45" xfId="13" applyFont="1" applyBorder="1" applyAlignment="1">
      <alignment vertical="center"/>
    </xf>
    <xf numFmtId="172" fontId="22" fillId="0" borderId="45" xfId="13" applyNumberFormat="1" applyFont="1" applyBorder="1" applyAlignment="1">
      <alignment vertical="center"/>
    </xf>
    <xf numFmtId="164" fontId="22" fillId="0" borderId="46" xfId="13" applyNumberFormat="1" applyFont="1" applyBorder="1" applyAlignment="1">
      <alignment horizontal="center" vertical="center"/>
    </xf>
    <xf numFmtId="0" fontId="19" fillId="0" borderId="18" xfId="13" applyFont="1" applyBorder="1" applyAlignment="1">
      <alignment vertical="center"/>
    </xf>
    <xf numFmtId="0" fontId="19" fillId="0" borderId="20" xfId="13" applyFont="1" applyBorder="1" applyAlignment="1">
      <alignment vertical="center"/>
    </xf>
    <xf numFmtId="172" fontId="19" fillId="0" borderId="20" xfId="13" applyNumberFormat="1" applyFont="1" applyBorder="1" applyAlignment="1">
      <alignment vertical="center"/>
    </xf>
    <xf numFmtId="164" fontId="19" fillId="0" borderId="55" xfId="13" applyNumberFormat="1" applyFont="1" applyBorder="1" applyAlignment="1">
      <alignment horizontal="center" vertical="center"/>
    </xf>
    <xf numFmtId="164" fontId="33" fillId="0" borderId="3" xfId="13" applyNumberFormat="1" applyFont="1" applyBorder="1" applyAlignment="1">
      <alignment horizontal="center" vertical="center"/>
    </xf>
    <xf numFmtId="0" fontId="13" fillId="0" borderId="33" xfId="13" applyFont="1" applyBorder="1" applyAlignment="1">
      <alignment vertical="center"/>
    </xf>
    <xf numFmtId="0" fontId="13" fillId="0" borderId="15" xfId="13" applyFont="1" applyBorder="1" applyAlignment="1">
      <alignment vertical="center"/>
    </xf>
    <xf numFmtId="172" fontId="13" fillId="0" borderId="15" xfId="13" applyNumberFormat="1" applyFont="1" applyBorder="1" applyAlignment="1">
      <alignment vertical="center"/>
    </xf>
    <xf numFmtId="164" fontId="21" fillId="0" borderId="3" xfId="13" applyNumberFormat="1" applyFont="1" applyBorder="1" applyAlignment="1">
      <alignment horizontal="center" vertical="center"/>
    </xf>
    <xf numFmtId="0" fontId="22" fillId="0" borderId="33" xfId="13" applyFont="1" applyBorder="1" applyAlignment="1">
      <alignment vertical="center"/>
    </xf>
    <xf numFmtId="172" fontId="9" fillId="0" borderId="0" xfId="13" applyNumberFormat="1" applyAlignment="1">
      <alignment vertical="center"/>
    </xf>
    <xf numFmtId="0" fontId="9" fillId="0" borderId="0" xfId="13" applyAlignment="1">
      <alignment horizontal="center" vertical="center"/>
    </xf>
    <xf numFmtId="164" fontId="9" fillId="0" borderId="0" xfId="1" applyNumberFormat="1" applyFont="1" applyBorder="1" applyAlignment="1">
      <alignment vertical="center"/>
    </xf>
    <xf numFmtId="172" fontId="22" fillId="0" borderId="0" xfId="13" applyNumberFormat="1" applyFont="1" applyAlignment="1">
      <alignment vertical="center"/>
    </xf>
    <xf numFmtId="164" fontId="22" fillId="0" borderId="0" xfId="1" applyNumberFormat="1" applyFont="1" applyFill="1" applyBorder="1" applyAlignment="1">
      <alignment horizontal="center" vertical="center"/>
    </xf>
    <xf numFmtId="164" fontId="21" fillId="0" borderId="0" xfId="1" applyNumberFormat="1" applyFont="1" applyBorder="1" applyAlignment="1">
      <alignment horizontal="center" vertical="center"/>
    </xf>
    <xf numFmtId="164" fontId="21" fillId="0" borderId="0" xfId="13" applyNumberFormat="1" applyFont="1" applyAlignment="1">
      <alignment horizontal="center" vertical="center"/>
    </xf>
    <xf numFmtId="10" fontId="13" fillId="0" borderId="13" xfId="1" applyNumberFormat="1" applyFont="1" applyBorder="1" applyAlignment="1">
      <alignment horizontal="center" vertical="center"/>
    </xf>
    <xf numFmtId="2" fontId="9" fillId="0" borderId="0" xfId="15" applyNumberFormat="1" applyAlignment="1">
      <alignment vertical="center"/>
    </xf>
    <xf numFmtId="172" fontId="45" fillId="0" borderId="27" xfId="20" applyNumberFormat="1" applyFont="1" applyBorder="1" applyAlignment="1">
      <alignment horizontal="right" vertical="center" wrapText="1" indent="1"/>
    </xf>
    <xf numFmtId="0" fontId="33" fillId="0" borderId="0" xfId="15" applyFont="1" applyAlignment="1">
      <alignment horizontal="right" vertical="center"/>
    </xf>
    <xf numFmtId="10" fontId="13" fillId="0" borderId="0" xfId="15" applyNumberFormat="1" applyFont="1" applyAlignment="1">
      <alignment horizontal="center" vertical="center"/>
    </xf>
    <xf numFmtId="172" fontId="33" fillId="0" borderId="0" xfId="15" applyNumberFormat="1" applyFont="1" applyAlignment="1">
      <alignment horizontal="right" vertical="center" indent="1"/>
    </xf>
    <xf numFmtId="0" fontId="33" fillId="0" borderId="0" xfId="15" applyFont="1" applyAlignment="1">
      <alignment vertical="center"/>
    </xf>
    <xf numFmtId="172" fontId="40" fillId="0" borderId="43" xfId="15" applyNumberFormat="1" applyFont="1" applyBorder="1" applyAlignment="1">
      <alignment horizontal="center"/>
    </xf>
    <xf numFmtId="10" fontId="11" fillId="0" borderId="0" xfId="1" applyNumberFormat="1" applyFont="1" applyAlignment="1">
      <alignment vertical="center"/>
    </xf>
    <xf numFmtId="4" fontId="9" fillId="0" borderId="0" xfId="13" applyNumberFormat="1" applyAlignment="1">
      <alignment vertical="center"/>
    </xf>
    <xf numFmtId="10" fontId="9" fillId="0" borderId="0" xfId="1" applyNumberFormat="1" applyFont="1" applyAlignment="1">
      <alignment vertical="center"/>
    </xf>
    <xf numFmtId="175" fontId="9" fillId="0" borderId="0" xfId="12" applyNumberFormat="1" applyFont="1" applyAlignment="1">
      <alignment vertical="center"/>
    </xf>
    <xf numFmtId="4" fontId="13" fillId="5" borderId="2" xfId="17" applyNumberFormat="1" applyFont="1" applyFill="1" applyBorder="1" applyAlignment="1">
      <alignment horizontal="center" vertical="center"/>
    </xf>
    <xf numFmtId="4" fontId="13" fillId="5" borderId="2" xfId="13" applyNumberFormat="1" applyFont="1" applyFill="1" applyBorder="1" applyAlignment="1">
      <alignment horizontal="center" vertical="center"/>
    </xf>
    <xf numFmtId="4" fontId="17" fillId="0" borderId="0" xfId="2" applyNumberFormat="1" applyFont="1" applyAlignment="1">
      <alignment horizontal="right" vertical="center" indent="1"/>
    </xf>
    <xf numFmtId="0" fontId="16" fillId="0" borderId="28" xfId="2" applyFont="1" applyBorder="1" applyAlignment="1">
      <alignment horizontal="centerContinuous" vertical="center"/>
    </xf>
    <xf numFmtId="2" fontId="14" fillId="0" borderId="0" xfId="8" applyNumberFormat="1" applyFont="1" applyAlignment="1">
      <alignment horizontal="center" vertical="center"/>
    </xf>
    <xf numFmtId="0" fontId="19" fillId="0" borderId="0" xfId="8" applyFont="1" applyAlignment="1">
      <alignment vertical="center"/>
    </xf>
    <xf numFmtId="0" fontId="22" fillId="0" borderId="0" xfId="8" applyFont="1" applyAlignment="1">
      <alignment horizontal="center" vertical="center"/>
    </xf>
    <xf numFmtId="10" fontId="22" fillId="0" borderId="0" xfId="1" quotePrefix="1" applyNumberFormat="1" applyFont="1" applyFill="1" applyBorder="1" applyAlignment="1">
      <alignment horizontal="center" vertical="center"/>
    </xf>
    <xf numFmtId="2" fontId="16" fillId="0" borderId="18" xfId="8" applyNumberFormat="1" applyFont="1" applyBorder="1" applyAlignment="1">
      <alignment horizontal="right" vertical="center" indent="1"/>
    </xf>
    <xf numFmtId="0" fontId="17" fillId="0" borderId="20" xfId="8" applyFont="1" applyBorder="1" applyAlignment="1">
      <alignment horizontal="right" vertical="center" indent="1"/>
    </xf>
    <xf numFmtId="10" fontId="17" fillId="0" borderId="21" xfId="1" quotePrefix="1" applyNumberFormat="1" applyFont="1" applyFill="1" applyBorder="1" applyAlignment="1">
      <alignment horizontal="right" vertical="center" indent="1"/>
    </xf>
    <xf numFmtId="0" fontId="17" fillId="0" borderId="20" xfId="8" applyFont="1" applyBorder="1" applyAlignment="1">
      <alignment horizontal="left" vertical="center" indent="1"/>
    </xf>
    <xf numFmtId="0" fontId="17" fillId="0" borderId="57" xfId="8" applyFont="1" applyBorder="1" applyAlignment="1">
      <alignment horizontal="left" vertical="center" indent="1"/>
    </xf>
    <xf numFmtId="0" fontId="35" fillId="3" borderId="57" xfId="4" applyFont="1" applyFill="1" applyBorder="1" applyAlignment="1">
      <alignment horizontal="center" vertical="center" wrapText="1"/>
    </xf>
    <xf numFmtId="0" fontId="35" fillId="3" borderId="18" xfId="4" applyFont="1" applyFill="1" applyBorder="1" applyAlignment="1">
      <alignment horizontal="center" vertical="center" wrapText="1"/>
    </xf>
    <xf numFmtId="4" fontId="16" fillId="0" borderId="16" xfId="2" applyNumberFormat="1" applyFont="1" applyBorder="1" applyAlignment="1">
      <alignment vertical="center"/>
    </xf>
    <xf numFmtId="4" fontId="16" fillId="0" borderId="21" xfId="2" applyNumberFormat="1" applyFont="1" applyBorder="1" applyAlignment="1">
      <alignment vertical="center"/>
    </xf>
    <xf numFmtId="4" fontId="16" fillId="0" borderId="24" xfId="2" applyNumberFormat="1" applyFont="1" applyBorder="1" applyAlignment="1">
      <alignment vertical="center"/>
    </xf>
    <xf numFmtId="4" fontId="17" fillId="0" borderId="28" xfId="5" applyNumberFormat="1" applyFont="1" applyBorder="1" applyAlignment="1">
      <alignment vertical="center"/>
    </xf>
    <xf numFmtId="4" fontId="17" fillId="0" borderId="16" xfId="5" applyNumberFormat="1" applyFont="1" applyBorder="1" applyAlignment="1">
      <alignment vertical="center"/>
    </xf>
    <xf numFmtId="4" fontId="17" fillId="0" borderId="24" xfId="5" applyNumberFormat="1" applyFont="1" applyBorder="1" applyAlignment="1">
      <alignment vertical="center"/>
    </xf>
    <xf numFmtId="4" fontId="17" fillId="0" borderId="21" xfId="2" applyNumberFormat="1" applyFont="1" applyBorder="1" applyAlignment="1">
      <alignment vertical="center"/>
    </xf>
    <xf numFmtId="14" fontId="46" fillId="0" borderId="0" xfId="2" applyNumberFormat="1" applyFont="1" applyAlignment="1">
      <alignment horizontal="right" vertical="center"/>
    </xf>
    <xf numFmtId="177" fontId="46" fillId="0" borderId="0" xfId="2" applyNumberFormat="1" applyFont="1" applyAlignment="1">
      <alignment horizontal="right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4" fontId="14" fillId="0" borderId="0" xfId="0" applyNumberFormat="1" applyFont="1"/>
    <xf numFmtId="0" fontId="14" fillId="0" borderId="0" xfId="0" applyFont="1" applyAlignment="1">
      <alignment vertical="center"/>
    </xf>
    <xf numFmtId="0" fontId="19" fillId="0" borderId="0" xfId="2" applyFont="1" applyAlignment="1">
      <alignment horizontal="left" vertical="center"/>
    </xf>
    <xf numFmtId="0" fontId="19" fillId="0" borderId="0" xfId="2" applyFont="1" applyAlignment="1">
      <alignment vertical="center" wrapText="1"/>
    </xf>
    <xf numFmtId="0" fontId="19" fillId="0" borderId="0" xfId="2" quotePrefix="1" applyFont="1" applyAlignment="1">
      <alignment horizontal="center" vertical="center"/>
    </xf>
    <xf numFmtId="49" fontId="19" fillId="0" borderId="0" xfId="2" applyNumberFormat="1" applyFont="1" applyAlignment="1">
      <alignment horizontal="left" vertical="center"/>
    </xf>
    <xf numFmtId="0" fontId="19" fillId="0" borderId="0" xfId="2" applyFont="1" applyAlignment="1">
      <alignment horizontal="left" vertical="center" wrapText="1"/>
    </xf>
    <xf numFmtId="0" fontId="19" fillId="0" borderId="0" xfId="2" applyFont="1" applyAlignment="1">
      <alignment vertical="center"/>
    </xf>
    <xf numFmtId="0" fontId="19" fillId="0" borderId="0" xfId="2" applyFont="1" applyAlignment="1">
      <alignment horizontal="center" vertical="center"/>
    </xf>
    <xf numFmtId="0" fontId="19" fillId="0" borderId="0" xfId="4" quotePrefix="1" applyFont="1" applyAlignment="1">
      <alignment horizontal="right" vertical="center"/>
    </xf>
    <xf numFmtId="169" fontId="19" fillId="0" borderId="0" xfId="2" applyNumberFormat="1" applyFont="1" applyAlignment="1">
      <alignment vertical="center"/>
    </xf>
    <xf numFmtId="169" fontId="19" fillId="0" borderId="0" xfId="2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4" fontId="18" fillId="0" borderId="0" xfId="0" applyNumberFormat="1" applyFont="1"/>
    <xf numFmtId="169" fontId="22" fillId="3" borderId="1" xfId="5" applyNumberFormat="1" applyFont="1" applyFill="1" applyBorder="1" applyAlignment="1">
      <alignment horizontal="center" vertical="center"/>
    </xf>
    <xf numFmtId="169" fontId="22" fillId="3" borderId="1" xfId="4" applyNumberFormat="1" applyFont="1" applyFill="1" applyBorder="1" applyAlignment="1">
      <alignment horizontal="center" vertical="center"/>
    </xf>
    <xf numFmtId="169" fontId="22" fillId="3" borderId="3" xfId="4" applyNumberFormat="1" applyFont="1" applyFill="1" applyBorder="1" applyAlignment="1">
      <alignment horizontal="center" vertical="center"/>
    </xf>
    <xf numFmtId="0" fontId="50" fillId="2" borderId="62" xfId="10" applyFont="1" applyFill="1" applyBorder="1" applyAlignment="1">
      <alignment horizontal="center" vertical="center"/>
    </xf>
    <xf numFmtId="169" fontId="14" fillId="0" borderId="2" xfId="2" applyNumberFormat="1" applyFont="1" applyBorder="1" applyAlignment="1">
      <alignment vertical="center"/>
    </xf>
    <xf numFmtId="2" fontId="22" fillId="0" borderId="2" xfId="10" applyNumberFormat="1" applyFont="1" applyBorder="1" applyAlignment="1">
      <alignment horizontal="center" vertical="center"/>
    </xf>
    <xf numFmtId="0" fontId="14" fillId="0" borderId="2" xfId="10" applyFont="1" applyBorder="1" applyAlignment="1">
      <alignment horizontal="center" vertical="center"/>
    </xf>
    <xf numFmtId="0" fontId="24" fillId="0" borderId="8" xfId="10" applyFont="1" applyBorder="1" applyAlignment="1">
      <alignment vertical="center"/>
    </xf>
    <xf numFmtId="4" fontId="24" fillId="0" borderId="0" xfId="2" applyNumberFormat="1" applyFont="1" applyAlignment="1">
      <alignment vertical="center"/>
    </xf>
    <xf numFmtId="4" fontId="24" fillId="0" borderId="5" xfId="2" applyNumberFormat="1" applyFont="1" applyBorder="1" applyAlignment="1">
      <alignment vertical="center"/>
    </xf>
    <xf numFmtId="0" fontId="14" fillId="0" borderId="8" xfId="10" applyFont="1" applyBorder="1" applyAlignment="1">
      <alignment vertical="center"/>
    </xf>
    <xf numFmtId="0" fontId="14" fillId="0" borderId="0" xfId="2" applyFont="1" applyAlignment="1">
      <alignment vertical="center" wrapText="1"/>
    </xf>
    <xf numFmtId="0" fontId="14" fillId="0" borderId="5" xfId="2" applyFont="1" applyBorder="1" applyAlignment="1">
      <alignment vertical="center" wrapText="1"/>
    </xf>
    <xf numFmtId="0" fontId="14" fillId="0" borderId="70" xfId="2" applyFont="1" applyBorder="1" applyAlignment="1">
      <alignment vertical="center" wrapText="1"/>
    </xf>
    <xf numFmtId="0" fontId="14" fillId="0" borderId="2" xfId="10" applyFont="1" applyBorder="1" applyAlignment="1">
      <alignment vertical="center"/>
    </xf>
    <xf numFmtId="169" fontId="14" fillId="0" borderId="1" xfId="2" applyNumberFormat="1" applyFont="1" applyBorder="1" applyAlignment="1">
      <alignment vertical="center"/>
    </xf>
    <xf numFmtId="169" fontId="22" fillId="2" borderId="1" xfId="2" applyNumberFormat="1" applyFont="1" applyFill="1" applyBorder="1" applyAlignment="1">
      <alignment vertical="center"/>
    </xf>
    <xf numFmtId="169" fontId="22" fillId="0" borderId="1" xfId="2" applyNumberFormat="1" applyFont="1" applyBorder="1" applyAlignment="1">
      <alignment vertical="center"/>
    </xf>
    <xf numFmtId="2" fontId="22" fillId="2" borderId="2" xfId="10" applyNumberFormat="1" applyFont="1" applyFill="1" applyBorder="1" applyAlignment="1">
      <alignment horizontal="center" vertical="center"/>
    </xf>
    <xf numFmtId="0" fontId="24" fillId="2" borderId="8" xfId="10" applyFont="1" applyFill="1" applyBorder="1" applyAlignment="1">
      <alignment vertical="center"/>
    </xf>
    <xf numFmtId="169" fontId="14" fillId="2" borderId="2" xfId="2" applyNumberFormat="1" applyFont="1" applyFill="1" applyBorder="1" applyAlignment="1">
      <alignment vertical="center"/>
    </xf>
    <xf numFmtId="2" fontId="14" fillId="0" borderId="2" xfId="10" applyNumberFormat="1" applyFont="1" applyBorder="1" applyAlignment="1">
      <alignment horizontal="center" vertical="center"/>
    </xf>
    <xf numFmtId="0" fontId="14" fillId="2" borderId="2" xfId="10" applyFont="1" applyFill="1" applyBorder="1" applyAlignment="1">
      <alignment vertical="center"/>
    </xf>
    <xf numFmtId="169" fontId="25" fillId="0" borderId="2" xfId="2" applyNumberFormat="1" applyFont="1" applyBorder="1" applyAlignment="1">
      <alignment vertical="center"/>
    </xf>
    <xf numFmtId="0" fontId="53" fillId="0" borderId="0" xfId="0" applyFont="1"/>
    <xf numFmtId="0" fontId="22" fillId="0" borderId="0" xfId="0" applyFont="1"/>
    <xf numFmtId="4" fontId="14" fillId="0" borderId="0" xfId="2" applyNumberFormat="1" applyFont="1" applyAlignment="1">
      <alignment horizontal="center" vertical="center"/>
    </xf>
    <xf numFmtId="0" fontId="22" fillId="0" borderId="5" xfId="2" applyFont="1" applyBorder="1" applyAlignment="1">
      <alignment horizontal="right" vertical="center"/>
    </xf>
    <xf numFmtId="169" fontId="14" fillId="0" borderId="10" xfId="2" applyNumberFormat="1" applyFont="1" applyBorder="1" applyAlignment="1">
      <alignment vertical="center"/>
    </xf>
    <xf numFmtId="169" fontId="14" fillId="0" borderId="5" xfId="2" applyNumberFormat="1" applyFont="1" applyBorder="1" applyAlignment="1">
      <alignment vertical="center"/>
    </xf>
    <xf numFmtId="0" fontId="14" fillId="2" borderId="7" xfId="10" applyFont="1" applyFill="1" applyBorder="1" applyAlignment="1">
      <alignment vertical="center"/>
    </xf>
    <xf numFmtId="0" fontId="14" fillId="2" borderId="68" xfId="10" applyFont="1" applyFill="1" applyBorder="1" applyAlignment="1">
      <alignment vertical="center"/>
    </xf>
    <xf numFmtId="0" fontId="14" fillId="2" borderId="8" xfId="10" applyFont="1" applyFill="1" applyBorder="1" applyAlignment="1">
      <alignment horizontal="center" vertical="center"/>
    </xf>
    <xf numFmtId="0" fontId="50" fillId="2" borderId="2" xfId="10" applyFont="1" applyFill="1" applyBorder="1" applyAlignment="1">
      <alignment horizontal="center" vertical="center"/>
    </xf>
    <xf numFmtId="0" fontId="50" fillId="2" borderId="8" xfId="10" applyFont="1" applyFill="1" applyBorder="1" applyAlignment="1">
      <alignment vertical="center"/>
    </xf>
    <xf numFmtId="0" fontId="22" fillId="0" borderId="5" xfId="2" applyFont="1" applyBorder="1" applyAlignment="1">
      <alignment horizontal="center" vertical="center"/>
    </xf>
    <xf numFmtId="169" fontId="51" fillId="0" borderId="2" xfId="2" applyNumberFormat="1" applyFont="1" applyBorder="1" applyAlignment="1">
      <alignment vertical="center"/>
    </xf>
    <xf numFmtId="4" fontId="14" fillId="0" borderId="5" xfId="2" applyNumberFormat="1" applyFont="1" applyBorder="1" applyAlignment="1">
      <alignment vertical="center" wrapText="1"/>
    </xf>
    <xf numFmtId="169" fontId="22" fillId="0" borderId="10" xfId="2" applyNumberFormat="1" applyFont="1" applyBorder="1" applyAlignment="1">
      <alignment vertical="center"/>
    </xf>
    <xf numFmtId="169" fontId="14" fillId="2" borderId="5" xfId="2" applyNumberFormat="1" applyFont="1" applyFill="1" applyBorder="1" applyAlignment="1">
      <alignment vertical="center"/>
    </xf>
    <xf numFmtId="4" fontId="14" fillId="0" borderId="0" xfId="2" applyNumberFormat="1" applyFont="1" applyAlignment="1">
      <alignment vertical="center" wrapText="1"/>
    </xf>
    <xf numFmtId="4" fontId="25" fillId="0" borderId="0" xfId="2" applyNumberFormat="1" applyFont="1" applyAlignment="1">
      <alignment vertical="center" wrapText="1"/>
    </xf>
    <xf numFmtId="4" fontId="25" fillId="0" borderId="5" xfId="2" applyNumberFormat="1" applyFont="1" applyBorder="1" applyAlignment="1">
      <alignment vertical="center" wrapText="1"/>
    </xf>
    <xf numFmtId="169" fontId="25" fillId="0" borderId="5" xfId="2" applyNumberFormat="1" applyFont="1" applyBorder="1" applyAlignment="1">
      <alignment vertical="center"/>
    </xf>
    <xf numFmtId="0" fontId="14" fillId="0" borderId="7" xfId="10" applyFont="1" applyBorder="1" applyAlignment="1">
      <alignment horizontal="center" vertical="center"/>
    </xf>
    <xf numFmtId="0" fontId="50" fillId="2" borderId="67" xfId="10" applyFont="1" applyFill="1" applyBorder="1" applyAlignment="1">
      <alignment horizontal="center" vertical="center"/>
    </xf>
    <xf numFmtId="0" fontId="14" fillId="0" borderId="8" xfId="10" applyFont="1" applyBorder="1" applyAlignment="1">
      <alignment horizontal="center" vertical="center"/>
    </xf>
    <xf numFmtId="0" fontId="22" fillId="2" borderId="8" xfId="10" applyFont="1" applyFill="1" applyBorder="1" applyAlignment="1">
      <alignment horizontal="center" vertical="center"/>
    </xf>
    <xf numFmtId="0" fontId="52" fillId="2" borderId="8" xfId="10" applyFont="1" applyFill="1" applyBorder="1" applyAlignment="1">
      <alignment horizontal="center" vertical="center"/>
    </xf>
    <xf numFmtId="0" fontId="53" fillId="2" borderId="8" xfId="10" applyFont="1" applyFill="1" applyBorder="1" applyAlignment="1">
      <alignment horizontal="center" vertical="center"/>
    </xf>
    <xf numFmtId="0" fontId="14" fillId="2" borderId="68" xfId="10" applyFont="1" applyFill="1" applyBorder="1" applyAlignment="1">
      <alignment horizontal="center" vertical="center"/>
    </xf>
    <xf numFmtId="0" fontId="50" fillId="2" borderId="8" xfId="10" applyFont="1" applyFill="1" applyBorder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22" fillId="0" borderId="0" xfId="2" applyFont="1" applyAlignment="1">
      <alignment horizontal="center" vertical="center"/>
    </xf>
    <xf numFmtId="4" fontId="14" fillId="0" borderId="0" xfId="2" applyNumberFormat="1" applyFont="1" applyAlignment="1">
      <alignment horizontal="right" vertical="center"/>
    </xf>
    <xf numFmtId="0" fontId="50" fillId="2" borderId="71" xfId="10" applyFont="1" applyFill="1" applyBorder="1" applyAlignment="1">
      <alignment vertical="center"/>
    </xf>
    <xf numFmtId="0" fontId="51" fillId="0" borderId="72" xfId="2" applyFont="1" applyBorder="1" applyAlignment="1">
      <alignment vertical="center" wrapText="1"/>
    </xf>
    <xf numFmtId="0" fontId="51" fillId="0" borderId="73" xfId="2" applyFont="1" applyBorder="1" applyAlignment="1">
      <alignment vertical="center" wrapText="1"/>
    </xf>
    <xf numFmtId="0" fontId="24" fillId="0" borderId="58" xfId="10" applyFont="1" applyBorder="1" applyAlignment="1">
      <alignment vertical="center"/>
    </xf>
    <xf numFmtId="4" fontId="24" fillId="0" borderId="74" xfId="2" applyNumberFormat="1" applyFont="1" applyBorder="1" applyAlignment="1">
      <alignment vertical="center"/>
    </xf>
    <xf numFmtId="4" fontId="24" fillId="0" borderId="75" xfId="2" applyNumberFormat="1" applyFont="1" applyBorder="1" applyAlignment="1">
      <alignment vertical="center"/>
    </xf>
    <xf numFmtId="0" fontId="14" fillId="0" borderId="58" xfId="10" applyFont="1" applyBorder="1" applyAlignment="1">
      <alignment vertical="center"/>
    </xf>
    <xf numFmtId="0" fontId="14" fillId="0" borderId="74" xfId="2" applyFont="1" applyBorder="1" applyAlignment="1">
      <alignment vertical="center" wrapText="1"/>
    </xf>
    <xf numFmtId="0" fontId="14" fillId="0" borderId="75" xfId="2" applyFont="1" applyBorder="1" applyAlignment="1">
      <alignment vertical="center" wrapText="1"/>
    </xf>
    <xf numFmtId="4" fontId="14" fillId="0" borderId="74" xfId="2" applyNumberFormat="1" applyFont="1" applyBorder="1" applyAlignment="1">
      <alignment horizontal="center" vertical="center"/>
    </xf>
    <xf numFmtId="0" fontId="22" fillId="0" borderId="75" xfId="2" applyFont="1" applyBorder="1" applyAlignment="1">
      <alignment horizontal="right" vertical="center"/>
    </xf>
    <xf numFmtId="4" fontId="24" fillId="0" borderId="74" xfId="2" applyNumberFormat="1" applyFont="1" applyBorder="1" applyAlignment="1">
      <alignment horizontal="center" vertical="center"/>
    </xf>
    <xf numFmtId="0" fontId="52" fillId="2" borderId="58" xfId="10" applyFont="1" applyFill="1" applyBorder="1" applyAlignment="1">
      <alignment vertical="center"/>
    </xf>
    <xf numFmtId="0" fontId="14" fillId="2" borderId="58" xfId="10" applyFont="1" applyFill="1" applyBorder="1" applyAlignment="1">
      <alignment vertical="center"/>
    </xf>
    <xf numFmtId="0" fontId="25" fillId="0" borderId="74" xfId="2" applyFont="1" applyBorder="1" applyAlignment="1">
      <alignment vertical="center" wrapText="1"/>
    </xf>
    <xf numFmtId="0" fontId="25" fillId="0" borderId="75" xfId="2" applyFont="1" applyBorder="1" applyAlignment="1">
      <alignment vertical="center" wrapText="1"/>
    </xf>
    <xf numFmtId="0" fontId="14" fillId="2" borderId="58" xfId="10" quotePrefix="1" applyFont="1" applyFill="1" applyBorder="1" applyAlignment="1">
      <alignment vertical="center"/>
    </xf>
    <xf numFmtId="4" fontId="14" fillId="0" borderId="74" xfId="3" applyNumberFormat="1" applyFont="1" applyBorder="1" applyAlignment="1">
      <alignment horizontal="center" vertical="center"/>
    </xf>
    <xf numFmtId="4" fontId="22" fillId="0" borderId="75" xfId="3" applyNumberFormat="1" applyFont="1" applyBorder="1" applyAlignment="1">
      <alignment horizontal="right" vertical="center"/>
    </xf>
    <xf numFmtId="4" fontId="14" fillId="0" borderId="75" xfId="3" applyNumberFormat="1" applyFont="1" applyBorder="1" applyAlignment="1">
      <alignment vertical="center"/>
    </xf>
    <xf numFmtId="0" fontId="14" fillId="2" borderId="58" xfId="22" applyFont="1" applyFill="1" applyBorder="1" applyAlignment="1">
      <alignment vertical="center"/>
    </xf>
    <xf numFmtId="0" fontId="14" fillId="0" borderId="58" xfId="22" applyFont="1" applyBorder="1" applyAlignment="1">
      <alignment vertical="center"/>
    </xf>
    <xf numFmtId="0" fontId="24" fillId="0" borderId="74" xfId="2" applyFont="1" applyBorder="1" applyAlignment="1">
      <alignment vertical="center"/>
    </xf>
    <xf numFmtId="0" fontId="24" fillId="0" borderId="75" xfId="2" applyFont="1" applyBorder="1" applyAlignment="1">
      <alignment vertical="center"/>
    </xf>
    <xf numFmtId="0" fontId="14" fillId="0" borderId="74" xfId="2" applyFont="1" applyBorder="1" applyAlignment="1">
      <alignment horizontal="right" vertical="center"/>
    </xf>
    <xf numFmtId="0" fontId="54" fillId="0" borderId="74" xfId="2" quotePrefix="1" applyFont="1" applyBorder="1" applyAlignment="1">
      <alignment horizontal="left" vertical="center"/>
    </xf>
    <xf numFmtId="0" fontId="24" fillId="0" borderId="75" xfId="2" quotePrefix="1" applyFont="1" applyBorder="1" applyAlignment="1">
      <alignment horizontal="left" vertical="center"/>
    </xf>
    <xf numFmtId="0" fontId="52" fillId="0" borderId="58" xfId="10" applyFont="1" applyBorder="1" applyAlignment="1">
      <alignment vertical="center"/>
    </xf>
    <xf numFmtId="0" fontId="14" fillId="0" borderId="74" xfId="2" applyFont="1" applyBorder="1" applyAlignment="1">
      <alignment vertical="center"/>
    </xf>
    <xf numFmtId="0" fontId="14" fillId="0" borderId="75" xfId="2" applyFont="1" applyBorder="1" applyAlignment="1">
      <alignment vertical="center"/>
    </xf>
    <xf numFmtId="0" fontId="14" fillId="0" borderId="74" xfId="0" applyFont="1" applyBorder="1" applyAlignment="1">
      <alignment horizontal="center"/>
    </xf>
    <xf numFmtId="0" fontId="14" fillId="0" borderId="75" xfId="0" applyFont="1" applyBorder="1"/>
    <xf numFmtId="4" fontId="22" fillId="0" borderId="74" xfId="3" quotePrefix="1" applyNumberFormat="1" applyFont="1" applyBorder="1" applyAlignment="1">
      <alignment horizontal="left" vertical="center"/>
    </xf>
    <xf numFmtId="4" fontId="22" fillId="0" borderId="75" xfId="3" quotePrefix="1" applyNumberFormat="1" applyFont="1" applyBorder="1" applyAlignment="1">
      <alignment horizontal="left" vertical="center"/>
    </xf>
    <xf numFmtId="4" fontId="14" fillId="0" borderId="74" xfId="2" applyNumberFormat="1" applyFont="1" applyBorder="1" applyAlignment="1">
      <alignment vertical="center" wrapText="1"/>
    </xf>
    <xf numFmtId="4" fontId="14" fillId="0" borderId="75" xfId="2" applyNumberFormat="1" applyFont="1" applyBorder="1" applyAlignment="1">
      <alignment vertical="center" wrapText="1"/>
    </xf>
    <xf numFmtId="4" fontId="14" fillId="0" borderId="74" xfId="2" applyNumberFormat="1" applyFont="1" applyBorder="1" applyAlignment="1">
      <alignment horizontal="right" vertical="center"/>
    </xf>
    <xf numFmtId="4" fontId="14" fillId="0" borderId="74" xfId="3" applyNumberFormat="1" applyFont="1" applyBorder="1" applyAlignment="1">
      <alignment horizontal="right" vertical="center"/>
    </xf>
    <xf numFmtId="0" fontId="22" fillId="0" borderId="2" xfId="10" applyFont="1" applyBorder="1" applyAlignment="1">
      <alignment horizontal="center" vertical="center"/>
    </xf>
    <xf numFmtId="0" fontId="56" fillId="2" borderId="2" xfId="10" applyFont="1" applyFill="1" applyBorder="1" applyAlignment="1">
      <alignment horizontal="center" vertical="center"/>
    </xf>
    <xf numFmtId="0" fontId="56" fillId="2" borderId="59" xfId="10" applyFont="1" applyFill="1" applyBorder="1" applyAlignment="1">
      <alignment horizontal="center" vertical="center"/>
    </xf>
    <xf numFmtId="0" fontId="14" fillId="0" borderId="35" xfId="10" applyFont="1" applyBorder="1" applyAlignment="1">
      <alignment horizontal="center" vertical="center"/>
    </xf>
    <xf numFmtId="0" fontId="52" fillId="0" borderId="35" xfId="10" applyFont="1" applyBorder="1" applyAlignment="1">
      <alignment horizontal="center" vertical="center"/>
    </xf>
    <xf numFmtId="0" fontId="14" fillId="0" borderId="34" xfId="10" applyFont="1" applyBorder="1" applyAlignment="1">
      <alignment horizontal="center" vertical="center"/>
    </xf>
    <xf numFmtId="0" fontId="32" fillId="0" borderId="5" xfId="10" applyFont="1" applyBorder="1" applyAlignment="1">
      <alignment horizontal="right" vertical="center"/>
    </xf>
    <xf numFmtId="0" fontId="22" fillId="0" borderId="74" xfId="2" applyFont="1" applyBorder="1" applyAlignment="1">
      <alignment vertical="center" wrapText="1"/>
    </xf>
    <xf numFmtId="0" fontId="22" fillId="0" borderId="75" xfId="2" applyFont="1" applyBorder="1" applyAlignment="1">
      <alignment vertical="center" wrapText="1"/>
    </xf>
    <xf numFmtId="169" fontId="22" fillId="0" borderId="2" xfId="2" applyNumberFormat="1" applyFont="1" applyBorder="1" applyAlignment="1">
      <alignment vertical="center"/>
    </xf>
    <xf numFmtId="0" fontId="14" fillId="2" borderId="60" xfId="10" applyFont="1" applyFill="1" applyBorder="1" applyAlignment="1">
      <alignment vertical="center"/>
    </xf>
    <xf numFmtId="0" fontId="14" fillId="0" borderId="76" xfId="2" applyFont="1" applyBorder="1" applyAlignment="1">
      <alignment vertical="center" wrapText="1"/>
    </xf>
    <xf numFmtId="0" fontId="14" fillId="0" borderId="36" xfId="10" applyFont="1" applyBorder="1" applyAlignment="1">
      <alignment horizontal="center" vertical="center"/>
    </xf>
    <xf numFmtId="169" fontId="14" fillId="0" borderId="62" xfId="2" applyNumberFormat="1" applyFont="1" applyBorder="1" applyAlignment="1">
      <alignment vertical="center"/>
    </xf>
    <xf numFmtId="4" fontId="14" fillId="0" borderId="74" xfId="3" applyNumberFormat="1" applyFont="1" applyBorder="1" applyAlignment="1">
      <alignment vertical="center"/>
    </xf>
    <xf numFmtId="0" fontId="14" fillId="0" borderId="60" xfId="10" applyFont="1" applyBorder="1" applyAlignment="1">
      <alignment vertical="center"/>
    </xf>
    <xf numFmtId="4" fontId="14" fillId="0" borderId="76" xfId="2" applyNumberFormat="1" applyFont="1" applyBorder="1" applyAlignment="1">
      <alignment vertical="center" wrapText="1"/>
    </xf>
    <xf numFmtId="0" fontId="32" fillId="0" borderId="37" xfId="10" applyFont="1" applyBorder="1" applyAlignment="1">
      <alignment horizontal="right" vertical="center"/>
    </xf>
    <xf numFmtId="0" fontId="52" fillId="0" borderId="74" xfId="2" applyFont="1" applyBorder="1" applyAlignment="1">
      <alignment vertical="center" wrapText="1"/>
    </xf>
    <xf numFmtId="0" fontId="52" fillId="0" borderId="75" xfId="2" applyFont="1" applyBorder="1" applyAlignment="1">
      <alignment vertical="center" wrapText="1"/>
    </xf>
    <xf numFmtId="0" fontId="52" fillId="0" borderId="0" xfId="0" applyFont="1"/>
    <xf numFmtId="169" fontId="22" fillId="2" borderId="2" xfId="2" applyNumberFormat="1" applyFont="1" applyFill="1" applyBorder="1" applyAlignment="1">
      <alignment vertical="center"/>
    </xf>
    <xf numFmtId="0" fontId="14" fillId="0" borderId="38" xfId="10" applyFont="1" applyBorder="1" applyAlignment="1">
      <alignment horizontal="center" vertical="center"/>
    </xf>
    <xf numFmtId="0" fontId="32" fillId="0" borderId="69" xfId="10" applyFont="1" applyBorder="1" applyAlignment="1">
      <alignment horizontal="right" vertical="center"/>
    </xf>
    <xf numFmtId="169" fontId="14" fillId="0" borderId="59" xfId="2" applyNumberFormat="1" applyFont="1" applyBorder="1" applyAlignment="1">
      <alignment vertical="center"/>
    </xf>
    <xf numFmtId="2" fontId="22" fillId="0" borderId="35" xfId="10" applyNumberFormat="1" applyFont="1" applyBorder="1" applyAlignment="1">
      <alignment horizontal="center" vertical="center"/>
    </xf>
    <xf numFmtId="169" fontId="14" fillId="0" borderId="35" xfId="2" applyNumberFormat="1" applyFont="1" applyBorder="1" applyAlignment="1">
      <alignment vertical="center"/>
    </xf>
    <xf numFmtId="2" fontId="14" fillId="0" borderId="35" xfId="10" applyNumberFormat="1" applyFont="1" applyBorder="1" applyAlignment="1">
      <alignment horizontal="center" vertical="center"/>
    </xf>
    <xf numFmtId="0" fontId="14" fillId="0" borderId="35" xfId="10" applyFont="1" applyBorder="1" applyAlignment="1">
      <alignment vertical="center"/>
    </xf>
    <xf numFmtId="169" fontId="22" fillId="2" borderId="35" xfId="2" applyNumberFormat="1" applyFont="1" applyFill="1" applyBorder="1" applyAlignment="1">
      <alignment vertical="center"/>
    </xf>
    <xf numFmtId="169" fontId="22" fillId="0" borderId="35" xfId="2" applyNumberFormat="1" applyFont="1" applyBorder="1" applyAlignment="1">
      <alignment vertical="center"/>
    </xf>
    <xf numFmtId="169" fontId="14" fillId="2" borderId="35" xfId="2" applyNumberFormat="1" applyFont="1" applyFill="1" applyBorder="1" applyAlignment="1">
      <alignment vertical="center"/>
    </xf>
    <xf numFmtId="2" fontId="52" fillId="2" borderId="35" xfId="10" applyNumberFormat="1" applyFont="1" applyFill="1" applyBorder="1" applyAlignment="1">
      <alignment horizontal="center" vertical="center"/>
    </xf>
    <xf numFmtId="169" fontId="52" fillId="0" borderId="35" xfId="2" applyNumberFormat="1" applyFont="1" applyBorder="1" applyAlignment="1">
      <alignment vertical="center"/>
    </xf>
    <xf numFmtId="169" fontId="52" fillId="2" borderId="35" xfId="2" applyNumberFormat="1" applyFont="1" applyFill="1" applyBorder="1" applyAlignment="1">
      <alignment vertical="center"/>
    </xf>
    <xf numFmtId="2" fontId="14" fillId="2" borderId="35" xfId="10" applyNumberFormat="1" applyFont="1" applyFill="1" applyBorder="1" applyAlignment="1">
      <alignment horizontal="center" vertical="center"/>
    </xf>
    <xf numFmtId="169" fontId="25" fillId="0" borderId="35" xfId="2" applyNumberFormat="1" applyFont="1" applyBorder="1" applyAlignment="1">
      <alignment vertical="center"/>
    </xf>
    <xf numFmtId="0" fontId="52" fillId="0" borderId="34" xfId="10" applyFont="1" applyBorder="1" applyAlignment="1">
      <alignment horizontal="center" vertical="center"/>
    </xf>
    <xf numFmtId="169" fontId="14" fillId="0" borderId="34" xfId="2" applyNumberFormat="1" applyFont="1" applyBorder="1" applyAlignment="1">
      <alignment vertical="center"/>
    </xf>
    <xf numFmtId="169" fontId="14" fillId="2" borderId="34" xfId="2" applyNumberFormat="1" applyFont="1" applyFill="1" applyBorder="1" applyAlignment="1">
      <alignment vertical="center"/>
    </xf>
    <xf numFmtId="0" fontId="14" fillId="0" borderId="62" xfId="10" applyFont="1" applyBorder="1" applyAlignment="1">
      <alignment horizontal="center" vertical="center"/>
    </xf>
    <xf numFmtId="0" fontId="24" fillId="2" borderId="77" xfId="10" applyFont="1" applyFill="1" applyBorder="1" applyAlignment="1">
      <alignment vertical="center"/>
    </xf>
    <xf numFmtId="4" fontId="24" fillId="0" borderId="78" xfId="2" applyNumberFormat="1" applyFont="1" applyBorder="1" applyAlignment="1">
      <alignment horizontal="center" vertical="center"/>
    </xf>
    <xf numFmtId="4" fontId="24" fillId="0" borderId="79" xfId="2" applyNumberFormat="1" applyFont="1" applyBorder="1" applyAlignment="1">
      <alignment vertical="center"/>
    </xf>
    <xf numFmtId="4" fontId="14" fillId="0" borderId="76" xfId="2" applyNumberFormat="1" applyFont="1" applyBorder="1" applyAlignment="1">
      <alignment horizontal="center" vertical="center"/>
    </xf>
    <xf numFmtId="2" fontId="52" fillId="2" borderId="38" xfId="10" applyNumberFormat="1" applyFont="1" applyFill="1" applyBorder="1" applyAlignment="1">
      <alignment horizontal="center" vertical="center"/>
    </xf>
    <xf numFmtId="0" fontId="52" fillId="2" borderId="77" xfId="10" applyFont="1" applyFill="1" applyBorder="1" applyAlignment="1">
      <alignment horizontal="center" vertical="center"/>
    </xf>
    <xf numFmtId="2" fontId="52" fillId="2" borderId="36" xfId="10" applyNumberFormat="1" applyFont="1" applyFill="1" applyBorder="1" applyAlignment="1">
      <alignment horizontal="center" vertical="center"/>
    </xf>
    <xf numFmtId="0" fontId="52" fillId="2" borderId="60" xfId="10" applyFont="1" applyFill="1" applyBorder="1" applyAlignment="1">
      <alignment horizontal="center" vertical="center"/>
    </xf>
    <xf numFmtId="0" fontId="14" fillId="2" borderId="58" xfId="10" applyFont="1" applyFill="1" applyBorder="1" applyAlignment="1">
      <alignment horizontal="center" vertical="center"/>
    </xf>
    <xf numFmtId="0" fontId="52" fillId="2" borderId="58" xfId="10" applyFont="1" applyFill="1" applyBorder="1" applyAlignment="1">
      <alignment horizontal="center" vertical="center"/>
    </xf>
    <xf numFmtId="0" fontId="14" fillId="0" borderId="37" xfId="2" applyFont="1" applyBorder="1" applyAlignment="1">
      <alignment vertical="center" wrapText="1"/>
    </xf>
    <xf numFmtId="169" fontId="14" fillId="0" borderId="36" xfId="2" applyNumberFormat="1" applyFont="1" applyBorder="1" applyAlignment="1">
      <alignment vertical="center"/>
    </xf>
    <xf numFmtId="4" fontId="24" fillId="0" borderId="76" xfId="2" applyNumberFormat="1" applyFont="1" applyBorder="1" applyAlignment="1">
      <alignment horizontal="center" vertical="center"/>
    </xf>
    <xf numFmtId="0" fontId="53" fillId="2" borderId="58" xfId="10" applyFont="1" applyFill="1" applyBorder="1" applyAlignment="1">
      <alignment horizontal="center" vertical="center"/>
    </xf>
    <xf numFmtId="2" fontId="14" fillId="2" borderId="36" xfId="10" applyNumberFormat="1" applyFont="1" applyFill="1" applyBorder="1" applyAlignment="1">
      <alignment horizontal="center" vertical="center"/>
    </xf>
    <xf numFmtId="0" fontId="14" fillId="2" borderId="60" xfId="10" applyFont="1" applyFill="1" applyBorder="1" applyAlignment="1">
      <alignment horizontal="center" vertical="center"/>
    </xf>
    <xf numFmtId="0" fontId="14" fillId="0" borderId="58" xfId="10" applyFont="1" applyBorder="1" applyAlignment="1">
      <alignment horizontal="center" vertical="center"/>
    </xf>
    <xf numFmtId="0" fontId="14" fillId="0" borderId="74" xfId="0" applyFont="1" applyBorder="1"/>
    <xf numFmtId="169" fontId="14" fillId="0" borderId="75" xfId="2" applyNumberFormat="1" applyFont="1" applyBorder="1" applyAlignment="1">
      <alignment vertical="center"/>
    </xf>
    <xf numFmtId="169" fontId="51" fillId="0" borderId="75" xfId="2" applyNumberFormat="1" applyFont="1" applyBorder="1" applyAlignment="1">
      <alignment vertical="center"/>
    </xf>
    <xf numFmtId="169" fontId="14" fillId="0" borderId="74" xfId="3" applyNumberFormat="1" applyFont="1" applyBorder="1" applyAlignment="1">
      <alignment vertical="center"/>
    </xf>
    <xf numFmtId="169" fontId="22" fillId="0" borderId="62" xfId="2" applyNumberFormat="1" applyFont="1" applyBorder="1" applyAlignment="1">
      <alignment vertical="center"/>
    </xf>
    <xf numFmtId="0" fontId="14" fillId="0" borderId="2" xfId="0" applyFont="1" applyBorder="1"/>
    <xf numFmtId="0" fontId="14" fillId="0" borderId="2" xfId="0" applyFont="1" applyBorder="1" applyAlignment="1">
      <alignment horizontal="right"/>
    </xf>
    <xf numFmtId="4" fontId="14" fillId="0" borderId="2" xfId="0" applyNumberFormat="1" applyFont="1" applyBorder="1"/>
    <xf numFmtId="0" fontId="14" fillId="0" borderId="35" xfId="0" applyFont="1" applyBorder="1"/>
    <xf numFmtId="4" fontId="48" fillId="0" borderId="0" xfId="8" applyNumberFormat="1" applyFont="1" applyAlignment="1">
      <alignment vertical="center"/>
    </xf>
    <xf numFmtId="0" fontId="24" fillId="0" borderId="76" xfId="2" applyFont="1" applyBorder="1" applyAlignment="1">
      <alignment vertical="center"/>
    </xf>
    <xf numFmtId="0" fontId="52" fillId="0" borderId="36" xfId="10" applyFont="1" applyBorder="1" applyAlignment="1">
      <alignment horizontal="center" vertical="center"/>
    </xf>
    <xf numFmtId="0" fontId="14" fillId="0" borderId="61" xfId="10" applyFont="1" applyBorder="1" applyAlignment="1">
      <alignment horizontal="center" vertical="center"/>
    </xf>
    <xf numFmtId="0" fontId="14" fillId="0" borderId="36" xfId="10" applyFont="1" applyBorder="1" applyAlignment="1">
      <alignment vertical="center"/>
    </xf>
    <xf numFmtId="0" fontId="14" fillId="0" borderId="76" xfId="2" applyFont="1" applyBorder="1" applyAlignment="1">
      <alignment vertical="center"/>
    </xf>
    <xf numFmtId="169" fontId="22" fillId="0" borderId="38" xfId="2" applyNumberFormat="1" applyFont="1" applyBorder="1" applyAlignment="1">
      <alignment vertical="center"/>
    </xf>
    <xf numFmtId="169" fontId="22" fillId="0" borderId="75" xfId="2" applyNumberFormat="1" applyFont="1" applyBorder="1" applyAlignment="1">
      <alignment vertical="center"/>
    </xf>
    <xf numFmtId="169" fontId="14" fillId="2" borderId="75" xfId="2" applyNumberFormat="1" applyFont="1" applyFill="1" applyBorder="1" applyAlignment="1">
      <alignment vertical="center"/>
    </xf>
    <xf numFmtId="0" fontId="14" fillId="0" borderId="60" xfId="10" applyFont="1" applyBorder="1" applyAlignment="1">
      <alignment horizontal="center" vertical="center"/>
    </xf>
    <xf numFmtId="4" fontId="14" fillId="0" borderId="76" xfId="2" applyNumberFormat="1" applyFont="1" applyBorder="1" applyAlignment="1">
      <alignment horizontal="right" vertical="center"/>
    </xf>
    <xf numFmtId="169" fontId="14" fillId="0" borderId="37" xfId="2" applyNumberFormat="1" applyFont="1" applyBorder="1" applyAlignment="1">
      <alignment vertical="center"/>
    </xf>
    <xf numFmtId="169" fontId="14" fillId="0" borderId="35" xfId="0" applyNumberFormat="1" applyFont="1" applyBorder="1"/>
    <xf numFmtId="169" fontId="14" fillId="2" borderId="37" xfId="2" applyNumberFormat="1" applyFont="1" applyFill="1" applyBorder="1" applyAlignment="1">
      <alignment vertical="center"/>
    </xf>
    <xf numFmtId="169" fontId="14" fillId="0" borderId="64" xfId="2" applyNumberFormat="1" applyFont="1" applyBorder="1" applyAlignment="1">
      <alignment vertical="center"/>
    </xf>
    <xf numFmtId="169" fontId="22" fillId="2" borderId="64" xfId="2" applyNumberFormat="1" applyFont="1" applyFill="1" applyBorder="1" applyAlignment="1">
      <alignment vertical="center"/>
    </xf>
    <xf numFmtId="169" fontId="22" fillId="0" borderId="64" xfId="2" applyNumberFormat="1" applyFont="1" applyBorder="1" applyAlignment="1">
      <alignment vertical="center"/>
    </xf>
    <xf numFmtId="169" fontId="22" fillId="2" borderId="5" xfId="2" applyNumberFormat="1" applyFont="1" applyFill="1" applyBorder="1" applyAlignment="1">
      <alignment vertical="center"/>
    </xf>
    <xf numFmtId="169" fontId="22" fillId="0" borderId="5" xfId="2" applyNumberFormat="1" applyFont="1" applyBorder="1" applyAlignment="1">
      <alignment vertical="center"/>
    </xf>
    <xf numFmtId="169" fontId="14" fillId="2" borderId="64" xfId="2" applyNumberFormat="1" applyFont="1" applyFill="1" applyBorder="1" applyAlignment="1">
      <alignment vertical="center"/>
    </xf>
    <xf numFmtId="4" fontId="25" fillId="0" borderId="35" xfId="2" applyNumberFormat="1" applyFont="1" applyBorder="1" applyAlignment="1">
      <alignment vertical="center" wrapText="1"/>
    </xf>
    <xf numFmtId="169" fontId="25" fillId="2" borderId="35" xfId="2" applyNumberFormat="1" applyFont="1" applyFill="1" applyBorder="1" applyAlignment="1">
      <alignment vertical="center"/>
    </xf>
    <xf numFmtId="4" fontId="14" fillId="0" borderId="35" xfId="2" applyNumberFormat="1" applyFont="1" applyBorder="1" applyAlignment="1">
      <alignment vertical="center" wrapText="1"/>
    </xf>
    <xf numFmtId="2" fontId="52" fillId="0" borderId="35" xfId="10" applyNumberFormat="1" applyFont="1" applyBorder="1" applyAlignment="1">
      <alignment horizontal="center" vertical="center"/>
    </xf>
    <xf numFmtId="4" fontId="14" fillId="0" borderId="78" xfId="2" applyNumberFormat="1" applyFont="1" applyBorder="1" applyAlignment="1">
      <alignment vertical="center" wrapText="1"/>
    </xf>
    <xf numFmtId="4" fontId="14" fillId="0" borderId="79" xfId="2" applyNumberFormat="1" applyFont="1" applyBorder="1" applyAlignment="1">
      <alignment vertical="center" wrapText="1"/>
    </xf>
    <xf numFmtId="4" fontId="24" fillId="0" borderId="76" xfId="2" applyNumberFormat="1" applyFont="1" applyBorder="1" applyAlignment="1">
      <alignment vertical="center"/>
    </xf>
    <xf numFmtId="0" fontId="14" fillId="0" borderId="34" xfId="0" applyFont="1" applyBorder="1"/>
    <xf numFmtId="0" fontId="24" fillId="0" borderId="77" xfId="10" applyFont="1" applyBorder="1" applyAlignment="1">
      <alignment vertical="center"/>
    </xf>
    <xf numFmtId="0" fontId="17" fillId="9" borderId="61" xfId="10" applyFont="1" applyFill="1" applyBorder="1" applyAlignment="1">
      <alignment vertical="center"/>
    </xf>
    <xf numFmtId="0" fontId="17" fillId="9" borderId="33" xfId="10" applyFont="1" applyFill="1" applyBorder="1" applyAlignment="1">
      <alignment horizontal="center" vertical="center"/>
    </xf>
    <xf numFmtId="0" fontId="17" fillId="9" borderId="33" xfId="10" applyFont="1" applyFill="1" applyBorder="1" applyAlignment="1">
      <alignment vertical="center"/>
    </xf>
    <xf numFmtId="0" fontId="17" fillId="9" borderId="66" xfId="2" applyFont="1" applyFill="1" applyBorder="1" applyAlignment="1">
      <alignment vertical="center" wrapText="1"/>
    </xf>
    <xf numFmtId="0" fontId="17" fillId="9" borderId="63" xfId="2" applyFont="1" applyFill="1" applyBorder="1" applyAlignment="1">
      <alignment vertical="center" wrapText="1"/>
    </xf>
    <xf numFmtId="0" fontId="17" fillId="9" borderId="61" xfId="10" applyFont="1" applyFill="1" applyBorder="1" applyAlignment="1">
      <alignment horizontal="center" vertical="center"/>
    </xf>
    <xf numFmtId="169" fontId="17" fillId="9" borderId="61" xfId="2" applyNumberFormat="1" applyFont="1" applyFill="1" applyBorder="1" applyAlignment="1">
      <alignment vertical="center"/>
    </xf>
    <xf numFmtId="0" fontId="17" fillId="0" borderId="0" xfId="0" applyFont="1"/>
    <xf numFmtId="2" fontId="14" fillId="0" borderId="34" xfId="0" applyNumberFormat="1" applyFont="1" applyBorder="1" applyAlignment="1">
      <alignment horizontal="right"/>
    </xf>
    <xf numFmtId="169" fontId="14" fillId="0" borderId="34" xfId="0" applyNumberFormat="1" applyFont="1" applyBorder="1"/>
    <xf numFmtId="169" fontId="52" fillId="0" borderId="34" xfId="2" applyNumberFormat="1" applyFont="1" applyBorder="1" applyAlignment="1">
      <alignment vertical="center"/>
    </xf>
    <xf numFmtId="169" fontId="52" fillId="2" borderId="34" xfId="2" applyNumberFormat="1" applyFont="1" applyFill="1" applyBorder="1" applyAlignment="1">
      <alignment vertical="center"/>
    </xf>
    <xf numFmtId="4" fontId="52" fillId="0" borderId="74" xfId="2" applyNumberFormat="1" applyFont="1" applyBorder="1" applyAlignment="1">
      <alignment horizontal="center" vertical="center"/>
    </xf>
    <xf numFmtId="0" fontId="55" fillId="0" borderId="75" xfId="2" applyFont="1" applyBorder="1" applyAlignment="1">
      <alignment horizontal="right" vertical="center"/>
    </xf>
    <xf numFmtId="169" fontId="55" fillId="0" borderId="34" xfId="2" applyNumberFormat="1" applyFont="1" applyBorder="1" applyAlignment="1">
      <alignment vertical="center"/>
    </xf>
    <xf numFmtId="11" fontId="52" fillId="0" borderId="74" xfId="2" applyNumberFormat="1" applyFont="1" applyBorder="1" applyAlignment="1">
      <alignment vertical="center" wrapText="1"/>
    </xf>
    <xf numFmtId="11" fontId="52" fillId="0" borderId="75" xfId="2" applyNumberFormat="1" applyFont="1" applyBorder="1" applyAlignment="1">
      <alignment vertical="center" wrapText="1"/>
    </xf>
    <xf numFmtId="169" fontId="52" fillId="0" borderId="36" xfId="2" applyNumberFormat="1" applyFont="1" applyBorder="1" applyAlignment="1">
      <alignment vertical="center"/>
    </xf>
    <xf numFmtId="0" fontId="52" fillId="0" borderId="35" xfId="0" applyFont="1" applyBorder="1"/>
    <xf numFmtId="4" fontId="57" fillId="0" borderId="74" xfId="2" applyNumberFormat="1" applyFont="1" applyBorder="1" applyAlignment="1">
      <alignment horizontal="center" vertical="center"/>
    </xf>
    <xf numFmtId="4" fontId="57" fillId="0" borderId="75" xfId="2" applyNumberFormat="1" applyFont="1" applyBorder="1" applyAlignment="1">
      <alignment vertical="center"/>
    </xf>
    <xf numFmtId="0" fontId="55" fillId="0" borderId="74" xfId="3" quotePrefix="1" applyFont="1" applyBorder="1" applyAlignment="1">
      <alignment horizontal="left" vertical="center"/>
    </xf>
    <xf numFmtId="0" fontId="55" fillId="0" borderId="75" xfId="3" quotePrefix="1" applyFont="1" applyBorder="1" applyAlignment="1">
      <alignment horizontal="left" vertical="center"/>
    </xf>
    <xf numFmtId="0" fontId="52" fillId="0" borderId="74" xfId="2" applyFont="1" applyBorder="1" applyAlignment="1">
      <alignment horizontal="right" vertical="center"/>
    </xf>
    <xf numFmtId="169" fontId="52" fillId="2" borderId="36" xfId="2" applyNumberFormat="1" applyFont="1" applyFill="1" applyBorder="1" applyAlignment="1">
      <alignment vertical="center"/>
    </xf>
    <xf numFmtId="0" fontId="52" fillId="0" borderId="76" xfId="0" applyFont="1" applyBorder="1"/>
    <xf numFmtId="0" fontId="57" fillId="0" borderId="74" xfId="2" applyFont="1" applyBorder="1" applyAlignment="1">
      <alignment vertical="center"/>
    </xf>
    <xf numFmtId="0" fontId="57" fillId="0" borderId="75" xfId="2" applyFont="1" applyBorder="1" applyAlignment="1">
      <alignment vertical="center"/>
    </xf>
    <xf numFmtId="4" fontId="57" fillId="0" borderId="74" xfId="2" applyNumberFormat="1" applyFont="1" applyBorder="1" applyAlignment="1">
      <alignment vertical="center"/>
    </xf>
    <xf numFmtId="4" fontId="52" fillId="0" borderId="74" xfId="2" applyNumberFormat="1" applyFont="1" applyBorder="1" applyAlignment="1">
      <alignment vertical="center" wrapText="1"/>
    </xf>
    <xf numFmtId="4" fontId="52" fillId="0" borderId="75" xfId="2" applyNumberFormat="1" applyFont="1" applyBorder="1" applyAlignment="1">
      <alignment vertical="center" wrapText="1"/>
    </xf>
    <xf numFmtId="169" fontId="52" fillId="0" borderId="75" xfId="2" applyNumberFormat="1" applyFont="1" applyBorder="1" applyAlignment="1">
      <alignment vertical="center"/>
    </xf>
    <xf numFmtId="4" fontId="52" fillId="0" borderId="74" xfId="2" applyNumberFormat="1" applyFont="1" applyBorder="1" applyAlignment="1">
      <alignment horizontal="right" vertical="center"/>
    </xf>
    <xf numFmtId="169" fontId="52" fillId="0" borderId="37" xfId="2" applyNumberFormat="1" applyFont="1" applyBorder="1" applyAlignment="1">
      <alignment vertical="center"/>
    </xf>
    <xf numFmtId="4" fontId="13" fillId="0" borderId="36" xfId="39" applyNumberFormat="1" applyFont="1" applyBorder="1" applyAlignment="1" applyProtection="1">
      <alignment vertical="center"/>
      <protection locked="0"/>
    </xf>
    <xf numFmtId="169" fontId="52" fillId="0" borderId="35" xfId="0" applyNumberFormat="1" applyFont="1" applyBorder="1"/>
    <xf numFmtId="169" fontId="52" fillId="0" borderId="76" xfId="0" applyNumberFormat="1" applyFont="1" applyBorder="1"/>
    <xf numFmtId="176" fontId="14" fillId="0" borderId="0" xfId="0" applyNumberFormat="1" applyFont="1"/>
    <xf numFmtId="0" fontId="18" fillId="0" borderId="2" xfId="8" applyFont="1" applyBorder="1" applyAlignment="1">
      <alignment vertical="center"/>
    </xf>
    <xf numFmtId="2" fontId="14" fillId="0" borderId="2" xfId="8" applyNumberFormat="1" applyFont="1" applyBorder="1" applyAlignment="1">
      <alignment horizontal="center" vertical="center"/>
    </xf>
    <xf numFmtId="4" fontId="14" fillId="0" borderId="2" xfId="1" applyNumberFormat="1" applyFont="1" applyFill="1" applyBorder="1" applyAlignment="1">
      <alignment horizontal="center" vertical="center"/>
    </xf>
    <xf numFmtId="0" fontId="14" fillId="0" borderId="2" xfId="8" applyFont="1" applyBorder="1" applyAlignment="1">
      <alignment horizontal="center" vertical="center"/>
    </xf>
    <xf numFmtId="0" fontId="18" fillId="0" borderId="8" xfId="8" applyFont="1" applyBorder="1" applyAlignment="1">
      <alignment vertical="center"/>
    </xf>
    <xf numFmtId="0" fontId="18" fillId="0" borderId="0" xfId="8" applyFont="1" applyAlignment="1">
      <alignment horizontal="centerContinuous" vertical="center"/>
    </xf>
    <xf numFmtId="0" fontId="18" fillId="0" borderId="5" xfId="8" applyFont="1" applyBorder="1" applyAlignment="1">
      <alignment horizontal="centerContinuous" vertical="center"/>
    </xf>
    <xf numFmtId="0" fontId="14" fillId="0" borderId="8" xfId="5" applyFont="1" applyBorder="1" applyAlignment="1">
      <alignment horizontal="left" vertical="center"/>
    </xf>
    <xf numFmtId="0" fontId="14" fillId="0" borderId="0" xfId="5" applyFont="1" applyAlignment="1">
      <alignment horizontal="left" vertical="center"/>
    </xf>
    <xf numFmtId="0" fontId="14" fillId="0" borderId="5" xfId="8" applyFont="1" applyBorder="1" applyAlignment="1">
      <alignment horizontal="left" vertical="center"/>
    </xf>
    <xf numFmtId="0" fontId="24" fillId="0" borderId="8" xfId="8" applyFont="1" applyBorder="1" applyAlignment="1">
      <alignment vertical="center"/>
    </xf>
    <xf numFmtId="0" fontId="14" fillId="0" borderId="5" xfId="8" applyFont="1" applyBorder="1" applyAlignment="1">
      <alignment vertical="center"/>
    </xf>
    <xf numFmtId="0" fontId="14" fillId="0" borderId="5" xfId="8" applyFont="1" applyBorder="1" applyAlignment="1">
      <alignment horizontal="right" vertical="center"/>
    </xf>
    <xf numFmtId="165" fontId="18" fillId="0" borderId="2" xfId="1" applyNumberFormat="1" applyFont="1" applyFill="1" applyBorder="1" applyAlignment="1">
      <alignment horizontal="center" vertical="center"/>
    </xf>
    <xf numFmtId="0" fontId="23" fillId="3" borderId="7" xfId="4" applyFont="1" applyFill="1" applyBorder="1" applyAlignment="1">
      <alignment horizontal="center" vertical="center" wrapText="1"/>
    </xf>
    <xf numFmtId="0" fontId="19" fillId="0" borderId="33" xfId="8" applyFont="1" applyBorder="1" applyAlignment="1">
      <alignment vertical="center"/>
    </xf>
    <xf numFmtId="0" fontId="22" fillId="0" borderId="66" xfId="8" applyFont="1" applyBorder="1" applyAlignment="1">
      <alignment vertical="center"/>
    </xf>
    <xf numFmtId="0" fontId="22" fillId="0" borderId="63" xfId="8" applyFont="1" applyBorder="1" applyAlignment="1">
      <alignment vertical="center"/>
    </xf>
    <xf numFmtId="4" fontId="22" fillId="0" borderId="61" xfId="2" quotePrefix="1" applyNumberFormat="1" applyFont="1" applyBorder="1" applyAlignment="1">
      <alignment horizontal="center" vertical="center"/>
    </xf>
    <xf numFmtId="0" fontId="14" fillId="0" borderId="65" xfId="8" applyFont="1" applyBorder="1" applyAlignment="1">
      <alignment horizontal="left" vertical="center"/>
    </xf>
    <xf numFmtId="2" fontId="14" fillId="0" borderId="7" xfId="8" applyNumberFormat="1" applyFont="1" applyBorder="1" applyAlignment="1">
      <alignment horizontal="center" vertical="center"/>
    </xf>
    <xf numFmtId="0" fontId="19" fillId="0" borderId="68" xfId="8" applyFont="1" applyBorder="1" applyAlignment="1">
      <alignment vertical="center"/>
    </xf>
    <xf numFmtId="0" fontId="22" fillId="0" borderId="70" xfId="8" applyFont="1" applyBorder="1" applyAlignment="1">
      <alignment vertical="center"/>
    </xf>
    <xf numFmtId="0" fontId="22" fillId="0" borderId="69" xfId="8" applyFont="1" applyBorder="1" applyAlignment="1">
      <alignment vertical="center"/>
    </xf>
    <xf numFmtId="10" fontId="22" fillId="0" borderId="7" xfId="1" quotePrefix="1" applyNumberFormat="1" applyFont="1" applyFill="1" applyBorder="1" applyAlignment="1">
      <alignment horizontal="center" vertical="center"/>
    </xf>
    <xf numFmtId="2" fontId="22" fillId="0" borderId="61" xfId="8" applyNumberFormat="1" applyFont="1" applyBorder="1" applyAlignment="1">
      <alignment horizontal="center" vertical="center"/>
    </xf>
    <xf numFmtId="4" fontId="22" fillId="0" borderId="61" xfId="5" applyNumberFormat="1" applyFont="1" applyBorder="1" applyAlignment="1">
      <alignment horizontal="center" vertical="center"/>
    </xf>
    <xf numFmtId="167" fontId="47" fillId="0" borderId="0" xfId="8" applyNumberFormat="1" applyFont="1" applyAlignment="1">
      <alignment vertical="center"/>
    </xf>
    <xf numFmtId="0" fontId="47" fillId="0" borderId="0" xfId="8" applyFont="1" applyAlignment="1">
      <alignment vertical="center"/>
    </xf>
    <xf numFmtId="4" fontId="47" fillId="0" borderId="0" xfId="8" applyNumberFormat="1" applyFont="1" applyAlignment="1">
      <alignment vertical="center"/>
    </xf>
    <xf numFmtId="0" fontId="23" fillId="3" borderId="61" xfId="4" applyFont="1" applyFill="1" applyBorder="1" applyAlignment="1">
      <alignment horizontal="center" vertical="center" wrapText="1"/>
    </xf>
    <xf numFmtId="0" fontId="17" fillId="0" borderId="33" xfId="2" applyFont="1" applyBorder="1" applyAlignment="1">
      <alignment vertical="center"/>
    </xf>
    <xf numFmtId="0" fontId="17" fillId="0" borderId="66" xfId="2" applyFont="1" applyBorder="1" applyAlignment="1">
      <alignment vertical="center"/>
    </xf>
    <xf numFmtId="0" fontId="17" fillId="0" borderId="67" xfId="2" applyFont="1" applyBorder="1" applyAlignment="1">
      <alignment vertical="center"/>
    </xf>
    <xf numFmtId="0" fontId="17" fillId="0" borderId="65" xfId="2" applyFont="1" applyBorder="1" applyAlignment="1">
      <alignment vertical="center"/>
    </xf>
    <xf numFmtId="2" fontId="16" fillId="0" borderId="2" xfId="2" applyNumberFormat="1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6" fillId="0" borderId="33" xfId="2" applyFont="1" applyBorder="1"/>
    <xf numFmtId="4" fontId="16" fillId="0" borderId="2" xfId="2" applyNumberFormat="1" applyFont="1" applyBorder="1" applyAlignment="1">
      <alignment horizontal="right" vertical="center" indent="1"/>
    </xf>
    <xf numFmtId="4" fontId="16" fillId="0" borderId="61" xfId="2" applyNumberFormat="1" applyFont="1" applyBorder="1" applyAlignment="1">
      <alignment horizontal="right" vertical="center" indent="1"/>
    </xf>
    <xf numFmtId="0" fontId="16" fillId="0" borderId="61" xfId="2" applyFont="1" applyBorder="1"/>
    <xf numFmtId="0" fontId="29" fillId="0" borderId="8" xfId="2" applyFont="1" applyBorder="1" applyAlignment="1">
      <alignment vertical="center"/>
    </xf>
    <xf numFmtId="0" fontId="16" fillId="0" borderId="5" xfId="2" applyFont="1" applyBorder="1" applyAlignment="1">
      <alignment horizontal="centerContinuous" vertical="center"/>
    </xf>
    <xf numFmtId="0" fontId="16" fillId="0" borderId="5" xfId="2" quotePrefix="1" applyFont="1" applyBorder="1" applyAlignment="1">
      <alignment horizontal="left" vertical="center"/>
    </xf>
    <xf numFmtId="0" fontId="16" fillId="0" borderId="5" xfId="2" applyFont="1" applyBorder="1" applyAlignment="1">
      <alignment vertical="center"/>
    </xf>
    <xf numFmtId="0" fontId="16" fillId="0" borderId="5" xfId="2" applyFont="1" applyBorder="1" applyAlignment="1">
      <alignment horizontal="left" vertical="center"/>
    </xf>
    <xf numFmtId="0" fontId="16" fillId="0" borderId="63" xfId="2" applyFont="1" applyBorder="1"/>
    <xf numFmtId="2" fontId="16" fillId="0" borderId="61" xfId="8" applyNumberFormat="1" applyFont="1" applyBorder="1" applyAlignment="1">
      <alignment horizontal="right" vertical="center" indent="1"/>
    </xf>
    <xf numFmtId="0" fontId="17" fillId="0" borderId="33" xfId="8" applyFont="1" applyBorder="1" applyAlignment="1">
      <alignment horizontal="right" vertical="center" indent="1"/>
    </xf>
    <xf numFmtId="10" fontId="17" fillId="0" borderId="61" xfId="1" quotePrefix="1" applyNumberFormat="1" applyFont="1" applyFill="1" applyBorder="1" applyAlignment="1">
      <alignment horizontal="right" vertical="center" indent="1"/>
    </xf>
    <xf numFmtId="0" fontId="14" fillId="0" borderId="2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169" fontId="14" fillId="0" borderId="35" xfId="0" applyNumberFormat="1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169" fontId="14" fillId="0" borderId="34" xfId="0" applyNumberFormat="1" applyFont="1" applyBorder="1" applyAlignment="1">
      <alignment vertical="center"/>
    </xf>
    <xf numFmtId="169" fontId="22" fillId="2" borderId="62" xfId="2" applyNumberFormat="1" applyFont="1" applyFill="1" applyBorder="1" applyAlignment="1">
      <alignment vertical="center"/>
    </xf>
    <xf numFmtId="169" fontId="14" fillId="2" borderId="36" xfId="2" applyNumberFormat="1" applyFont="1" applyFill="1" applyBorder="1" applyAlignment="1">
      <alignment vertical="center"/>
    </xf>
    <xf numFmtId="169" fontId="22" fillId="3" borderId="61" xfId="4" applyNumberFormat="1" applyFont="1" applyFill="1" applyBorder="1" applyAlignment="1">
      <alignment horizontal="center" vertical="center"/>
    </xf>
    <xf numFmtId="169" fontId="22" fillId="3" borderId="62" xfId="4" applyNumberFormat="1" applyFont="1" applyFill="1" applyBorder="1" applyAlignment="1">
      <alignment horizontal="center" vertical="center"/>
    </xf>
    <xf numFmtId="169" fontId="22" fillId="3" borderId="62" xfId="5" applyNumberFormat="1" applyFont="1" applyFill="1" applyBorder="1" applyAlignment="1">
      <alignment horizontal="center" vertical="center"/>
    </xf>
    <xf numFmtId="0" fontId="14" fillId="0" borderId="70" xfId="8" applyFont="1" applyBorder="1" applyAlignment="1">
      <alignment vertical="center"/>
    </xf>
    <xf numFmtId="0" fontId="14" fillId="0" borderId="70" xfId="8" applyFont="1" applyBorder="1" applyAlignment="1">
      <alignment horizontal="left" vertical="center"/>
    </xf>
    <xf numFmtId="0" fontId="14" fillId="0" borderId="70" xfId="4" applyFont="1" applyBorder="1" applyAlignment="1">
      <alignment horizontal="center" vertical="center"/>
    </xf>
    <xf numFmtId="0" fontId="31" fillId="0" borderId="0" xfId="8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9" fillId="0" borderId="0" xfId="5" applyFont="1" applyAlignment="1">
      <alignment horizontal="left" vertical="center"/>
    </xf>
    <xf numFmtId="0" fontId="9" fillId="0" borderId="0" xfId="8" applyFont="1" applyAlignment="1">
      <alignment horizontal="centerContinuous" vertical="center"/>
    </xf>
    <xf numFmtId="0" fontId="17" fillId="0" borderId="0" xfId="5" applyFont="1" applyAlignment="1">
      <alignment horizontal="centerContinuous" vertical="center"/>
    </xf>
    <xf numFmtId="14" fontId="21" fillId="0" borderId="0" xfId="2" applyNumberFormat="1" applyFont="1" applyAlignment="1">
      <alignment horizontal="right" vertical="center"/>
    </xf>
    <xf numFmtId="177" fontId="21" fillId="0" borderId="0" xfId="2" applyNumberFormat="1" applyFont="1" applyAlignment="1">
      <alignment horizontal="right" vertical="center"/>
    </xf>
    <xf numFmtId="0" fontId="21" fillId="0" borderId="0" xfId="2" applyFont="1"/>
    <xf numFmtId="4" fontId="17" fillId="0" borderId="2" xfId="2" applyNumberFormat="1" applyFont="1" applyBorder="1" applyAlignment="1">
      <alignment horizontal="right" vertical="center" indent="1"/>
    </xf>
    <xf numFmtId="0" fontId="21" fillId="0" borderId="0" xfId="0" applyFont="1"/>
    <xf numFmtId="0" fontId="17" fillId="0" borderId="62" xfId="2" applyFont="1" applyBorder="1" applyAlignment="1">
      <alignment horizontal="center" vertical="center"/>
    </xf>
    <xf numFmtId="0" fontId="17" fillId="0" borderId="64" xfId="2" applyFont="1" applyBorder="1" applyAlignment="1">
      <alignment vertical="center"/>
    </xf>
    <xf numFmtId="4" fontId="17" fillId="0" borderId="62" xfId="2" applyNumberFormat="1" applyFont="1" applyBorder="1" applyAlignment="1">
      <alignment horizontal="right" vertical="center" indent="1"/>
    </xf>
    <xf numFmtId="0" fontId="17" fillId="0" borderId="61" xfId="2" applyFont="1" applyBorder="1" applyAlignment="1">
      <alignment horizontal="center" vertical="center"/>
    </xf>
    <xf numFmtId="0" fontId="17" fillId="0" borderId="63" xfId="2" applyFont="1" applyBorder="1" applyAlignment="1">
      <alignment vertical="center"/>
    </xf>
    <xf numFmtId="4" fontId="17" fillId="0" borderId="61" xfId="2" applyNumberFormat="1" applyFont="1" applyBorder="1" applyAlignment="1">
      <alignment horizontal="right" vertical="center" indent="1"/>
    </xf>
    <xf numFmtId="0" fontId="59" fillId="2" borderId="0" xfId="10" applyFont="1" applyFill="1" applyAlignment="1">
      <alignment vertical="center"/>
    </xf>
    <xf numFmtId="4" fontId="13" fillId="0" borderId="35" xfId="39" applyNumberFormat="1" applyFont="1" applyBorder="1" applyAlignment="1" applyProtection="1">
      <alignment vertical="center"/>
      <protection locked="0"/>
    </xf>
    <xf numFmtId="4" fontId="24" fillId="0" borderId="0" xfId="2" applyNumberFormat="1" applyFont="1" applyAlignment="1">
      <alignment horizontal="center" vertical="center"/>
    </xf>
    <xf numFmtId="0" fontId="14" fillId="2" borderId="8" xfId="10" applyFont="1" applyFill="1" applyBorder="1" applyAlignment="1">
      <alignment vertical="center"/>
    </xf>
    <xf numFmtId="4" fontId="9" fillId="0" borderId="35" xfId="41" applyNumberFormat="1" applyFont="1" applyBorder="1" applyAlignment="1">
      <alignment horizontal="center" vertical="center" wrapText="1"/>
    </xf>
    <xf numFmtId="4" fontId="9" fillId="0" borderId="2" xfId="4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" fontId="16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4" fontId="19" fillId="0" borderId="0" xfId="0" applyNumberFormat="1" applyFont="1" applyAlignment="1">
      <alignment vertical="center"/>
    </xf>
    <xf numFmtId="10" fontId="19" fillId="0" borderId="0" xfId="1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4" fontId="16" fillId="0" borderId="0" xfId="2" applyNumberFormat="1" applyFont="1" applyAlignment="1">
      <alignment vertical="center"/>
    </xf>
    <xf numFmtId="4" fontId="9" fillId="0" borderId="0" xfId="2" applyNumberFormat="1" applyFont="1" applyAlignment="1">
      <alignment vertical="center"/>
    </xf>
    <xf numFmtId="0" fontId="31" fillId="2" borderId="34" xfId="40" applyFont="1" applyFill="1" applyBorder="1" applyAlignment="1">
      <alignment horizontal="center" vertical="center"/>
    </xf>
    <xf numFmtId="169" fontId="14" fillId="0" borderId="38" xfId="2" applyNumberFormat="1" applyFont="1" applyBorder="1" applyAlignment="1">
      <alignment vertical="center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 applyAlignment="1">
      <alignment vertical="center"/>
    </xf>
    <xf numFmtId="0" fontId="52" fillId="0" borderId="0" xfId="0" applyFont="1" applyAlignment="1">
      <alignment vertical="center"/>
    </xf>
    <xf numFmtId="0" fontId="16" fillId="0" borderId="65" xfId="8" applyFont="1" applyBorder="1" applyAlignment="1">
      <alignment horizontal="left" vertical="center"/>
    </xf>
    <xf numFmtId="0" fontId="16" fillId="0" borderId="0" xfId="8" applyFont="1" applyAlignment="1">
      <alignment horizontal="left" vertical="center"/>
    </xf>
    <xf numFmtId="4" fontId="60" fillId="0" borderId="0" xfId="8" applyNumberFormat="1" applyFont="1" applyAlignment="1">
      <alignment vertical="center"/>
    </xf>
    <xf numFmtId="0" fontId="52" fillId="0" borderId="58" xfId="10" applyFont="1" applyBorder="1" applyAlignment="1">
      <alignment horizontal="center" vertical="center"/>
    </xf>
    <xf numFmtId="169" fontId="52" fillId="0" borderId="2" xfId="2" applyNumberFormat="1" applyFont="1" applyBorder="1" applyAlignment="1">
      <alignment vertical="center"/>
    </xf>
    <xf numFmtId="169" fontId="53" fillId="0" borderId="35" xfId="2" applyNumberFormat="1" applyFont="1" applyBorder="1" applyAlignment="1">
      <alignment vertical="center"/>
    </xf>
    <xf numFmtId="0" fontId="52" fillId="0" borderId="7" xfId="10" applyFont="1" applyBorder="1" applyAlignment="1">
      <alignment horizontal="center" vertical="center"/>
    </xf>
    <xf numFmtId="169" fontId="52" fillId="0" borderId="7" xfId="2" applyNumberFormat="1" applyFont="1" applyBorder="1" applyAlignment="1">
      <alignment vertical="center"/>
    </xf>
    <xf numFmtId="169" fontId="52" fillId="2" borderId="7" xfId="2" applyNumberFormat="1" applyFont="1" applyFill="1" applyBorder="1" applyAlignment="1">
      <alignment vertical="center"/>
    </xf>
    <xf numFmtId="169" fontId="52" fillId="0" borderId="38" xfId="2" applyNumberFormat="1" applyFont="1" applyBorder="1" applyAlignment="1">
      <alignment vertical="center"/>
    </xf>
    <xf numFmtId="169" fontId="14" fillId="0" borderId="61" xfId="2" applyNumberFormat="1" applyFont="1" applyBorder="1" applyAlignment="1">
      <alignment vertical="center"/>
    </xf>
    <xf numFmtId="178" fontId="52" fillId="0" borderId="35" xfId="2" applyNumberFormat="1" applyFont="1" applyBorder="1" applyAlignment="1">
      <alignment vertical="center"/>
    </xf>
    <xf numFmtId="169" fontId="52" fillId="4" borderId="36" xfId="2" applyNumberFormat="1" applyFont="1" applyFill="1" applyBorder="1" applyAlignment="1">
      <alignment vertical="center"/>
    </xf>
    <xf numFmtId="0" fontId="52" fillId="0" borderId="60" xfId="10" applyFont="1" applyBorder="1" applyAlignment="1">
      <alignment horizontal="center" vertical="center"/>
    </xf>
    <xf numFmtId="169" fontId="52" fillId="4" borderId="35" xfId="2" applyNumberFormat="1" applyFont="1" applyFill="1" applyBorder="1" applyAlignment="1">
      <alignment vertical="center"/>
    </xf>
    <xf numFmtId="2" fontId="53" fillId="2" borderId="35" xfId="10" applyNumberFormat="1" applyFont="1" applyFill="1" applyBorder="1" applyAlignment="1">
      <alignment horizontal="center" vertical="center"/>
    </xf>
    <xf numFmtId="169" fontId="14" fillId="0" borderId="7" xfId="2" applyNumberFormat="1" applyFont="1" applyBorder="1" applyAlignment="1">
      <alignment vertical="center"/>
    </xf>
    <xf numFmtId="0" fontId="52" fillId="0" borderId="38" xfId="10" applyFont="1" applyBorder="1" applyAlignment="1">
      <alignment horizontal="center" vertical="center"/>
    </xf>
    <xf numFmtId="4" fontId="21" fillId="0" borderId="0" xfId="0" applyNumberFormat="1" applyFont="1" applyAlignment="1">
      <alignment vertical="center"/>
    </xf>
    <xf numFmtId="17" fontId="30" fillId="0" borderId="0" xfId="2" applyNumberFormat="1" applyFont="1" applyAlignment="1">
      <alignment horizontal="right" vertical="center"/>
    </xf>
    <xf numFmtId="0" fontId="14" fillId="2" borderId="77" xfId="10" applyFont="1" applyFill="1" applyBorder="1" applyAlignment="1">
      <alignment vertical="center"/>
    </xf>
    <xf numFmtId="0" fontId="14" fillId="0" borderId="78" xfId="2" applyFont="1" applyBorder="1" applyAlignment="1">
      <alignment vertical="center" wrapText="1"/>
    </xf>
    <xf numFmtId="0" fontId="14" fillId="0" borderId="79" xfId="2" applyFont="1" applyBorder="1" applyAlignment="1">
      <alignment vertical="center" wrapText="1"/>
    </xf>
    <xf numFmtId="169" fontId="53" fillId="0" borderId="7" xfId="2" applyNumberFormat="1" applyFont="1" applyBorder="1" applyAlignment="1">
      <alignment vertical="center"/>
    </xf>
    <xf numFmtId="0" fontId="14" fillId="2" borderId="77" xfId="10" applyFont="1" applyFill="1" applyBorder="1" applyAlignment="1">
      <alignment horizontal="center" vertical="center"/>
    </xf>
    <xf numFmtId="0" fontId="52" fillId="0" borderId="75" xfId="0" applyFont="1" applyBorder="1"/>
    <xf numFmtId="169" fontId="52" fillId="0" borderId="76" xfId="0" applyNumberFormat="1" applyFont="1" applyBorder="1" applyAlignment="1">
      <alignment vertical="center"/>
    </xf>
    <xf numFmtId="0" fontId="52" fillId="0" borderId="76" xfId="0" applyFont="1" applyBorder="1" applyAlignment="1">
      <alignment vertical="center"/>
    </xf>
    <xf numFmtId="169" fontId="14" fillId="0" borderId="34" xfId="0" applyNumberFormat="1" applyFont="1" applyBorder="1" applyAlignment="1">
      <alignment horizontal="right" vertical="center"/>
    </xf>
    <xf numFmtId="0" fontId="9" fillId="0" borderId="0" xfId="18" applyAlignment="1">
      <alignment vertical="center"/>
    </xf>
    <xf numFmtId="0" fontId="9" fillId="10" borderId="0" xfId="18" applyFill="1"/>
    <xf numFmtId="0" fontId="9" fillId="0" borderId="0" xfId="18"/>
    <xf numFmtId="0" fontId="21" fillId="0" borderId="0" xfId="18" applyFont="1" applyAlignment="1">
      <alignment vertical="center"/>
    </xf>
    <xf numFmtId="49" fontId="21" fillId="10" borderId="0" xfId="18" applyNumberFormat="1" applyFont="1" applyFill="1"/>
    <xf numFmtId="0" fontId="9" fillId="10" borderId="0" xfId="18" applyFill="1" applyAlignment="1">
      <alignment vertical="center"/>
    </xf>
    <xf numFmtId="0" fontId="21" fillId="10" borderId="0" xfId="18" applyFont="1" applyFill="1"/>
    <xf numFmtId="0" fontId="21" fillId="0" borderId="0" xfId="18" applyFont="1"/>
    <xf numFmtId="0" fontId="21" fillId="11" borderId="33" xfId="18" applyFont="1" applyFill="1" applyBorder="1" applyAlignment="1">
      <alignment horizontal="center" vertical="center"/>
    </xf>
    <xf numFmtId="0" fontId="21" fillId="11" borderId="66" xfId="18" applyFont="1" applyFill="1" applyBorder="1" applyAlignment="1">
      <alignment horizontal="center" vertical="center"/>
    </xf>
    <xf numFmtId="4" fontId="21" fillId="11" borderId="61" xfId="18" applyNumberFormat="1" applyFont="1" applyFill="1" applyBorder="1" applyAlignment="1">
      <alignment horizontal="center" vertical="center"/>
    </xf>
    <xf numFmtId="0" fontId="21" fillId="11" borderId="67" xfId="18" applyFont="1" applyFill="1" applyBorder="1" applyAlignment="1">
      <alignment horizontal="center" vertical="center" wrapText="1"/>
    </xf>
    <xf numFmtId="0" fontId="21" fillId="11" borderId="61" xfId="18" applyFont="1" applyFill="1" applyBorder="1" applyAlignment="1">
      <alignment horizontal="center" vertical="center" wrapText="1"/>
    </xf>
    <xf numFmtId="0" fontId="21" fillId="11" borderId="63" xfId="18" applyFont="1" applyFill="1" applyBorder="1" applyAlignment="1">
      <alignment horizontal="center" vertical="center" wrapText="1"/>
    </xf>
    <xf numFmtId="0" fontId="21" fillId="12" borderId="67" xfId="18" applyFont="1" applyFill="1" applyBorder="1" applyAlignment="1">
      <alignment horizontal="center" vertical="center" wrapText="1"/>
    </xf>
    <xf numFmtId="0" fontId="21" fillId="12" borderId="61" xfId="18" applyFont="1" applyFill="1" applyBorder="1" applyAlignment="1">
      <alignment horizontal="center" vertical="center" wrapText="1"/>
    </xf>
    <xf numFmtId="0" fontId="21" fillId="12" borderId="63" xfId="18" applyFont="1" applyFill="1" applyBorder="1" applyAlignment="1">
      <alignment horizontal="center" vertical="center"/>
    </xf>
    <xf numFmtId="4" fontId="9" fillId="0" borderId="0" xfId="18" applyNumberFormat="1"/>
    <xf numFmtId="4" fontId="9" fillId="10" borderId="0" xfId="18" applyNumberFormat="1" applyFill="1"/>
    <xf numFmtId="4" fontId="21" fillId="10" borderId="0" xfId="18" applyNumberFormat="1" applyFont="1" applyFill="1"/>
    <xf numFmtId="179" fontId="9" fillId="10" borderId="0" xfId="18" applyNumberFormat="1" applyFill="1"/>
    <xf numFmtId="0" fontId="21" fillId="10" borderId="0" xfId="18" applyFont="1" applyFill="1" applyAlignment="1">
      <alignment vertical="center"/>
    </xf>
    <xf numFmtId="0" fontId="19" fillId="0" borderId="0" xfId="18" applyFont="1" applyAlignment="1">
      <alignment horizontal="center" vertical="center"/>
    </xf>
    <xf numFmtId="0" fontId="18" fillId="0" borderId="0" xfId="18" applyFont="1" applyAlignment="1">
      <alignment vertical="center"/>
    </xf>
    <xf numFmtId="4" fontId="18" fillId="0" borderId="0" xfId="18" applyNumberFormat="1" applyFont="1" applyAlignment="1">
      <alignment vertical="center"/>
    </xf>
    <xf numFmtId="0" fontId="39" fillId="0" borderId="0" xfId="18" applyFont="1" applyAlignment="1">
      <alignment vertical="center"/>
    </xf>
    <xf numFmtId="4" fontId="20" fillId="0" borderId="0" xfId="18" applyNumberFormat="1" applyFont="1" applyAlignment="1">
      <alignment vertical="center"/>
    </xf>
    <xf numFmtId="0" fontId="20" fillId="0" borderId="0" xfId="18" applyFont="1" applyAlignment="1">
      <alignment vertical="center"/>
    </xf>
    <xf numFmtId="0" fontId="39" fillId="0" borderId="0" xfId="18" applyFont="1" applyAlignment="1">
      <alignment horizontal="right" vertical="center"/>
    </xf>
    <xf numFmtId="0" fontId="39" fillId="0" borderId="0" xfId="18" applyFont="1" applyAlignment="1">
      <alignment vertical="top"/>
    </xf>
    <xf numFmtId="4" fontId="20" fillId="0" borderId="0" xfId="18" applyNumberFormat="1" applyFont="1" applyAlignment="1">
      <alignment vertical="top"/>
    </xf>
    <xf numFmtId="0" fontId="20" fillId="0" borderId="0" xfId="18" applyFont="1" applyAlignment="1">
      <alignment vertical="top"/>
    </xf>
    <xf numFmtId="0" fontId="19" fillId="0" borderId="0" xfId="18" applyFont="1" applyAlignment="1">
      <alignment horizontal="centerContinuous" vertical="center"/>
    </xf>
    <xf numFmtId="0" fontId="21" fillId="0" borderId="0" xfId="18" applyFont="1" applyAlignment="1">
      <alignment horizontal="centerContinuous"/>
    </xf>
    <xf numFmtId="49" fontId="21" fillId="0" borderId="0" xfId="18" applyNumberFormat="1" applyFont="1" applyAlignment="1">
      <alignment horizontal="centerContinuous"/>
    </xf>
    <xf numFmtId="0" fontId="9" fillId="0" borderId="0" xfId="18" applyAlignment="1">
      <alignment horizontal="centerContinuous"/>
    </xf>
    <xf numFmtId="14" fontId="19" fillId="0" borderId="0" xfId="2" applyNumberFormat="1" applyFont="1" applyAlignment="1">
      <alignment horizontal="right" vertical="center"/>
    </xf>
    <xf numFmtId="177" fontId="19" fillId="0" borderId="0" xfId="2" applyNumberFormat="1" applyFont="1" applyAlignment="1">
      <alignment horizontal="right" vertical="center"/>
    </xf>
    <xf numFmtId="0" fontId="18" fillId="0" borderId="66" xfId="18" applyFont="1" applyBorder="1"/>
    <xf numFmtId="0" fontId="18" fillId="0" borderId="66" xfId="18" applyFont="1" applyBorder="1" applyAlignment="1">
      <alignment horizontal="center"/>
    </xf>
    <xf numFmtId="0" fontId="18" fillId="0" borderId="33" xfId="18" applyFont="1" applyBorder="1" applyAlignment="1">
      <alignment horizontal="center" vertical="center"/>
    </xf>
    <xf numFmtId="0" fontId="18" fillId="0" borderId="66" xfId="18" applyFont="1" applyBorder="1" applyAlignment="1">
      <alignment vertical="center"/>
    </xf>
    <xf numFmtId="179" fontId="18" fillId="0" borderId="61" xfId="18" applyNumberFormat="1" applyFont="1" applyBorder="1" applyAlignment="1">
      <alignment vertical="center"/>
    </xf>
    <xf numFmtId="179" fontId="18" fillId="0" borderId="58" xfId="18" applyNumberFormat="1" applyFont="1" applyBorder="1" applyAlignment="1">
      <alignment vertical="center"/>
    </xf>
    <xf numFmtId="179" fontId="18" fillId="0" borderId="63" xfId="18" applyNumberFormat="1" applyFont="1" applyBorder="1" applyAlignment="1">
      <alignment vertical="center"/>
    </xf>
    <xf numFmtId="179" fontId="18" fillId="0" borderId="66" xfId="18" applyNumberFormat="1" applyFont="1" applyBorder="1" applyAlignment="1">
      <alignment horizontal="center" vertical="center"/>
    </xf>
    <xf numFmtId="179" fontId="19" fillId="0" borderId="66" xfId="18" applyNumberFormat="1" applyFont="1" applyBorder="1" applyAlignment="1">
      <alignment horizontal="center" vertical="center"/>
    </xf>
    <xf numFmtId="179" fontId="18" fillId="0" borderId="66" xfId="18" applyNumberFormat="1" applyFont="1" applyBorder="1" applyAlignment="1">
      <alignment vertical="center"/>
    </xf>
    <xf numFmtId="179" fontId="18" fillId="0" borderId="33" xfId="18" applyNumberFormat="1" applyFont="1" applyBorder="1" applyAlignment="1">
      <alignment vertical="center"/>
    </xf>
    <xf numFmtId="0" fontId="19" fillId="0" borderId="33" xfId="18" applyFont="1" applyBorder="1" applyAlignment="1">
      <alignment vertical="center"/>
    </xf>
    <xf numFmtId="0" fontId="19" fillId="0" borderId="66" xfId="18" applyFont="1" applyBorder="1" applyAlignment="1">
      <alignment vertical="center"/>
    </xf>
    <xf numFmtId="179" fontId="19" fillId="0" borderId="61" xfId="18" applyNumberFormat="1" applyFont="1" applyBorder="1" applyAlignment="1">
      <alignment vertical="center"/>
    </xf>
    <xf numFmtId="4" fontId="19" fillId="0" borderId="61" xfId="18" applyNumberFormat="1" applyFont="1" applyBorder="1" applyAlignment="1">
      <alignment vertical="center"/>
    </xf>
    <xf numFmtId="179" fontId="19" fillId="0" borderId="33" xfId="18" applyNumberFormat="1" applyFont="1" applyBorder="1" applyAlignment="1">
      <alignment vertical="center"/>
    </xf>
    <xf numFmtId="0" fontId="18" fillId="0" borderId="0" xfId="18" applyFont="1"/>
    <xf numFmtId="4" fontId="18" fillId="0" borderId="0" xfId="18" applyNumberFormat="1" applyFont="1"/>
    <xf numFmtId="10" fontId="62" fillId="0" borderId="0" xfId="42" applyNumberFormat="1" applyFont="1" applyAlignment="1">
      <alignment horizontal="right" vertical="center"/>
    </xf>
    <xf numFmtId="10" fontId="62" fillId="0" borderId="82" xfId="42" applyNumberFormat="1" applyFont="1" applyBorder="1" applyAlignment="1">
      <alignment horizontal="center" vertical="center"/>
    </xf>
    <xf numFmtId="4" fontId="18" fillId="0" borderId="66" xfId="18" applyNumberFormat="1" applyFont="1" applyBorder="1"/>
    <xf numFmtId="0" fontId="18" fillId="0" borderId="66" xfId="18" applyFont="1" applyBorder="1" applyAlignment="1">
      <alignment horizontal="center" vertical="center"/>
    </xf>
    <xf numFmtId="179" fontId="19" fillId="0" borderId="66" xfId="18" applyNumberFormat="1" applyFont="1" applyBorder="1" applyAlignment="1">
      <alignment vertical="center"/>
    </xf>
    <xf numFmtId="0" fontId="9" fillId="3" borderId="26" xfId="18" applyFill="1" applyBorder="1" applyAlignment="1">
      <alignment vertical="center"/>
    </xf>
    <xf numFmtId="0" fontId="9" fillId="3" borderId="27" xfId="18" applyFill="1" applyBorder="1" applyAlignment="1">
      <alignment vertical="center"/>
    </xf>
    <xf numFmtId="0" fontId="9" fillId="3" borderId="29" xfId="18" applyFill="1" applyBorder="1" applyAlignment="1">
      <alignment vertical="center"/>
    </xf>
    <xf numFmtId="0" fontId="63" fillId="3" borderId="14" xfId="18" applyFont="1" applyFill="1" applyBorder="1" applyAlignment="1">
      <alignment horizontal="centerContinuous" vertical="center"/>
    </xf>
    <xf numFmtId="0" fontId="15" fillId="3" borderId="0" xfId="18" applyFont="1" applyFill="1" applyAlignment="1">
      <alignment horizontal="centerContinuous" vertical="center"/>
    </xf>
    <xf numFmtId="0" fontId="15" fillId="3" borderId="17" xfId="18" applyFont="1" applyFill="1" applyBorder="1" applyAlignment="1">
      <alignment horizontal="centerContinuous" vertical="center"/>
    </xf>
    <xf numFmtId="0" fontId="15" fillId="3" borderId="30" xfId="18" applyFont="1" applyFill="1" applyBorder="1" applyAlignment="1">
      <alignment horizontal="center" vertical="center"/>
    </xf>
    <xf numFmtId="0" fontId="15" fillId="3" borderId="25" xfId="18" applyFont="1" applyFill="1" applyBorder="1" applyAlignment="1">
      <alignment horizontal="center" vertical="center"/>
    </xf>
    <xf numFmtId="0" fontId="15" fillId="3" borderId="31" xfId="18" applyFont="1" applyFill="1" applyBorder="1" applyAlignment="1">
      <alignment horizontal="center" vertical="center"/>
    </xf>
    <xf numFmtId="0" fontId="9" fillId="0" borderId="14" xfId="18" applyBorder="1" applyAlignment="1">
      <alignment vertical="center"/>
    </xf>
    <xf numFmtId="0" fontId="9" fillId="0" borderId="17" xfId="18" applyBorder="1" applyAlignment="1">
      <alignment vertical="center"/>
    </xf>
    <xf numFmtId="0" fontId="17" fillId="0" borderId="0" xfId="43" applyFont="1" applyAlignment="1">
      <alignment vertical="center"/>
    </xf>
    <xf numFmtId="0" fontId="17" fillId="0" borderId="0" xfId="18" applyFont="1" applyAlignment="1">
      <alignment horizontal="center" vertical="center" wrapText="1"/>
    </xf>
    <xf numFmtId="0" fontId="17" fillId="0" borderId="17" xfId="18" applyFont="1" applyBorder="1" applyAlignment="1">
      <alignment horizontal="center" vertical="center" wrapText="1"/>
    </xf>
    <xf numFmtId="0" fontId="15" fillId="0" borderId="0" xfId="18" quotePrefix="1" applyFont="1" applyAlignment="1">
      <alignment vertical="center"/>
    </xf>
    <xf numFmtId="0" fontId="17" fillId="0" borderId="0" xfId="18" applyFont="1" applyAlignment="1">
      <alignment vertical="center"/>
    </xf>
    <xf numFmtId="180" fontId="17" fillId="0" borderId="0" xfId="18" applyNumberFormat="1" applyFont="1" applyAlignment="1">
      <alignment horizontal="left" vertical="center"/>
    </xf>
    <xf numFmtId="4" fontId="9" fillId="0" borderId="0" xfId="18" applyNumberFormat="1" applyAlignment="1">
      <alignment vertical="center"/>
    </xf>
    <xf numFmtId="15" fontId="22" fillId="0" borderId="17" xfId="18" applyNumberFormat="1" applyFont="1" applyBorder="1" applyAlignment="1">
      <alignment horizontal="right" vertical="center"/>
    </xf>
    <xf numFmtId="0" fontId="64" fillId="0" borderId="0" xfId="18" applyFont="1" applyAlignment="1">
      <alignment vertical="center"/>
    </xf>
    <xf numFmtId="2" fontId="64" fillId="0" borderId="0" xfId="18" applyNumberFormat="1" applyFont="1" applyAlignment="1">
      <alignment vertical="center"/>
    </xf>
    <xf numFmtId="0" fontId="22" fillId="3" borderId="18" xfId="18" applyFont="1" applyFill="1" applyBorder="1" applyAlignment="1">
      <alignment horizontal="center" vertical="center"/>
    </xf>
    <xf numFmtId="0" fontId="22" fillId="3" borderId="84" xfId="18" applyFont="1" applyFill="1" applyBorder="1" applyAlignment="1">
      <alignment horizontal="center" vertical="center"/>
    </xf>
    <xf numFmtId="0" fontId="22" fillId="3" borderId="20" xfId="18" applyFont="1" applyFill="1" applyBorder="1" applyAlignment="1">
      <alignment horizontal="center" vertical="center"/>
    </xf>
    <xf numFmtId="0" fontId="22" fillId="3" borderId="84" xfId="18" applyFont="1" applyFill="1" applyBorder="1" applyAlignment="1">
      <alignment horizontal="center" vertical="center" wrapText="1" shrinkToFit="1"/>
    </xf>
    <xf numFmtId="0" fontId="22" fillId="3" borderId="57" xfId="18" applyFont="1" applyFill="1" applyBorder="1" applyAlignment="1">
      <alignment horizontal="center" vertical="center"/>
    </xf>
    <xf numFmtId="0" fontId="18" fillId="0" borderId="14" xfId="18" applyFont="1" applyBorder="1" applyAlignment="1">
      <alignment horizontal="center" vertical="center"/>
    </xf>
    <xf numFmtId="0" fontId="14" fillId="2" borderId="85" xfId="18" applyFont="1" applyFill="1" applyBorder="1" applyAlignment="1">
      <alignment vertical="center"/>
    </xf>
    <xf numFmtId="181" fontId="14" fillId="2" borderId="85" xfId="18" quotePrefix="1" applyNumberFormat="1" applyFont="1" applyFill="1" applyBorder="1" applyAlignment="1">
      <alignment horizontal="center" vertical="center"/>
    </xf>
    <xf numFmtId="0" fontId="14" fillId="2" borderId="85" xfId="18" applyFont="1" applyFill="1" applyBorder="1" applyAlignment="1">
      <alignment horizontal="center" vertical="center"/>
    </xf>
    <xf numFmtId="4" fontId="14" fillId="0" borderId="85" xfId="18" applyNumberFormat="1" applyFont="1" applyBorder="1" applyAlignment="1">
      <alignment horizontal="right" vertical="center"/>
    </xf>
    <xf numFmtId="175" fontId="14" fillId="0" borderId="85" xfId="18" applyNumberFormat="1" applyFont="1" applyBorder="1" applyAlignment="1">
      <alignment horizontal="center" vertical="center"/>
    </xf>
    <xf numFmtId="10" fontId="14" fillId="0" borderId="87" xfId="18" applyNumberFormat="1" applyFont="1" applyBorder="1" applyAlignment="1">
      <alignment horizontal="center" vertical="center"/>
    </xf>
    <xf numFmtId="177" fontId="14" fillId="0" borderId="88" xfId="18" applyNumberFormat="1" applyFont="1" applyBorder="1" applyAlignment="1">
      <alignment horizontal="center" vertical="center"/>
    </xf>
    <xf numFmtId="172" fontId="14" fillId="0" borderId="0" xfId="18" applyNumberFormat="1" applyFont="1" applyAlignment="1">
      <alignment horizontal="right" vertical="center"/>
    </xf>
    <xf numFmtId="182" fontId="9" fillId="0" borderId="0" xfId="18" applyNumberFormat="1" applyAlignment="1">
      <alignment vertical="center"/>
    </xf>
    <xf numFmtId="177" fontId="19" fillId="0" borderId="0" xfId="18" applyNumberFormat="1" applyFont="1" applyAlignment="1">
      <alignment vertical="center"/>
    </xf>
    <xf numFmtId="0" fontId="19" fillId="0" borderId="0" xfId="18" applyFont="1" applyAlignment="1">
      <alignment vertical="center"/>
    </xf>
    <xf numFmtId="10" fontId="14" fillId="0" borderId="85" xfId="18" applyNumberFormat="1" applyFont="1" applyBorder="1" applyAlignment="1">
      <alignment horizontal="center" vertical="center"/>
    </xf>
    <xf numFmtId="177" fontId="14" fillId="0" borderId="17" xfId="18" applyNumberFormat="1" applyFont="1" applyBorder="1" applyAlignment="1">
      <alignment horizontal="center" vertical="center"/>
    </xf>
    <xf numFmtId="0" fontId="14" fillId="0" borderId="85" xfId="18" applyFont="1" applyBorder="1" applyAlignment="1">
      <alignment vertical="center"/>
    </xf>
    <xf numFmtId="0" fontId="14" fillId="0" borderId="85" xfId="18" applyFont="1" applyBorder="1" applyAlignment="1">
      <alignment horizontal="center" vertical="center"/>
    </xf>
    <xf numFmtId="175" fontId="14" fillId="0" borderId="89" xfId="18" applyNumberFormat="1" applyFont="1" applyBorder="1" applyAlignment="1">
      <alignment horizontal="center" vertical="center"/>
    </xf>
    <xf numFmtId="10" fontId="14" fillId="0" borderId="89" xfId="18" applyNumberFormat="1" applyFont="1" applyBorder="1" applyAlignment="1">
      <alignment horizontal="center" vertical="center"/>
    </xf>
    <xf numFmtId="177" fontId="14" fillId="0" borderId="50" xfId="18" applyNumberFormat="1" applyFont="1" applyBorder="1" applyAlignment="1">
      <alignment horizontal="center" vertical="center"/>
    </xf>
    <xf numFmtId="0" fontId="18" fillId="0" borderId="49" xfId="18" applyFont="1" applyBorder="1" applyAlignment="1">
      <alignment horizontal="center" vertical="center"/>
    </xf>
    <xf numFmtId="0" fontId="14" fillId="0" borderId="87" xfId="18" applyFont="1" applyBorder="1" applyAlignment="1">
      <alignment vertical="center"/>
    </xf>
    <xf numFmtId="0" fontId="14" fillId="0" borderId="65" xfId="18" quotePrefix="1" applyFont="1" applyBorder="1" applyAlignment="1">
      <alignment horizontal="center" vertical="center"/>
    </xf>
    <xf numFmtId="0" fontId="14" fillId="0" borderId="87" xfId="18" applyFont="1" applyBorder="1" applyAlignment="1">
      <alignment horizontal="center" vertical="center"/>
    </xf>
    <xf numFmtId="4" fontId="14" fillId="0" borderId="87" xfId="18" applyNumberFormat="1" applyFont="1" applyBorder="1" applyAlignment="1">
      <alignment horizontal="right" vertical="center"/>
    </xf>
    <xf numFmtId="0" fontId="18" fillId="0" borderId="41" xfId="18" applyFont="1" applyBorder="1" applyAlignment="1">
      <alignment horizontal="center" vertical="center"/>
    </xf>
    <xf numFmtId="0" fontId="14" fillId="0" borderId="89" xfId="18" applyFont="1" applyBorder="1" applyAlignment="1">
      <alignment vertical="center"/>
    </xf>
    <xf numFmtId="49" fontId="14" fillId="0" borderId="70" xfId="18" applyNumberFormat="1" applyFont="1" applyBorder="1" applyAlignment="1">
      <alignment horizontal="center" vertical="center"/>
    </xf>
    <xf numFmtId="0" fontId="14" fillId="0" borderId="89" xfId="18" applyFont="1" applyBorder="1" applyAlignment="1">
      <alignment horizontal="center" vertical="center"/>
    </xf>
    <xf numFmtId="4" fontId="14" fillId="0" borderId="89" xfId="18" applyNumberFormat="1" applyFont="1" applyBorder="1" applyAlignment="1">
      <alignment horizontal="right" vertical="center"/>
    </xf>
    <xf numFmtId="177" fontId="14" fillId="0" borderId="90" xfId="18" applyNumberFormat="1" applyFont="1" applyBorder="1" applyAlignment="1">
      <alignment horizontal="center" vertical="center"/>
    </xf>
    <xf numFmtId="49" fontId="14" fillId="0" borderId="65" xfId="18" applyNumberFormat="1" applyFont="1" applyBorder="1" applyAlignment="1">
      <alignment horizontal="center" vertical="center"/>
    </xf>
    <xf numFmtId="4" fontId="14" fillId="2" borderId="87" xfId="18" applyNumberFormat="1" applyFont="1" applyFill="1" applyBorder="1" applyAlignment="1">
      <alignment horizontal="right" vertical="center"/>
    </xf>
    <xf numFmtId="175" fontId="14" fillId="0" borderId="87" xfId="18" applyNumberFormat="1" applyFont="1" applyBorder="1" applyAlignment="1">
      <alignment horizontal="center" vertical="center"/>
    </xf>
    <xf numFmtId="0" fontId="14" fillId="0" borderId="0" xfId="18" quotePrefix="1" applyFont="1" applyAlignment="1">
      <alignment horizontal="center" vertical="center"/>
    </xf>
    <xf numFmtId="177" fontId="14" fillId="0" borderId="91" xfId="18" applyNumberFormat="1" applyFont="1" applyBorder="1" applyAlignment="1">
      <alignment horizontal="center" vertical="center"/>
    </xf>
    <xf numFmtId="165" fontId="9" fillId="0" borderId="0" xfId="18" applyNumberFormat="1" applyAlignment="1">
      <alignment vertical="center"/>
    </xf>
    <xf numFmtId="49" fontId="14" fillId="0" borderId="0" xfId="18" quotePrefix="1" applyNumberFormat="1" applyFont="1" applyAlignment="1">
      <alignment horizontal="center" vertical="center"/>
    </xf>
    <xf numFmtId="175" fontId="9" fillId="0" borderId="0" xfId="18" applyNumberFormat="1" applyAlignment="1">
      <alignment vertical="center"/>
    </xf>
    <xf numFmtId="0" fontId="14" fillId="0" borderId="70" xfId="18" quotePrefix="1" applyFont="1" applyBorder="1" applyAlignment="1">
      <alignment horizontal="center" vertical="center"/>
    </xf>
    <xf numFmtId="0" fontId="18" fillId="0" borderId="44" xfId="18" applyFont="1" applyBorder="1" applyAlignment="1">
      <alignment horizontal="center" vertical="center"/>
    </xf>
    <xf numFmtId="0" fontId="14" fillId="0" borderId="92" xfId="18" applyFont="1" applyBorder="1" applyAlignment="1">
      <alignment vertical="center"/>
    </xf>
    <xf numFmtId="0" fontId="14" fillId="0" borderId="45" xfId="18" quotePrefix="1" applyFont="1" applyBorder="1" applyAlignment="1">
      <alignment horizontal="center" vertical="center"/>
    </xf>
    <xf numFmtId="0" fontId="14" fillId="0" borderId="92" xfId="18" applyFont="1" applyBorder="1" applyAlignment="1">
      <alignment horizontal="center" vertical="center"/>
    </xf>
    <xf numFmtId="4" fontId="14" fillId="0" borderId="92" xfId="18" applyNumberFormat="1" applyFont="1" applyBorder="1" applyAlignment="1">
      <alignment horizontal="right" vertical="center"/>
    </xf>
    <xf numFmtId="175" fontId="14" fillId="0" borderId="92" xfId="18" applyNumberFormat="1" applyFont="1" applyBorder="1" applyAlignment="1">
      <alignment horizontal="center" vertical="center"/>
    </xf>
    <xf numFmtId="10" fontId="14" fillId="0" borderId="92" xfId="18" applyNumberFormat="1" applyFont="1" applyBorder="1" applyAlignment="1">
      <alignment horizontal="center" vertical="center"/>
    </xf>
    <xf numFmtId="177" fontId="14" fillId="0" borderId="93" xfId="18" applyNumberFormat="1" applyFont="1" applyBorder="1" applyAlignment="1">
      <alignment horizontal="center" vertical="center"/>
    </xf>
    <xf numFmtId="177" fontId="9" fillId="0" borderId="0" xfId="18" applyNumberFormat="1" applyAlignment="1">
      <alignment vertical="center"/>
    </xf>
    <xf numFmtId="0" fontId="18" fillId="0" borderId="14" xfId="18" applyFont="1" applyBorder="1" applyAlignment="1">
      <alignment vertical="center"/>
    </xf>
    <xf numFmtId="177" fontId="9" fillId="0" borderId="17" xfId="18" applyNumberFormat="1" applyBorder="1" applyAlignment="1">
      <alignment vertical="center"/>
    </xf>
    <xf numFmtId="183" fontId="9" fillId="0" borderId="0" xfId="18" applyNumberFormat="1" applyAlignment="1">
      <alignment vertical="center"/>
    </xf>
    <xf numFmtId="0" fontId="19" fillId="0" borderId="14" xfId="18" applyFont="1" applyBorder="1" applyAlignment="1">
      <alignment horizontal="right" vertical="center"/>
    </xf>
    <xf numFmtId="0" fontId="17" fillId="2" borderId="0" xfId="18" applyFont="1" applyFill="1" applyAlignment="1">
      <alignment vertical="center"/>
    </xf>
    <xf numFmtId="0" fontId="9" fillId="2" borderId="0" xfId="18" applyFill="1" applyAlignment="1">
      <alignment vertical="center"/>
    </xf>
    <xf numFmtId="10" fontId="9" fillId="0" borderId="0" xfId="18" applyNumberFormat="1" applyAlignment="1">
      <alignment vertical="center"/>
    </xf>
    <xf numFmtId="177" fontId="9" fillId="0" borderId="17" xfId="18" applyNumberFormat="1" applyBorder="1" applyAlignment="1">
      <alignment horizontal="center" vertical="center"/>
    </xf>
    <xf numFmtId="0" fontId="9" fillId="0" borderId="30" xfId="18" applyBorder="1" applyAlignment="1">
      <alignment vertical="center"/>
    </xf>
    <xf numFmtId="0" fontId="9" fillId="0" borderId="25" xfId="18" applyBorder="1" applyAlignment="1">
      <alignment vertical="center"/>
    </xf>
    <xf numFmtId="0" fontId="9" fillId="0" borderId="31" xfId="18" applyBorder="1" applyAlignment="1">
      <alignment vertical="center"/>
    </xf>
    <xf numFmtId="0" fontId="14" fillId="0" borderId="14" xfId="18" applyFont="1" applyBorder="1" applyAlignment="1">
      <alignment vertical="center"/>
    </xf>
    <xf numFmtId="0" fontId="14" fillId="0" borderId="0" xfId="18" applyFont="1" applyAlignment="1">
      <alignment vertical="center"/>
    </xf>
    <xf numFmtId="0" fontId="14" fillId="0" borderId="30" xfId="18" applyFont="1" applyBorder="1" applyAlignment="1">
      <alignment vertical="center"/>
    </xf>
    <xf numFmtId="0" fontId="14" fillId="0" borderId="25" xfId="18" applyFont="1" applyBorder="1" applyAlignment="1">
      <alignment vertical="center"/>
    </xf>
    <xf numFmtId="175" fontId="9" fillId="0" borderId="0" xfId="18" applyNumberFormat="1" applyAlignment="1">
      <alignment horizontal="center" vertical="center"/>
    </xf>
    <xf numFmtId="167" fontId="9" fillId="0" borderId="0" xfId="18" applyNumberFormat="1" applyAlignment="1">
      <alignment horizontal="center" vertical="center"/>
    </xf>
    <xf numFmtId="172" fontId="9" fillId="0" borderId="0" xfId="18" applyNumberFormat="1" applyAlignment="1">
      <alignment vertical="center"/>
    </xf>
    <xf numFmtId="2" fontId="9" fillId="0" borderId="0" xfId="18" applyNumberFormat="1" applyAlignment="1">
      <alignment vertical="center"/>
    </xf>
    <xf numFmtId="184" fontId="9" fillId="0" borderId="0" xfId="18" applyNumberFormat="1" applyAlignment="1">
      <alignment vertical="center"/>
    </xf>
    <xf numFmtId="185" fontId="64" fillId="0" borderId="0" xfId="18" applyNumberFormat="1" applyFont="1" applyAlignment="1">
      <alignment horizontal="center" vertical="center"/>
    </xf>
    <xf numFmtId="186" fontId="9" fillId="0" borderId="0" xfId="18" applyNumberFormat="1" applyAlignment="1">
      <alignment vertical="center"/>
    </xf>
    <xf numFmtId="0" fontId="9" fillId="2" borderId="14" xfId="18" applyFill="1" applyBorder="1" applyAlignment="1">
      <alignment vertical="center"/>
    </xf>
    <xf numFmtId="0" fontId="9" fillId="2" borderId="17" xfId="18" applyFill="1" applyBorder="1" applyAlignment="1">
      <alignment vertical="center"/>
    </xf>
    <xf numFmtId="0" fontId="17" fillId="0" borderId="0" xfId="44" applyFont="1" applyAlignment="1">
      <alignment vertical="center"/>
    </xf>
    <xf numFmtId="0" fontId="17" fillId="2" borderId="0" xfId="18" applyFont="1" applyFill="1" applyAlignment="1">
      <alignment horizontal="center" vertical="center" wrapText="1"/>
    </xf>
    <xf numFmtId="0" fontId="17" fillId="2" borderId="17" xfId="18" applyFont="1" applyFill="1" applyBorder="1" applyAlignment="1">
      <alignment horizontal="center" vertical="center" wrapText="1"/>
    </xf>
    <xf numFmtId="0" fontId="15" fillId="2" borderId="0" xfId="18" quotePrefix="1" applyFont="1" applyFill="1" applyAlignment="1">
      <alignment vertical="center"/>
    </xf>
    <xf numFmtId="187" fontId="17" fillId="2" borderId="0" xfId="18" applyNumberFormat="1" applyFont="1" applyFill="1" applyAlignment="1">
      <alignment horizontal="left" vertical="center"/>
    </xf>
    <xf numFmtId="4" fontId="9" fillId="2" borderId="0" xfId="18" applyNumberFormat="1" applyFill="1" applyAlignment="1">
      <alignment vertical="center"/>
    </xf>
    <xf numFmtId="15" fontId="22" fillId="2" borderId="17" xfId="18" applyNumberFormat="1" applyFont="1" applyFill="1" applyBorder="1" applyAlignment="1">
      <alignment horizontal="right" vertical="center"/>
    </xf>
    <xf numFmtId="0" fontId="18" fillId="2" borderId="14" xfId="18" applyFont="1" applyFill="1" applyBorder="1" applyAlignment="1">
      <alignment horizontal="center" vertical="center"/>
    </xf>
    <xf numFmtId="4" fontId="14" fillId="2" borderId="85" xfId="18" applyNumberFormat="1" applyFont="1" applyFill="1" applyBorder="1" applyAlignment="1">
      <alignment horizontal="right" vertical="center"/>
    </xf>
    <xf numFmtId="175" fontId="14" fillId="2" borderId="85" xfId="18" applyNumberFormat="1" applyFont="1" applyFill="1" applyBorder="1" applyAlignment="1">
      <alignment horizontal="center" vertical="center"/>
    </xf>
    <xf numFmtId="10" fontId="14" fillId="2" borderId="85" xfId="18" applyNumberFormat="1" applyFont="1" applyFill="1" applyBorder="1" applyAlignment="1">
      <alignment horizontal="center" vertical="center"/>
    </xf>
    <xf numFmtId="177" fontId="14" fillId="2" borderId="17" xfId="18" applyNumberFormat="1" applyFont="1" applyFill="1" applyBorder="1" applyAlignment="1">
      <alignment horizontal="center" vertical="center"/>
    </xf>
    <xf numFmtId="188" fontId="9" fillId="0" borderId="0" xfId="45" applyNumberFormat="1" applyFont="1" applyAlignment="1">
      <alignment vertical="center"/>
    </xf>
    <xf numFmtId="189" fontId="9" fillId="0" borderId="0" xfId="18" applyNumberFormat="1" applyAlignment="1">
      <alignment vertical="center"/>
    </xf>
    <xf numFmtId="177" fontId="14" fillId="2" borderId="91" xfId="18" applyNumberFormat="1" applyFont="1" applyFill="1" applyBorder="1" applyAlignment="1">
      <alignment horizontal="center" vertical="center"/>
    </xf>
    <xf numFmtId="181" fontId="14" fillId="2" borderId="85" xfId="18" applyNumberFormat="1" applyFont="1" applyFill="1" applyBorder="1" applyAlignment="1">
      <alignment horizontal="center" vertical="center"/>
    </xf>
    <xf numFmtId="0" fontId="18" fillId="2" borderId="41" xfId="18" applyFont="1" applyFill="1" applyBorder="1" applyAlignment="1">
      <alignment horizontal="center" vertical="center"/>
    </xf>
    <xf numFmtId="0" fontId="14" fillId="2" borderId="89" xfId="18" applyFont="1" applyFill="1" applyBorder="1" applyAlignment="1">
      <alignment vertical="center"/>
    </xf>
    <xf numFmtId="181" fontId="14" fillId="2" borderId="89" xfId="18" applyNumberFormat="1" applyFont="1" applyFill="1" applyBorder="1" applyAlignment="1">
      <alignment horizontal="center" vertical="center"/>
    </xf>
    <xf numFmtId="0" fontId="14" fillId="2" borderId="89" xfId="18" applyFont="1" applyFill="1" applyBorder="1" applyAlignment="1">
      <alignment horizontal="center" vertical="center"/>
    </xf>
    <xf numFmtId="4" fontId="14" fillId="2" borderId="89" xfId="18" applyNumberFormat="1" applyFont="1" applyFill="1" applyBorder="1" applyAlignment="1">
      <alignment horizontal="right" vertical="center"/>
    </xf>
    <xf numFmtId="175" fontId="14" fillId="2" borderId="89" xfId="18" applyNumberFormat="1" applyFont="1" applyFill="1" applyBorder="1" applyAlignment="1">
      <alignment horizontal="center" vertical="center"/>
    </xf>
    <xf numFmtId="10" fontId="14" fillId="2" borderId="89" xfId="18" applyNumberFormat="1" applyFont="1" applyFill="1" applyBorder="1" applyAlignment="1">
      <alignment horizontal="center" vertical="center"/>
    </xf>
    <xf numFmtId="177" fontId="14" fillId="2" borderId="90" xfId="18" applyNumberFormat="1" applyFont="1" applyFill="1" applyBorder="1" applyAlignment="1">
      <alignment horizontal="center" vertical="center"/>
    </xf>
    <xf numFmtId="177" fontId="14" fillId="2" borderId="50" xfId="18" applyNumberFormat="1" applyFont="1" applyFill="1" applyBorder="1" applyAlignment="1">
      <alignment horizontal="center" vertical="center"/>
    </xf>
    <xf numFmtId="0" fontId="18" fillId="2" borderId="49" xfId="18" applyFont="1" applyFill="1" applyBorder="1" applyAlignment="1">
      <alignment horizontal="center" vertical="center"/>
    </xf>
    <xf numFmtId="0" fontId="14" fillId="2" borderId="87" xfId="18" applyFont="1" applyFill="1" applyBorder="1" applyAlignment="1">
      <alignment vertical="center"/>
    </xf>
    <xf numFmtId="181" fontId="14" fillId="2" borderId="87" xfId="18" applyNumberFormat="1" applyFont="1" applyFill="1" applyBorder="1" applyAlignment="1">
      <alignment horizontal="center" vertical="center"/>
    </xf>
    <xf numFmtId="0" fontId="14" fillId="2" borderId="87" xfId="18" applyFont="1" applyFill="1" applyBorder="1" applyAlignment="1">
      <alignment horizontal="center" vertical="center"/>
    </xf>
    <xf numFmtId="175" fontId="14" fillId="2" borderId="94" xfId="18" applyNumberFormat="1" applyFont="1" applyFill="1" applyBorder="1" applyAlignment="1">
      <alignment horizontal="center" vertical="center"/>
    </xf>
    <xf numFmtId="10" fontId="14" fillId="2" borderId="94" xfId="18" applyNumberFormat="1" applyFont="1" applyFill="1" applyBorder="1" applyAlignment="1">
      <alignment horizontal="center" vertical="center"/>
    </xf>
    <xf numFmtId="177" fontId="14" fillId="2" borderId="95" xfId="18" applyNumberFormat="1" applyFont="1" applyFill="1" applyBorder="1" applyAlignment="1">
      <alignment horizontal="center" vertical="center"/>
    </xf>
    <xf numFmtId="0" fontId="18" fillId="2" borderId="44" xfId="18" applyFont="1" applyFill="1" applyBorder="1" applyAlignment="1">
      <alignment horizontal="center" vertical="center"/>
    </xf>
    <xf numFmtId="0" fontId="14" fillId="2" borderId="92" xfId="18" applyFont="1" applyFill="1" applyBorder="1" applyAlignment="1">
      <alignment vertical="center"/>
    </xf>
    <xf numFmtId="181" fontId="14" fillId="2" borderId="92" xfId="18" applyNumberFormat="1" applyFont="1" applyFill="1" applyBorder="1" applyAlignment="1">
      <alignment horizontal="center" vertical="center"/>
    </xf>
    <xf numFmtId="0" fontId="14" fillId="2" borderId="92" xfId="18" applyFont="1" applyFill="1" applyBorder="1" applyAlignment="1">
      <alignment horizontal="center" vertical="center"/>
    </xf>
    <xf numFmtId="4" fontId="14" fillId="2" borderId="92" xfId="18" applyNumberFormat="1" applyFont="1" applyFill="1" applyBorder="1" applyAlignment="1">
      <alignment horizontal="right" vertical="center"/>
    </xf>
    <xf numFmtId="175" fontId="14" fillId="2" borderId="92" xfId="18" applyNumberFormat="1" applyFont="1" applyFill="1" applyBorder="1" applyAlignment="1">
      <alignment horizontal="center" vertical="center"/>
    </xf>
    <xf numFmtId="10" fontId="14" fillId="2" borderId="92" xfId="18" applyNumberFormat="1" applyFont="1" applyFill="1" applyBorder="1" applyAlignment="1">
      <alignment horizontal="center" vertical="center"/>
    </xf>
    <xf numFmtId="177" fontId="14" fillId="2" borderId="93" xfId="18" applyNumberFormat="1" applyFont="1" applyFill="1" applyBorder="1" applyAlignment="1">
      <alignment horizontal="center" vertical="center"/>
    </xf>
    <xf numFmtId="0" fontId="18" fillId="2" borderId="14" xfId="18" applyFont="1" applyFill="1" applyBorder="1" applyAlignment="1">
      <alignment vertical="center"/>
    </xf>
    <xf numFmtId="0" fontId="18" fillId="2" borderId="0" xfId="18" applyFont="1" applyFill="1" applyAlignment="1">
      <alignment vertical="center"/>
    </xf>
    <xf numFmtId="4" fontId="18" fillId="2" borderId="0" xfId="18" applyNumberFormat="1" applyFont="1" applyFill="1" applyAlignment="1">
      <alignment vertical="center"/>
    </xf>
    <xf numFmtId="177" fontId="9" fillId="2" borderId="17" xfId="18" applyNumberFormat="1" applyFill="1" applyBorder="1" applyAlignment="1">
      <alignment vertical="center"/>
    </xf>
    <xf numFmtId="0" fontId="19" fillId="2" borderId="14" xfId="18" applyFont="1" applyFill="1" applyBorder="1" applyAlignment="1">
      <alignment horizontal="right" vertical="center"/>
    </xf>
    <xf numFmtId="10" fontId="9" fillId="2" borderId="0" xfId="18" applyNumberFormat="1" applyFill="1" applyAlignment="1">
      <alignment vertical="center"/>
    </xf>
    <xf numFmtId="177" fontId="9" fillId="2" borderId="17" xfId="18" applyNumberFormat="1" applyFill="1" applyBorder="1" applyAlignment="1">
      <alignment horizontal="center" vertical="center"/>
    </xf>
    <xf numFmtId="0" fontId="9" fillId="2" borderId="30" xfId="18" applyFill="1" applyBorder="1" applyAlignment="1">
      <alignment vertical="center"/>
    </xf>
    <xf numFmtId="0" fontId="9" fillId="2" borderId="25" xfId="18" applyFill="1" applyBorder="1" applyAlignment="1">
      <alignment vertical="center"/>
    </xf>
    <xf numFmtId="0" fontId="9" fillId="2" borderId="31" xfId="18" applyFill="1" applyBorder="1" applyAlignment="1">
      <alignment vertical="center"/>
    </xf>
    <xf numFmtId="0" fontId="14" fillId="2" borderId="14" xfId="18" applyFont="1" applyFill="1" applyBorder="1" applyAlignment="1">
      <alignment vertical="center"/>
    </xf>
    <xf numFmtId="0" fontId="14" fillId="2" borderId="0" xfId="18" applyFont="1" applyFill="1" applyAlignment="1">
      <alignment vertical="center"/>
    </xf>
    <xf numFmtId="0" fontId="14" fillId="2" borderId="30" xfId="18" applyFont="1" applyFill="1" applyBorder="1" applyAlignment="1">
      <alignment vertical="center"/>
    </xf>
    <xf numFmtId="0" fontId="14" fillId="2" borderId="25" xfId="18" applyFont="1" applyFill="1" applyBorder="1" applyAlignment="1">
      <alignment vertical="center"/>
    </xf>
    <xf numFmtId="190" fontId="64" fillId="0" borderId="0" xfId="18" applyNumberFormat="1" applyFont="1" applyAlignment="1">
      <alignment horizontal="center" vertical="center"/>
    </xf>
    <xf numFmtId="187" fontId="9" fillId="0" borderId="0" xfId="18" applyNumberFormat="1" applyAlignment="1">
      <alignment vertical="center"/>
    </xf>
    <xf numFmtId="190" fontId="9" fillId="0" borderId="0" xfId="18" applyNumberFormat="1" applyAlignment="1">
      <alignment vertical="center"/>
    </xf>
    <xf numFmtId="0" fontId="9" fillId="0" borderId="0" xfId="12" applyFont="1" applyAlignment="1">
      <alignment horizontal="center" vertical="center"/>
    </xf>
    <xf numFmtId="0" fontId="9" fillId="3" borderId="26" xfId="12" applyFont="1" applyFill="1" applyBorder="1" applyAlignment="1">
      <alignment vertical="center"/>
    </xf>
    <xf numFmtId="0" fontId="9" fillId="3" borderId="27" xfId="12" applyFont="1" applyFill="1" applyBorder="1" applyAlignment="1">
      <alignment vertical="center"/>
    </xf>
    <xf numFmtId="0" fontId="9" fillId="3" borderId="29" xfId="12" applyFont="1" applyFill="1" applyBorder="1" applyAlignment="1">
      <alignment vertical="center"/>
    </xf>
    <xf numFmtId="0" fontId="63" fillId="3" borderId="14" xfId="12" applyFont="1" applyFill="1" applyBorder="1" applyAlignment="1">
      <alignment horizontal="centerContinuous" vertical="center"/>
    </xf>
    <xf numFmtId="0" fontId="63" fillId="3" borderId="0" xfId="12" applyFont="1" applyFill="1" applyAlignment="1">
      <alignment horizontal="centerContinuous" vertical="center"/>
    </xf>
    <xf numFmtId="0" fontId="63" fillId="3" borderId="96" xfId="12" applyFont="1" applyFill="1" applyBorder="1" applyAlignment="1">
      <alignment horizontal="centerContinuous" vertical="center"/>
    </xf>
    <xf numFmtId="0" fontId="15" fillId="3" borderId="30" xfId="12" applyFont="1" applyFill="1" applyBorder="1" applyAlignment="1">
      <alignment horizontal="center" vertical="center"/>
    </xf>
    <xf numFmtId="0" fontId="15" fillId="3" borderId="25" xfId="12" applyFont="1" applyFill="1" applyBorder="1" applyAlignment="1">
      <alignment horizontal="center" vertical="center"/>
    </xf>
    <xf numFmtId="0" fontId="15" fillId="3" borderId="31" xfId="12" applyFont="1" applyFill="1" applyBorder="1" applyAlignment="1">
      <alignment horizontal="center" vertical="center"/>
    </xf>
    <xf numFmtId="0" fontId="9" fillId="2" borderId="26" xfId="12" applyFont="1" applyFill="1" applyBorder="1" applyAlignment="1">
      <alignment vertical="center"/>
    </xf>
    <xf numFmtId="0" fontId="9" fillId="2" borderId="27" xfId="12" applyFont="1" applyFill="1" applyBorder="1" applyAlignment="1">
      <alignment vertical="center"/>
    </xf>
    <xf numFmtId="0" fontId="9" fillId="2" borderId="29" xfId="12" applyFont="1" applyFill="1" applyBorder="1" applyAlignment="1">
      <alignment vertical="center"/>
    </xf>
    <xf numFmtId="177" fontId="9" fillId="2" borderId="0" xfId="18" applyNumberFormat="1" applyFill="1" applyAlignment="1">
      <alignment vertical="center"/>
    </xf>
    <xf numFmtId="0" fontId="9" fillId="2" borderId="14" xfId="12" applyFont="1" applyFill="1" applyBorder="1" applyAlignment="1">
      <alignment vertical="center"/>
    </xf>
    <xf numFmtId="0" fontId="17" fillId="2" borderId="0" xfId="12" applyFont="1" applyFill="1" applyAlignment="1">
      <alignment vertical="center"/>
    </xf>
    <xf numFmtId="0" fontId="9" fillId="2" borderId="0" xfId="12" applyFont="1" applyFill="1" applyAlignment="1">
      <alignment vertical="center"/>
    </xf>
    <xf numFmtId="0" fontId="9" fillId="2" borderId="17" xfId="12" applyFont="1" applyFill="1" applyBorder="1" applyAlignment="1">
      <alignment vertical="center"/>
    </xf>
    <xf numFmtId="180" fontId="17" fillId="2" borderId="0" xfId="12" applyNumberFormat="1" applyFont="1" applyFill="1" applyAlignment="1">
      <alignment horizontal="center" vertical="center"/>
    </xf>
    <xf numFmtId="17" fontId="22" fillId="2" borderId="17" xfId="12" applyNumberFormat="1" applyFont="1" applyFill="1" applyBorder="1" applyAlignment="1">
      <alignment horizontal="right" vertical="center"/>
    </xf>
    <xf numFmtId="2" fontId="9" fillId="0" borderId="0" xfId="12" applyNumberFormat="1" applyFont="1" applyAlignment="1">
      <alignment vertical="center"/>
    </xf>
    <xf numFmtId="0" fontId="64" fillId="0" borderId="0" xfId="12" applyFont="1" applyAlignment="1">
      <alignment vertical="center"/>
    </xf>
    <xf numFmtId="0" fontId="64" fillId="0" borderId="0" xfId="12" applyFont="1" applyAlignment="1">
      <alignment horizontal="center" vertical="center"/>
    </xf>
    <xf numFmtId="0" fontId="22" fillId="3" borderId="18" xfId="12" applyFont="1" applyFill="1" applyBorder="1" applyAlignment="1">
      <alignment horizontal="center" vertical="center"/>
    </xf>
    <xf numFmtId="0" fontId="22" fillId="3" borderId="84" xfId="12" applyFont="1" applyFill="1" applyBorder="1" applyAlignment="1">
      <alignment horizontal="center" vertical="center"/>
    </xf>
    <xf numFmtId="0" fontId="22" fillId="3" borderId="20" xfId="12" applyFont="1" applyFill="1" applyBorder="1" applyAlignment="1">
      <alignment horizontal="center" vertical="center" wrapText="1"/>
    </xf>
    <xf numFmtId="0" fontId="22" fillId="3" borderId="97" xfId="12" applyFont="1" applyFill="1" applyBorder="1" applyAlignment="1">
      <alignment horizontal="center" vertical="center" wrapText="1"/>
    </xf>
    <xf numFmtId="0" fontId="22" fillId="3" borderId="98" xfId="12" applyFont="1" applyFill="1" applyBorder="1" applyAlignment="1">
      <alignment horizontal="center" vertical="center"/>
    </xf>
    <xf numFmtId="0" fontId="22" fillId="3" borderId="57" xfId="12" applyFont="1" applyFill="1" applyBorder="1" applyAlignment="1">
      <alignment horizontal="center" vertical="center"/>
    </xf>
    <xf numFmtId="0" fontId="14" fillId="2" borderId="14" xfId="12" applyFont="1" applyFill="1" applyBorder="1" applyAlignment="1">
      <alignment horizontal="center" vertical="center"/>
    </xf>
    <xf numFmtId="0" fontId="14" fillId="2" borderId="85" xfId="12" applyFont="1" applyFill="1" applyBorder="1" applyAlignment="1">
      <alignment horizontal="left" vertical="center"/>
    </xf>
    <xf numFmtId="0" fontId="14" fillId="2" borderId="85" xfId="12" applyFont="1" applyFill="1" applyBorder="1" applyAlignment="1">
      <alignment horizontal="center" vertical="center"/>
    </xf>
    <xf numFmtId="4" fontId="14" fillId="2" borderId="85" xfId="12" applyNumberFormat="1" applyFont="1" applyFill="1" applyBorder="1" applyAlignment="1">
      <alignment horizontal="center" vertical="center"/>
    </xf>
    <xf numFmtId="177" fontId="14" fillId="2" borderId="85" xfId="12" applyNumberFormat="1" applyFont="1" applyFill="1" applyBorder="1" applyAlignment="1">
      <alignment horizontal="center" vertical="center"/>
    </xf>
    <xf numFmtId="10" fontId="14" fillId="2" borderId="86" xfId="12" applyNumberFormat="1" applyFont="1" applyFill="1" applyBorder="1" applyAlignment="1">
      <alignment horizontal="center" vertical="center"/>
    </xf>
    <xf numFmtId="177" fontId="14" fillId="2" borderId="29" xfId="12" applyNumberFormat="1" applyFont="1" applyFill="1" applyBorder="1" applyAlignment="1">
      <alignment horizontal="center" vertical="center"/>
    </xf>
    <xf numFmtId="0" fontId="9" fillId="2" borderId="0" xfId="12" applyFont="1" applyFill="1" applyAlignment="1">
      <alignment horizontal="center" vertical="center"/>
    </xf>
    <xf numFmtId="0" fontId="14" fillId="2" borderId="0" xfId="12" applyFont="1" applyFill="1" applyAlignment="1">
      <alignment horizontal="center" vertical="center" wrapText="1"/>
    </xf>
    <xf numFmtId="0" fontId="14" fillId="2" borderId="99" xfId="12" applyFont="1" applyFill="1" applyBorder="1" applyAlignment="1">
      <alignment horizontal="center" vertical="center"/>
    </xf>
    <xf numFmtId="10" fontId="14" fillId="2" borderId="89" xfId="12" applyNumberFormat="1" applyFont="1" applyFill="1" applyBorder="1" applyAlignment="1">
      <alignment horizontal="center" vertical="center"/>
    </xf>
    <xf numFmtId="0" fontId="14" fillId="2" borderId="17" xfId="12" applyFont="1" applyFill="1" applyBorder="1" applyAlignment="1">
      <alignment horizontal="center" vertical="center"/>
    </xf>
    <xf numFmtId="0" fontId="18" fillId="2" borderId="49" xfId="12" applyFont="1" applyFill="1" applyBorder="1" applyAlignment="1">
      <alignment horizontal="center" vertical="center"/>
    </xf>
    <xf numFmtId="0" fontId="14" fillId="2" borderId="87" xfId="12" applyFont="1" applyFill="1" applyBorder="1" applyAlignment="1">
      <alignment vertical="center"/>
    </xf>
    <xf numFmtId="49" fontId="14" fillId="2" borderId="100" xfId="12" quotePrefix="1" applyNumberFormat="1" applyFont="1" applyFill="1" applyBorder="1" applyAlignment="1">
      <alignment horizontal="center" vertical="center"/>
    </xf>
    <xf numFmtId="0" fontId="14" fillId="2" borderId="100" xfId="12" applyFont="1" applyFill="1" applyBorder="1" applyAlignment="1">
      <alignment horizontal="center" vertical="center"/>
    </xf>
    <xf numFmtId="4" fontId="14" fillId="2" borderId="87" xfId="12" applyNumberFormat="1" applyFont="1" applyFill="1" applyBorder="1" applyAlignment="1">
      <alignment horizontal="center" vertical="center"/>
    </xf>
    <xf numFmtId="177" fontId="14" fillId="2" borderId="87" xfId="12" applyNumberFormat="1" applyFont="1" applyFill="1" applyBorder="1" applyAlignment="1">
      <alignment horizontal="center" vertical="center"/>
    </xf>
    <xf numFmtId="10" fontId="14" fillId="2" borderId="100" xfId="12" applyNumberFormat="1" applyFont="1" applyFill="1" applyBorder="1" applyAlignment="1">
      <alignment horizontal="center" vertical="center"/>
    </xf>
    <xf numFmtId="177" fontId="14" fillId="2" borderId="88" xfId="12" applyNumberFormat="1" applyFont="1" applyFill="1" applyBorder="1" applyAlignment="1">
      <alignment horizontal="center" vertical="center"/>
    </xf>
    <xf numFmtId="185" fontId="9" fillId="0" borderId="0" xfId="12" applyNumberFormat="1" applyFont="1" applyAlignment="1">
      <alignment horizontal="center" vertical="center"/>
    </xf>
    <xf numFmtId="0" fontId="18" fillId="0" borderId="0" xfId="12" applyFont="1" applyAlignment="1">
      <alignment horizontal="right" vertical="center"/>
    </xf>
    <xf numFmtId="0" fontId="18" fillId="2" borderId="41" xfId="12" applyFont="1" applyFill="1" applyBorder="1" applyAlignment="1">
      <alignment horizontal="center" vertical="center"/>
    </xf>
    <xf numFmtId="0" fontId="14" fillId="2" borderId="89" xfId="12" applyFont="1" applyFill="1" applyBorder="1" applyAlignment="1">
      <alignment vertical="center"/>
    </xf>
    <xf numFmtId="49" fontId="14" fillId="2" borderId="70" xfId="12" quotePrefix="1" applyNumberFormat="1" applyFont="1" applyFill="1" applyBorder="1" applyAlignment="1">
      <alignment horizontal="center" vertical="center"/>
    </xf>
    <xf numFmtId="0" fontId="14" fillId="2" borderId="89" xfId="12" applyFont="1" applyFill="1" applyBorder="1" applyAlignment="1">
      <alignment horizontal="center" vertical="center"/>
    </xf>
    <xf numFmtId="4" fontId="14" fillId="2" borderId="89" xfId="12" applyNumberFormat="1" applyFont="1" applyFill="1" applyBorder="1" applyAlignment="1">
      <alignment horizontal="center" vertical="center"/>
    </xf>
    <xf numFmtId="177" fontId="14" fillId="2" borderId="89" xfId="12" applyNumberFormat="1" applyFont="1" applyFill="1" applyBorder="1" applyAlignment="1">
      <alignment horizontal="center" vertical="center"/>
    </xf>
    <xf numFmtId="10" fontId="14" fillId="2" borderId="101" xfId="12" applyNumberFormat="1" applyFont="1" applyFill="1" applyBorder="1" applyAlignment="1">
      <alignment horizontal="center" vertical="center"/>
    </xf>
    <xf numFmtId="177" fontId="14" fillId="2" borderId="50" xfId="12" applyNumberFormat="1" applyFont="1" applyFill="1" applyBorder="1" applyAlignment="1">
      <alignment horizontal="center" vertical="center"/>
    </xf>
    <xf numFmtId="191" fontId="58" fillId="0" borderId="0" xfId="12" applyNumberFormat="1" applyFont="1" applyAlignment="1">
      <alignment horizontal="right" vertical="center"/>
    </xf>
    <xf numFmtId="0" fontId="18" fillId="2" borderId="14" xfId="12" applyFont="1" applyFill="1" applyBorder="1" applyAlignment="1">
      <alignment horizontal="center" vertical="center"/>
    </xf>
    <xf numFmtId="0" fontId="14" fillId="2" borderId="85" xfId="12" applyFont="1" applyFill="1" applyBorder="1" applyAlignment="1">
      <alignment vertical="center"/>
    </xf>
    <xf numFmtId="49" fontId="14" fillId="2" borderId="0" xfId="12" quotePrefix="1" applyNumberFormat="1" applyFont="1" applyFill="1" applyAlignment="1">
      <alignment horizontal="center" vertical="center"/>
    </xf>
    <xf numFmtId="10" fontId="14" fillId="2" borderId="99" xfId="12" applyNumberFormat="1" applyFont="1" applyFill="1" applyBorder="1" applyAlignment="1">
      <alignment horizontal="center" vertical="center"/>
    </xf>
    <xf numFmtId="185" fontId="9" fillId="0" borderId="0" xfId="12" applyNumberFormat="1" applyFont="1" applyAlignment="1">
      <alignment vertical="center"/>
    </xf>
    <xf numFmtId="191" fontId="18" fillId="0" borderId="0" xfId="12" applyNumberFormat="1" applyFont="1" applyAlignment="1">
      <alignment horizontal="right" vertical="center"/>
    </xf>
    <xf numFmtId="177" fontId="14" fillId="2" borderId="17" xfId="12" applyNumberFormat="1" applyFont="1" applyFill="1" applyBorder="1" applyAlignment="1">
      <alignment horizontal="center" vertical="center"/>
    </xf>
    <xf numFmtId="185" fontId="9" fillId="2" borderId="0" xfId="12" applyNumberFormat="1" applyFont="1" applyFill="1" applyAlignment="1">
      <alignment horizontal="center" vertical="center"/>
    </xf>
    <xf numFmtId="0" fontId="14" fillId="2" borderId="65" xfId="12" quotePrefix="1" applyFont="1" applyFill="1" applyBorder="1" applyAlignment="1">
      <alignment horizontal="center" vertical="center"/>
    </xf>
    <xf numFmtId="0" fontId="14" fillId="2" borderId="87" xfId="12" applyFont="1" applyFill="1" applyBorder="1" applyAlignment="1">
      <alignment horizontal="center" vertical="center"/>
    </xf>
    <xf numFmtId="0" fontId="14" fillId="2" borderId="70" xfId="12" quotePrefix="1" applyFont="1" applyFill="1" applyBorder="1" applyAlignment="1">
      <alignment horizontal="center" vertical="center"/>
    </xf>
    <xf numFmtId="0" fontId="18" fillId="2" borderId="44" xfId="12" applyFont="1" applyFill="1" applyBorder="1" applyAlignment="1">
      <alignment horizontal="center" vertical="center"/>
    </xf>
    <xf numFmtId="0" fontId="14" fillId="2" borderId="92" xfId="12" applyFont="1" applyFill="1" applyBorder="1" applyAlignment="1">
      <alignment vertical="center"/>
    </xf>
    <xf numFmtId="0" fontId="14" fillId="2" borderId="45" xfId="12" quotePrefix="1" applyFont="1" applyFill="1" applyBorder="1" applyAlignment="1">
      <alignment horizontal="center" vertical="center"/>
    </xf>
    <xf numFmtId="0" fontId="14" fillId="2" borderId="92" xfId="12" applyFont="1" applyFill="1" applyBorder="1" applyAlignment="1">
      <alignment horizontal="center" vertical="center"/>
    </xf>
    <xf numFmtId="0" fontId="14" fillId="2" borderId="45" xfId="12" applyFont="1" applyFill="1" applyBorder="1" applyAlignment="1">
      <alignment horizontal="center" vertical="center"/>
    </xf>
    <xf numFmtId="4" fontId="14" fillId="2" borderId="92" xfId="12" applyNumberFormat="1" applyFont="1" applyFill="1" applyBorder="1" applyAlignment="1">
      <alignment horizontal="center" vertical="center"/>
    </xf>
    <xf numFmtId="177" fontId="14" fillId="2" borderId="92" xfId="12" applyNumberFormat="1" applyFont="1" applyFill="1" applyBorder="1" applyAlignment="1">
      <alignment horizontal="center" vertical="center"/>
    </xf>
    <xf numFmtId="10" fontId="14" fillId="2" borderId="102" xfId="12" applyNumberFormat="1" applyFont="1" applyFill="1" applyBorder="1" applyAlignment="1">
      <alignment horizontal="center" vertical="center"/>
    </xf>
    <xf numFmtId="177" fontId="14" fillId="2" borderId="103" xfId="12" applyNumberFormat="1" applyFont="1" applyFill="1" applyBorder="1" applyAlignment="1">
      <alignment horizontal="center" vertical="center"/>
    </xf>
    <xf numFmtId="192" fontId="9" fillId="0" borderId="0" xfId="12" applyNumberFormat="1" applyFont="1" applyAlignment="1">
      <alignment vertical="center"/>
    </xf>
    <xf numFmtId="0" fontId="18" fillId="2" borderId="14" xfId="12" applyFont="1" applyFill="1" applyBorder="1" applyAlignment="1">
      <alignment vertical="center"/>
    </xf>
    <xf numFmtId="0" fontId="18" fillId="2" borderId="0" xfId="12" applyFont="1" applyFill="1" applyAlignment="1">
      <alignment vertical="center"/>
    </xf>
    <xf numFmtId="4" fontId="18" fillId="2" borderId="0" xfId="12" applyNumberFormat="1" applyFont="1" applyFill="1" applyAlignment="1">
      <alignment vertical="center"/>
    </xf>
    <xf numFmtId="175" fontId="65" fillId="2" borderId="0" xfId="12" applyNumberFormat="1" applyFont="1" applyFill="1" applyAlignment="1">
      <alignment horizontal="center" vertical="center"/>
    </xf>
    <xf numFmtId="182" fontId="65" fillId="2" borderId="0" xfId="12" applyNumberFormat="1" applyFont="1" applyFill="1" applyAlignment="1">
      <alignment horizontal="center" vertical="center"/>
    </xf>
    <xf numFmtId="175" fontId="66" fillId="2" borderId="17" xfId="12" applyNumberFormat="1" applyFont="1" applyFill="1" applyBorder="1" applyAlignment="1">
      <alignment horizontal="center" vertical="center"/>
    </xf>
    <xf numFmtId="189" fontId="9" fillId="0" borderId="0" xfId="12" applyNumberFormat="1" applyFont="1" applyAlignment="1">
      <alignment vertical="center"/>
    </xf>
    <xf numFmtId="0" fontId="19" fillId="2" borderId="14" xfId="12" applyFont="1" applyFill="1" applyBorder="1" applyAlignment="1">
      <alignment horizontal="right" vertical="center"/>
    </xf>
    <xf numFmtId="4" fontId="17" fillId="2" borderId="0" xfId="12" applyNumberFormat="1" applyFont="1" applyFill="1" applyAlignment="1">
      <alignment vertical="center"/>
    </xf>
    <xf numFmtId="182" fontId="9" fillId="2" borderId="0" xfId="12" applyNumberFormat="1" applyFont="1" applyFill="1" applyAlignment="1">
      <alignment vertical="center"/>
    </xf>
    <xf numFmtId="191" fontId="9" fillId="2" borderId="0" xfId="46" applyNumberFormat="1" applyFont="1" applyFill="1" applyAlignment="1">
      <alignment horizontal="center" vertical="center"/>
    </xf>
    <xf numFmtId="177" fontId="9" fillId="2" borderId="17" xfId="12" applyNumberFormat="1" applyFont="1" applyFill="1" applyBorder="1" applyAlignment="1">
      <alignment vertical="center"/>
    </xf>
    <xf numFmtId="0" fontId="9" fillId="2" borderId="30" xfId="12" applyFont="1" applyFill="1" applyBorder="1" applyAlignment="1">
      <alignment vertical="center"/>
    </xf>
    <xf numFmtId="0" fontId="9" fillId="2" borderId="25" xfId="12" applyFont="1" applyFill="1" applyBorder="1" applyAlignment="1">
      <alignment vertical="center"/>
    </xf>
    <xf numFmtId="0" fontId="9" fillId="2" borderId="31" xfId="12" applyFont="1" applyFill="1" applyBorder="1" applyAlignment="1">
      <alignment horizontal="center" vertical="center"/>
    </xf>
    <xf numFmtId="0" fontId="9" fillId="2" borderId="17" xfId="12" applyFont="1" applyFill="1" applyBorder="1" applyAlignment="1">
      <alignment horizontal="center" vertical="center"/>
    </xf>
    <xf numFmtId="2" fontId="67" fillId="2" borderId="0" xfId="12" applyNumberFormat="1" applyFont="1" applyFill="1" applyAlignment="1">
      <alignment vertical="center"/>
    </xf>
    <xf numFmtId="0" fontId="67" fillId="2" borderId="0" xfId="12" applyFont="1" applyFill="1" applyAlignment="1">
      <alignment vertical="center"/>
    </xf>
    <xf numFmtId="0" fontId="67" fillId="2" borderId="17" xfId="12" applyFont="1" applyFill="1" applyBorder="1" applyAlignment="1">
      <alignment horizontal="center" vertical="center"/>
    </xf>
    <xf numFmtId="177" fontId="68" fillId="2" borderId="0" xfId="12" applyNumberFormat="1" applyFont="1" applyFill="1" applyAlignment="1">
      <alignment vertical="center"/>
    </xf>
    <xf numFmtId="0" fontId="14" fillId="2" borderId="14" xfId="12" applyFont="1" applyFill="1" applyBorder="1" applyAlignment="1">
      <alignment vertical="center"/>
    </xf>
    <xf numFmtId="0" fontId="14" fillId="2" borderId="0" xfId="12" applyFont="1" applyFill="1" applyAlignment="1">
      <alignment vertical="center"/>
    </xf>
    <xf numFmtId="177" fontId="67" fillId="2" borderId="0" xfId="12" applyNumberFormat="1" applyFont="1" applyFill="1" applyAlignment="1">
      <alignment vertical="center"/>
    </xf>
    <xf numFmtId="0" fontId="14" fillId="2" borderId="30" xfId="12" applyFont="1" applyFill="1" applyBorder="1" applyAlignment="1">
      <alignment vertical="center"/>
    </xf>
    <xf numFmtId="0" fontId="14" fillId="2" borderId="25" xfId="12" applyFont="1" applyFill="1" applyBorder="1" applyAlignment="1">
      <alignment vertical="center"/>
    </xf>
    <xf numFmtId="0" fontId="67" fillId="2" borderId="25" xfId="12" applyFont="1" applyFill="1" applyBorder="1" applyAlignment="1">
      <alignment vertical="center"/>
    </xf>
    <xf numFmtId="2" fontId="9" fillId="2" borderId="31" xfId="12" applyNumberFormat="1" applyFont="1" applyFill="1" applyBorder="1" applyAlignment="1">
      <alignment horizontal="center" vertical="center"/>
    </xf>
    <xf numFmtId="1" fontId="9" fillId="0" borderId="0" xfId="12" applyNumberFormat="1" applyFont="1" applyAlignment="1">
      <alignment horizontal="center" vertical="center"/>
    </xf>
    <xf numFmtId="177" fontId="9" fillId="0" borderId="0" xfId="12" applyNumberFormat="1" applyFont="1" applyAlignment="1">
      <alignment horizontal="center" vertical="center"/>
    </xf>
    <xf numFmtId="180" fontId="9" fillId="0" borderId="0" xfId="12" applyNumberFormat="1" applyFont="1" applyAlignment="1">
      <alignment vertical="center"/>
    </xf>
    <xf numFmtId="193" fontId="9" fillId="0" borderId="0" xfId="12" applyNumberFormat="1" applyFont="1" applyAlignment="1">
      <alignment horizontal="center" vertical="center"/>
    </xf>
    <xf numFmtId="185" fontId="64" fillId="0" borderId="0" xfId="12" applyNumberFormat="1" applyFont="1" applyAlignment="1">
      <alignment horizontal="center" vertical="center"/>
    </xf>
    <xf numFmtId="0" fontId="14" fillId="2" borderId="0" xfId="12" quotePrefix="1" applyFont="1" applyFill="1" applyAlignment="1">
      <alignment horizontal="center" vertical="center" wrapText="1"/>
    </xf>
    <xf numFmtId="0" fontId="14" fillId="2" borderId="86" xfId="12" applyFont="1" applyFill="1" applyBorder="1" applyAlignment="1">
      <alignment horizontal="center" vertical="center"/>
    </xf>
    <xf numFmtId="49" fontId="14" fillId="2" borderId="70" xfId="12" applyNumberFormat="1" applyFont="1" applyFill="1" applyBorder="1" applyAlignment="1">
      <alignment horizontal="center" vertical="center"/>
    </xf>
    <xf numFmtId="0" fontId="14" fillId="2" borderId="85" xfId="41" applyFont="1" applyFill="1" applyBorder="1" applyAlignment="1">
      <alignment vertical="center"/>
    </xf>
    <xf numFmtId="49" fontId="14" fillId="2" borderId="0" xfId="12" applyNumberFormat="1" applyFont="1" applyFill="1" applyAlignment="1">
      <alignment horizontal="center" vertical="center"/>
    </xf>
    <xf numFmtId="189" fontId="9" fillId="0" borderId="0" xfId="12" applyNumberFormat="1" applyFont="1" applyAlignment="1">
      <alignment horizontal="center" vertical="center"/>
    </xf>
    <xf numFmtId="185" fontId="64" fillId="0" borderId="0" xfId="12" applyNumberFormat="1" applyFont="1" applyAlignment="1">
      <alignment vertical="center"/>
    </xf>
    <xf numFmtId="10" fontId="9" fillId="10" borderId="0" xfId="1" applyNumberFormat="1" applyFill="1" applyAlignment="1">
      <alignment vertical="center"/>
    </xf>
    <xf numFmtId="4" fontId="21" fillId="10" borderId="0" xfId="18" applyNumberFormat="1" applyFont="1" applyFill="1" applyAlignment="1">
      <alignment vertical="center"/>
    </xf>
    <xf numFmtId="169" fontId="52" fillId="0" borderId="0" xfId="0" applyNumberFormat="1" applyFont="1"/>
    <xf numFmtId="10" fontId="9" fillId="10" borderId="0" xfId="18" applyNumberFormat="1" applyFill="1"/>
    <xf numFmtId="0" fontId="9" fillId="0" borderId="70" xfId="8" applyFont="1" applyBorder="1" applyAlignment="1">
      <alignment vertical="center"/>
    </xf>
    <xf numFmtId="17" fontId="30" fillId="0" borderId="70" xfId="2" applyNumberFormat="1" applyFont="1" applyBorder="1" applyAlignment="1">
      <alignment horizontal="right" vertical="center"/>
    </xf>
    <xf numFmtId="177" fontId="21" fillId="0" borderId="70" xfId="2" applyNumberFormat="1" applyFont="1" applyBorder="1" applyAlignment="1">
      <alignment horizontal="right" vertical="center"/>
    </xf>
    <xf numFmtId="4" fontId="17" fillId="0" borderId="5" xfId="2" applyNumberFormat="1" applyFont="1" applyBorder="1" applyAlignment="1">
      <alignment horizontal="right" vertical="center" indent="1"/>
    </xf>
    <xf numFmtId="0" fontId="17" fillId="0" borderId="66" xfId="2" applyFont="1" applyBorder="1" applyAlignment="1">
      <alignment horizontal="center" vertical="center"/>
    </xf>
    <xf numFmtId="4" fontId="17" fillId="0" borderId="66" xfId="2" applyNumberFormat="1" applyFont="1" applyBorder="1" applyAlignment="1">
      <alignment horizontal="right" vertical="center" indent="1"/>
    </xf>
    <xf numFmtId="4" fontId="22" fillId="0" borderId="7" xfId="5" applyNumberFormat="1" applyFont="1" applyBorder="1" applyAlignment="1">
      <alignment horizontal="center" vertical="center"/>
    </xf>
    <xf numFmtId="4" fontId="22" fillId="0" borderId="69" xfId="5" applyNumberFormat="1" applyFont="1" applyBorder="1" applyAlignment="1">
      <alignment horizontal="center" vertical="center"/>
    </xf>
    <xf numFmtId="2" fontId="22" fillId="0" borderId="66" xfId="8" applyNumberFormat="1" applyFont="1" applyBorder="1" applyAlignment="1">
      <alignment horizontal="center" vertical="center"/>
    </xf>
    <xf numFmtId="0" fontId="19" fillId="0" borderId="66" xfId="8" applyFont="1" applyBorder="1" applyAlignment="1">
      <alignment vertical="center"/>
    </xf>
    <xf numFmtId="4" fontId="22" fillId="0" borderId="66" xfId="5" applyNumberFormat="1" applyFont="1" applyBorder="1" applyAlignment="1">
      <alignment horizontal="center" vertical="center"/>
    </xf>
    <xf numFmtId="4" fontId="69" fillId="0" borderId="0" xfId="0" applyNumberFormat="1" applyFont="1" applyAlignment="1">
      <alignment vertical="center"/>
    </xf>
    <xf numFmtId="4" fontId="70" fillId="0" borderId="0" xfId="8" applyNumberFormat="1" applyFont="1" applyAlignment="1">
      <alignment vertical="center"/>
    </xf>
    <xf numFmtId="176" fontId="14" fillId="0" borderId="0" xfId="0" applyNumberFormat="1" applyFont="1" applyAlignment="1">
      <alignment horizontal="center" vertical="center"/>
    </xf>
    <xf numFmtId="185" fontId="14" fillId="0" borderId="0" xfId="0" applyNumberFormat="1" applyFont="1"/>
    <xf numFmtId="177" fontId="14" fillId="0" borderId="0" xfId="0" applyNumberFormat="1" applyFont="1"/>
    <xf numFmtId="171" fontId="14" fillId="0" borderId="0" xfId="0" applyNumberFormat="1" applyFont="1"/>
    <xf numFmtId="169" fontId="14" fillId="0" borderId="0" xfId="0" applyNumberFormat="1" applyFont="1"/>
    <xf numFmtId="2" fontId="14" fillId="0" borderId="0" xfId="0" applyNumberFormat="1" applyFont="1"/>
    <xf numFmtId="2" fontId="53" fillId="0" borderId="0" xfId="0" applyNumberFormat="1" applyFont="1"/>
    <xf numFmtId="2" fontId="52" fillId="0" borderId="0" xfId="0" applyNumberFormat="1" applyFont="1"/>
    <xf numFmtId="177" fontId="52" fillId="0" borderId="0" xfId="0" applyNumberFormat="1" applyFont="1"/>
    <xf numFmtId="177" fontId="52" fillId="4" borderId="0" xfId="0" applyNumberFormat="1" applyFont="1" applyFill="1"/>
    <xf numFmtId="169" fontId="52" fillId="0" borderId="62" xfId="2" applyNumberFormat="1" applyFont="1" applyBorder="1" applyAlignment="1">
      <alignment vertical="center"/>
    </xf>
    <xf numFmtId="0" fontId="21" fillId="0" borderId="0" xfId="2" applyFont="1" applyAlignment="1">
      <alignment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176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4" fontId="0" fillId="10" borderId="0" xfId="18" applyNumberFormat="1" applyFont="1" applyFill="1"/>
    <xf numFmtId="0" fontId="0" fillId="13" borderId="0" xfId="0" applyFill="1"/>
    <xf numFmtId="8" fontId="71" fillId="13" borderId="0" xfId="0" applyNumberFormat="1" applyFont="1" applyFill="1" applyAlignment="1">
      <alignment horizontal="center" vertical="center" wrapText="1"/>
    </xf>
    <xf numFmtId="0" fontId="71" fillId="13" borderId="0" xfId="0" applyFont="1" applyFill="1" applyAlignment="1">
      <alignment horizontal="right" vertical="center" wrapText="1"/>
    </xf>
    <xf numFmtId="0" fontId="72" fillId="14" borderId="0" xfId="0" applyFont="1" applyFill="1" applyAlignment="1">
      <alignment horizontal="left" vertical="center" wrapText="1"/>
    </xf>
    <xf numFmtId="8" fontId="71" fillId="14" borderId="0" xfId="0" applyNumberFormat="1" applyFont="1" applyFill="1" applyAlignment="1">
      <alignment horizontal="center" vertical="center" wrapText="1"/>
    </xf>
    <xf numFmtId="0" fontId="71" fillId="14" borderId="0" xfId="0" applyFont="1" applyFill="1" applyAlignment="1">
      <alignment horizontal="right" vertical="center" wrapText="1"/>
    </xf>
    <xf numFmtId="0" fontId="72" fillId="13" borderId="0" xfId="0" applyFont="1" applyFill="1" applyAlignment="1">
      <alignment horizontal="left" vertical="center" wrapText="1"/>
    </xf>
    <xf numFmtId="8" fontId="52" fillId="0" borderId="0" xfId="0" applyNumberFormat="1" applyFont="1"/>
    <xf numFmtId="0" fontId="52" fillId="14" borderId="0" xfId="0" applyFont="1" applyFill="1" applyAlignment="1">
      <alignment horizontal="center" vertical="center" wrapText="1"/>
    </xf>
    <xf numFmtId="0" fontId="52" fillId="13" borderId="0" xfId="0" applyFont="1" applyFill="1" applyAlignment="1">
      <alignment horizontal="center" vertical="center" wrapText="1"/>
    </xf>
    <xf numFmtId="0" fontId="73" fillId="0" borderId="0" xfId="0" applyFont="1"/>
    <xf numFmtId="0" fontId="52" fillId="13" borderId="0" xfId="0" applyFont="1" applyFill="1" applyAlignment="1">
      <alignment horizontal="right" vertical="center" wrapText="1"/>
    </xf>
    <xf numFmtId="4" fontId="16" fillId="0" borderId="0" xfId="0" applyNumberFormat="1" applyFont="1" applyAlignment="1">
      <alignment horizontal="right" vertical="center"/>
    </xf>
    <xf numFmtId="169" fontId="22" fillId="4" borderId="61" xfId="4" applyNumberFormat="1" applyFont="1" applyFill="1" applyBorder="1" applyAlignment="1">
      <alignment horizontal="center" vertical="center"/>
    </xf>
    <xf numFmtId="4" fontId="62" fillId="0" borderId="80" xfId="42" applyNumberFormat="1" applyFont="1" applyBorder="1" applyAlignment="1">
      <alignment horizontal="center" vertical="center"/>
    </xf>
    <xf numFmtId="4" fontId="62" fillId="0" borderId="81" xfId="42" applyNumberFormat="1" applyFont="1" applyBorder="1" applyAlignment="1">
      <alignment horizontal="center" vertical="center"/>
    </xf>
    <xf numFmtId="4" fontId="62" fillId="0" borderId="83" xfId="42" applyNumberFormat="1" applyFont="1" applyBorder="1" applyAlignment="1">
      <alignment horizontal="center" vertical="center"/>
    </xf>
    <xf numFmtId="0" fontId="61" fillId="0" borderId="0" xfId="6" applyFont="1" applyAlignment="1">
      <alignment horizontal="center" vertical="center"/>
    </xf>
    <xf numFmtId="49" fontId="19" fillId="0" borderId="0" xfId="18" applyNumberFormat="1" applyFont="1" applyAlignment="1">
      <alignment horizontal="left" vertical="center" wrapText="1"/>
    </xf>
    <xf numFmtId="2" fontId="19" fillId="0" borderId="0" xfId="18" applyNumberFormat="1" applyFont="1" applyAlignment="1">
      <alignment horizontal="left" vertical="center" wrapText="1"/>
    </xf>
    <xf numFmtId="0" fontId="21" fillId="11" borderId="33" xfId="18" applyFont="1" applyFill="1" applyBorder="1" applyAlignment="1">
      <alignment horizontal="center" vertical="center"/>
    </xf>
    <xf numFmtId="0" fontId="21" fillId="11" borderId="66" xfId="18" applyFont="1" applyFill="1" applyBorder="1" applyAlignment="1">
      <alignment horizontal="center" vertical="center"/>
    </xf>
    <xf numFmtId="0" fontId="21" fillId="11" borderId="63" xfId="18" applyFont="1" applyFill="1" applyBorder="1" applyAlignment="1">
      <alignment horizontal="center" vertical="center"/>
    </xf>
    <xf numFmtId="0" fontId="21" fillId="12" borderId="65" xfId="18" applyFont="1" applyFill="1" applyBorder="1" applyAlignment="1">
      <alignment horizontal="center" vertical="center"/>
    </xf>
    <xf numFmtId="0" fontId="21" fillId="12" borderId="64" xfId="18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36" fillId="0" borderId="0" xfId="2" applyFont="1" applyAlignment="1">
      <alignment horizontal="left" vertical="center" wrapText="1"/>
    </xf>
    <xf numFmtId="0" fontId="17" fillId="0" borderId="66" xfId="8" applyFont="1" applyBorder="1" applyAlignment="1">
      <alignment vertical="center"/>
    </xf>
    <xf numFmtId="0" fontId="17" fillId="0" borderId="63" xfId="8" applyFont="1" applyBorder="1" applyAlignment="1">
      <alignment vertical="center"/>
    </xf>
    <xf numFmtId="0" fontId="23" fillId="3" borderId="62" xfId="4" applyFont="1" applyFill="1" applyBorder="1" applyAlignment="1">
      <alignment horizontal="center" vertical="center" wrapText="1"/>
    </xf>
    <xf numFmtId="0" fontId="23" fillId="3" borderId="7" xfId="4" applyFont="1" applyFill="1" applyBorder="1" applyAlignment="1">
      <alignment horizontal="center" vertical="center" wrapText="1"/>
    </xf>
    <xf numFmtId="0" fontId="17" fillId="3" borderId="67" xfId="2" applyFont="1" applyFill="1" applyBorder="1" applyAlignment="1">
      <alignment horizontal="center" vertical="center"/>
    </xf>
    <xf numFmtId="0" fontId="17" fillId="3" borderId="65" xfId="2" applyFont="1" applyFill="1" applyBorder="1" applyAlignment="1">
      <alignment horizontal="center" vertical="center"/>
    </xf>
    <xf numFmtId="0" fontId="17" fillId="3" borderId="64" xfId="2" applyFont="1" applyFill="1" applyBorder="1" applyAlignment="1">
      <alignment horizontal="center" vertical="center"/>
    </xf>
    <xf numFmtId="0" fontId="17" fillId="3" borderId="68" xfId="2" applyFont="1" applyFill="1" applyBorder="1" applyAlignment="1">
      <alignment horizontal="center" vertical="center"/>
    </xf>
    <xf numFmtId="0" fontId="17" fillId="3" borderId="70" xfId="2" applyFont="1" applyFill="1" applyBorder="1" applyAlignment="1">
      <alignment horizontal="center" vertical="center"/>
    </xf>
    <xf numFmtId="0" fontId="17" fillId="3" borderId="69" xfId="2" applyFont="1" applyFill="1" applyBorder="1" applyAlignment="1">
      <alignment horizontal="center" vertical="center"/>
    </xf>
    <xf numFmtId="0" fontId="17" fillId="3" borderId="62" xfId="2" applyFont="1" applyFill="1" applyBorder="1" applyAlignment="1">
      <alignment horizontal="center" vertical="center"/>
    </xf>
    <xf numFmtId="0" fontId="17" fillId="3" borderId="7" xfId="2" applyFont="1" applyFill="1" applyBorder="1" applyAlignment="1">
      <alignment horizontal="center" vertical="center"/>
    </xf>
    <xf numFmtId="0" fontId="23" fillId="3" borderId="33" xfId="4" applyFont="1" applyFill="1" applyBorder="1" applyAlignment="1">
      <alignment horizontal="center" vertical="center" wrapText="1"/>
    </xf>
    <xf numFmtId="0" fontId="23" fillId="3" borderId="63" xfId="4" applyFont="1" applyFill="1" applyBorder="1" applyAlignment="1">
      <alignment horizontal="center" vertical="center" wrapText="1"/>
    </xf>
    <xf numFmtId="0" fontId="23" fillId="3" borderId="61" xfId="4" applyFont="1" applyFill="1" applyBorder="1" applyAlignment="1">
      <alignment horizontal="center" vertical="center" wrapText="1"/>
    </xf>
    <xf numFmtId="0" fontId="17" fillId="3" borderId="26" xfId="2" applyFont="1" applyFill="1" applyBorder="1" applyAlignment="1">
      <alignment horizontal="center" vertical="center"/>
    </xf>
    <xf numFmtId="0" fontId="17" fillId="3" borderId="30" xfId="2" applyFont="1" applyFill="1" applyBorder="1" applyAlignment="1">
      <alignment horizontal="center" vertical="center"/>
    </xf>
    <xf numFmtId="0" fontId="17" fillId="0" borderId="20" xfId="8" applyFont="1" applyBorder="1" applyAlignment="1">
      <alignment horizontal="left" vertical="center" indent="1"/>
    </xf>
    <xf numFmtId="0" fontId="17" fillId="0" borderId="57" xfId="8" applyFont="1" applyBorder="1" applyAlignment="1">
      <alignment horizontal="left" vertical="center" indent="1"/>
    </xf>
    <xf numFmtId="0" fontId="17" fillId="3" borderId="20" xfId="2" applyFont="1" applyFill="1" applyBorder="1" applyAlignment="1">
      <alignment horizontal="center" vertical="center"/>
    </xf>
    <xf numFmtId="0" fontId="17" fillId="3" borderId="19" xfId="2" applyFont="1" applyFill="1" applyBorder="1" applyAlignment="1">
      <alignment horizontal="center" vertical="center"/>
    </xf>
    <xf numFmtId="0" fontId="17" fillId="3" borderId="18" xfId="2" applyFont="1" applyFill="1" applyBorder="1" applyAlignment="1">
      <alignment horizontal="center" vertical="center"/>
    </xf>
    <xf numFmtId="0" fontId="17" fillId="3" borderId="57" xfId="2" applyFont="1" applyFill="1" applyBorder="1" applyAlignment="1">
      <alignment horizontal="center" vertical="center"/>
    </xf>
    <xf numFmtId="0" fontId="17" fillId="3" borderId="27" xfId="2" applyFont="1" applyFill="1" applyBorder="1" applyAlignment="1">
      <alignment horizontal="center" vertical="center"/>
    </xf>
    <xf numFmtId="0" fontId="17" fillId="3" borderId="29" xfId="2" applyFont="1" applyFill="1" applyBorder="1" applyAlignment="1">
      <alignment horizontal="center" vertical="center"/>
    </xf>
    <xf numFmtId="0" fontId="17" fillId="3" borderId="25" xfId="2" applyFont="1" applyFill="1" applyBorder="1" applyAlignment="1">
      <alignment horizontal="center" vertical="center"/>
    </xf>
    <xf numFmtId="0" fontId="17" fillId="3" borderId="31" xfId="2" applyFont="1" applyFill="1" applyBorder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44" fillId="0" borderId="0" xfId="18" quotePrefix="1" applyFont="1" applyAlignment="1">
      <alignment horizontal="left" vertical="center" wrapText="1"/>
    </xf>
    <xf numFmtId="2" fontId="19" fillId="0" borderId="0" xfId="12" applyNumberFormat="1" applyFont="1" applyAlignment="1">
      <alignment horizontal="center" vertical="center" wrapText="1"/>
    </xf>
    <xf numFmtId="0" fontId="37" fillId="0" borderId="0" xfId="12" applyFont="1" applyAlignment="1">
      <alignment horizontal="center" vertical="center"/>
    </xf>
    <xf numFmtId="0" fontId="45" fillId="0" borderId="27" xfId="20" applyFont="1" applyBorder="1" applyAlignment="1">
      <alignment horizontal="center" vertical="center" wrapText="1"/>
    </xf>
    <xf numFmtId="0" fontId="43" fillId="0" borderId="0" xfId="18" quotePrefix="1" applyFont="1" applyAlignment="1">
      <alignment horizontal="left" vertical="center" wrapText="1"/>
    </xf>
    <xf numFmtId="0" fontId="44" fillId="0" borderId="0" xfId="18" quotePrefix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center" wrapText="1"/>
    </xf>
    <xf numFmtId="0" fontId="21" fillId="3" borderId="62" xfId="2" applyFont="1" applyFill="1" applyBorder="1" applyAlignment="1">
      <alignment horizontal="center" vertical="center"/>
    </xf>
    <xf numFmtId="0" fontId="21" fillId="3" borderId="7" xfId="2" applyFont="1" applyFill="1" applyBorder="1" applyAlignment="1">
      <alignment horizontal="center" vertical="center"/>
    </xf>
    <xf numFmtId="0" fontId="21" fillId="3" borderId="67" xfId="2" applyFont="1" applyFill="1" applyBorder="1" applyAlignment="1">
      <alignment horizontal="center" vertical="center"/>
    </xf>
    <xf numFmtId="0" fontId="21" fillId="3" borderId="65" xfId="2" applyFont="1" applyFill="1" applyBorder="1" applyAlignment="1">
      <alignment horizontal="center" vertical="center"/>
    </xf>
    <xf numFmtId="0" fontId="21" fillId="3" borderId="64" xfId="2" applyFont="1" applyFill="1" applyBorder="1" applyAlignment="1">
      <alignment horizontal="center" vertical="center"/>
    </xf>
    <xf numFmtId="0" fontId="21" fillId="3" borderId="68" xfId="2" applyFont="1" applyFill="1" applyBorder="1" applyAlignment="1">
      <alignment horizontal="center" vertical="center"/>
    </xf>
    <xf numFmtId="0" fontId="21" fillId="3" borderId="70" xfId="2" applyFont="1" applyFill="1" applyBorder="1" applyAlignment="1">
      <alignment horizontal="center" vertical="center"/>
    </xf>
    <xf numFmtId="0" fontId="21" fillId="3" borderId="69" xfId="2" applyFont="1" applyFill="1" applyBorder="1" applyAlignment="1">
      <alignment horizontal="center" vertical="center"/>
    </xf>
    <xf numFmtId="0" fontId="49" fillId="0" borderId="0" xfId="3" applyFont="1" applyAlignment="1">
      <alignment horizontal="center" vertical="center"/>
    </xf>
    <xf numFmtId="4" fontId="22" fillId="4" borderId="61" xfId="3" applyNumberFormat="1" applyFont="1" applyFill="1" applyBorder="1" applyAlignment="1">
      <alignment horizontal="center" vertical="center"/>
    </xf>
    <xf numFmtId="169" fontId="22" fillId="4" borderId="61" xfId="5" applyNumberFormat="1" applyFont="1" applyFill="1" applyBorder="1" applyAlignment="1">
      <alignment horizontal="center" vertical="center" wrapText="1"/>
    </xf>
    <xf numFmtId="169" fontId="22" fillId="3" borderId="61" xfId="5" applyNumberFormat="1" applyFont="1" applyFill="1" applyBorder="1" applyAlignment="1">
      <alignment horizontal="center" vertical="center" wrapText="1"/>
    </xf>
    <xf numFmtId="169" fontId="22" fillId="3" borderId="61" xfId="4" applyNumberFormat="1" applyFont="1" applyFill="1" applyBorder="1" applyAlignment="1">
      <alignment horizontal="center" vertical="center"/>
    </xf>
    <xf numFmtId="4" fontId="22" fillId="3" borderId="61" xfId="4" applyNumberFormat="1" applyFont="1" applyFill="1" applyBorder="1" applyAlignment="1">
      <alignment horizontal="center" vertical="center"/>
    </xf>
    <xf numFmtId="169" fontId="22" fillId="4" borderId="33" xfId="2" applyNumberFormat="1" applyFont="1" applyFill="1" applyBorder="1" applyAlignment="1">
      <alignment horizontal="center" vertical="center"/>
    </xf>
    <xf numFmtId="169" fontId="22" fillId="4" borderId="63" xfId="2" applyNumberFormat="1" applyFont="1" applyFill="1" applyBorder="1" applyAlignment="1">
      <alignment horizontal="center" vertical="center"/>
    </xf>
    <xf numFmtId="169" fontId="22" fillId="3" borderId="33" xfId="2" applyNumberFormat="1" applyFont="1" applyFill="1" applyBorder="1" applyAlignment="1">
      <alignment horizontal="center" vertical="center"/>
    </xf>
    <xf numFmtId="169" fontId="22" fillId="3" borderId="66" xfId="2" applyNumberFormat="1" applyFont="1" applyFill="1" applyBorder="1" applyAlignment="1">
      <alignment horizontal="center" vertical="center"/>
    </xf>
    <xf numFmtId="169" fontId="22" fillId="3" borderId="63" xfId="2" applyNumberFormat="1" applyFont="1" applyFill="1" applyBorder="1" applyAlignment="1">
      <alignment horizontal="center" vertical="center"/>
    </xf>
    <xf numFmtId="169" fontId="22" fillId="3" borderId="33" xfId="2" applyNumberFormat="1" applyFont="1" applyFill="1" applyBorder="1" applyAlignment="1">
      <alignment horizontal="center" vertical="center" wrapText="1"/>
    </xf>
    <xf numFmtId="169" fontId="22" fillId="3" borderId="63" xfId="2" applyNumberFormat="1" applyFont="1" applyFill="1" applyBorder="1" applyAlignment="1">
      <alignment horizontal="center" vertical="center" wrapText="1"/>
    </xf>
    <xf numFmtId="169" fontId="22" fillId="3" borderId="33" xfId="5" applyNumberFormat="1" applyFont="1" applyFill="1" applyBorder="1" applyAlignment="1">
      <alignment horizontal="center" vertical="center"/>
    </xf>
    <xf numFmtId="169" fontId="22" fillId="3" borderId="63" xfId="5" applyNumberFormat="1" applyFont="1" applyFill="1" applyBorder="1" applyAlignment="1">
      <alignment horizontal="center" vertical="center"/>
    </xf>
    <xf numFmtId="169" fontId="22" fillId="3" borderId="61" xfId="5" applyNumberFormat="1" applyFont="1" applyFill="1" applyBorder="1" applyAlignment="1">
      <alignment horizontal="center" vertical="center"/>
    </xf>
    <xf numFmtId="169" fontId="14" fillId="0" borderId="36" xfId="2" applyNumberFormat="1" applyFont="1" applyBorder="1" applyAlignment="1">
      <alignment horizontal="right" vertical="center"/>
    </xf>
    <xf numFmtId="169" fontId="14" fillId="0" borderId="7" xfId="2" applyNumberFormat="1" applyFont="1" applyBorder="1" applyAlignment="1">
      <alignment horizontal="right" vertical="center"/>
    </xf>
    <xf numFmtId="49" fontId="19" fillId="0" borderId="0" xfId="2" applyNumberFormat="1" applyFont="1" applyAlignment="1">
      <alignment horizontal="left" vertical="center" wrapText="1"/>
    </xf>
    <xf numFmtId="0" fontId="19" fillId="0" borderId="0" xfId="2" applyFont="1" applyAlignment="1">
      <alignment horizontal="left" vertical="center" wrapText="1"/>
    </xf>
    <xf numFmtId="169" fontId="22" fillId="4" borderId="61" xfId="5" applyNumberFormat="1" applyFont="1" applyFill="1" applyBorder="1" applyAlignment="1">
      <alignment horizontal="center" vertical="center"/>
    </xf>
    <xf numFmtId="169" fontId="22" fillId="4" borderId="61" xfId="4" applyNumberFormat="1" applyFont="1" applyFill="1" applyBorder="1" applyAlignment="1">
      <alignment horizontal="center" vertical="center"/>
    </xf>
    <xf numFmtId="2" fontId="14" fillId="2" borderId="36" xfId="10" applyNumberFormat="1" applyFont="1" applyFill="1" applyBorder="1" applyAlignment="1">
      <alignment horizontal="center" vertical="center"/>
    </xf>
    <xf numFmtId="2" fontId="14" fillId="2" borderId="38" xfId="10" applyNumberFormat="1" applyFont="1" applyFill="1" applyBorder="1" applyAlignment="1">
      <alignment horizontal="center" vertical="center"/>
    </xf>
    <xf numFmtId="0" fontId="14" fillId="0" borderId="36" xfId="10" applyFont="1" applyBorder="1" applyAlignment="1">
      <alignment horizontal="center" vertical="center"/>
    </xf>
    <xf numFmtId="0" fontId="14" fillId="0" borderId="7" xfId="10" applyFont="1" applyBorder="1" applyAlignment="1">
      <alignment horizontal="center" vertical="center"/>
    </xf>
    <xf numFmtId="0" fontId="15" fillId="0" borderId="0" xfId="18" quotePrefix="1" applyFont="1" applyAlignment="1">
      <alignment horizontal="center" vertical="center" wrapText="1"/>
    </xf>
    <xf numFmtId="0" fontId="15" fillId="0" borderId="17" xfId="18" quotePrefix="1" applyFont="1" applyBorder="1" applyAlignment="1">
      <alignment horizontal="center" vertical="center" wrapText="1"/>
    </xf>
    <xf numFmtId="0" fontId="14" fillId="0" borderId="86" xfId="18" applyFont="1" applyBorder="1" applyAlignment="1">
      <alignment horizontal="center" vertical="center"/>
    </xf>
    <xf numFmtId="0" fontId="14" fillId="0" borderId="85" xfId="18" applyFont="1" applyBorder="1" applyAlignment="1">
      <alignment horizontal="center" vertical="center"/>
    </xf>
    <xf numFmtId="0" fontId="14" fillId="0" borderId="87" xfId="18" applyFont="1" applyBorder="1" applyAlignment="1">
      <alignment horizontal="center" vertical="center"/>
    </xf>
    <xf numFmtId="0" fontId="14" fillId="0" borderId="89" xfId="18" applyFont="1" applyBorder="1" applyAlignment="1">
      <alignment horizontal="center" vertical="center"/>
    </xf>
    <xf numFmtId="0" fontId="14" fillId="2" borderId="87" xfId="18" applyFont="1" applyFill="1" applyBorder="1" applyAlignment="1">
      <alignment horizontal="center" vertical="center"/>
    </xf>
    <xf numFmtId="0" fontId="14" fillId="2" borderId="85" xfId="18" applyFont="1" applyFill="1" applyBorder="1" applyAlignment="1">
      <alignment horizontal="center" vertical="center"/>
    </xf>
    <xf numFmtId="0" fontId="14" fillId="2" borderId="89" xfId="18" applyFont="1" applyFill="1" applyBorder="1" applyAlignment="1">
      <alignment horizontal="center" vertical="center"/>
    </xf>
    <xf numFmtId="4" fontId="22" fillId="3" borderId="61" xfId="3" applyNumberFormat="1" applyFont="1" applyFill="1" applyBorder="1" applyAlignment="1">
      <alignment horizontal="center" vertical="center"/>
    </xf>
    <xf numFmtId="169" fontId="14" fillId="0" borderId="38" xfId="2" applyNumberFormat="1" applyFont="1" applyBorder="1" applyAlignment="1">
      <alignment horizontal="right" vertical="center"/>
    </xf>
    <xf numFmtId="169" fontId="14" fillId="0" borderId="36" xfId="2" applyNumberFormat="1" applyFont="1" applyBorder="1" applyAlignment="1">
      <alignment vertical="center"/>
    </xf>
    <xf numFmtId="169" fontId="14" fillId="0" borderId="38" xfId="2" applyNumberFormat="1" applyFont="1" applyBorder="1" applyAlignment="1">
      <alignment vertical="center"/>
    </xf>
    <xf numFmtId="0" fontId="14" fillId="0" borderId="38" xfId="10" applyFont="1" applyBorder="1" applyAlignment="1">
      <alignment horizontal="center" vertical="center"/>
    </xf>
    <xf numFmtId="0" fontId="15" fillId="2" borderId="0" xfId="18" quotePrefix="1" applyFont="1" applyFill="1" applyAlignment="1">
      <alignment horizontal="center" vertical="center" wrapText="1"/>
    </xf>
    <xf numFmtId="0" fontId="15" fillId="2" borderId="17" xfId="18" quotePrefix="1" applyFont="1" applyFill="1" applyBorder="1" applyAlignment="1">
      <alignment horizontal="center" vertical="center" wrapText="1"/>
    </xf>
    <xf numFmtId="0" fontId="14" fillId="2" borderId="86" xfId="18" applyFont="1" applyFill="1" applyBorder="1" applyAlignment="1">
      <alignment horizontal="center" vertical="center"/>
    </xf>
    <xf numFmtId="4" fontId="22" fillId="3" borderId="3" xfId="3" applyNumberFormat="1" applyFont="1" applyFill="1" applyBorder="1" applyAlignment="1">
      <alignment horizontal="center" vertical="center"/>
    </xf>
    <xf numFmtId="169" fontId="22" fillId="3" borderId="3" xfId="5" applyNumberFormat="1" applyFont="1" applyFill="1" applyBorder="1" applyAlignment="1">
      <alignment horizontal="center" vertical="center" wrapText="1"/>
    </xf>
    <xf numFmtId="169" fontId="22" fillId="3" borderId="3" xfId="4" applyNumberFormat="1" applyFont="1" applyFill="1" applyBorder="1" applyAlignment="1">
      <alignment horizontal="center" vertical="center"/>
    </xf>
    <xf numFmtId="169" fontId="22" fillId="3" borderId="3" xfId="5" applyNumberFormat="1" applyFont="1" applyFill="1" applyBorder="1" applyAlignment="1">
      <alignment horizontal="center" vertical="center"/>
    </xf>
    <xf numFmtId="4" fontId="22" fillId="3" borderId="3" xfId="4" applyNumberFormat="1" applyFont="1" applyFill="1" applyBorder="1" applyAlignment="1">
      <alignment horizontal="center" vertical="center"/>
    </xf>
    <xf numFmtId="169" fontId="22" fillId="3" borderId="4" xfId="5" applyNumberFormat="1" applyFont="1" applyFill="1" applyBorder="1" applyAlignment="1">
      <alignment horizontal="center" vertical="center"/>
    </xf>
    <xf numFmtId="169" fontId="22" fillId="3" borderId="15" xfId="2" applyNumberFormat="1" applyFont="1" applyFill="1" applyBorder="1" applyAlignment="1">
      <alignment horizontal="center" vertical="center"/>
    </xf>
    <xf numFmtId="169" fontId="22" fillId="3" borderId="4" xfId="2" applyNumberFormat="1" applyFont="1" applyFill="1" applyBorder="1" applyAlignment="1">
      <alignment horizontal="center" vertical="center"/>
    </xf>
    <xf numFmtId="0" fontId="14" fillId="2" borderId="86" xfId="12" applyFont="1" applyFill="1" applyBorder="1" applyAlignment="1">
      <alignment horizontal="center" vertical="center"/>
    </xf>
    <xf numFmtId="0" fontId="14" fillId="2" borderId="89" xfId="12" applyFont="1" applyFill="1" applyBorder="1" applyAlignment="1">
      <alignment horizontal="center" vertical="center"/>
    </xf>
    <xf numFmtId="0" fontId="14" fillId="2" borderId="87" xfId="12" applyFont="1" applyFill="1" applyBorder="1" applyAlignment="1">
      <alignment horizontal="center" vertical="center"/>
    </xf>
    <xf numFmtId="0" fontId="8" fillId="2" borderId="89" xfId="12" applyFill="1" applyBorder="1" applyAlignment="1">
      <alignment horizontal="center" vertical="center"/>
    </xf>
    <xf numFmtId="0" fontId="8" fillId="2" borderId="85" xfId="12" applyFill="1" applyBorder="1" applyAlignment="1">
      <alignment vertical="center"/>
    </xf>
    <xf numFmtId="0" fontId="8" fillId="2" borderId="89" xfId="12" applyFill="1" applyBorder="1" applyAlignment="1">
      <alignment vertical="center"/>
    </xf>
  </cellXfs>
  <cellStyles count="47">
    <cellStyle name="Cancel" xfId="2" xr:uid="{00000000-0005-0000-0000-000000000000}"/>
    <cellStyle name="Cancel 10" xfId="43" xr:uid="{7AECDA96-4D3A-42E3-8434-AADCCD1F9AB4}"/>
    <cellStyle name="Cancel 2" xfId="12" xr:uid="{00000000-0005-0000-0000-000001000000}"/>
    <cellStyle name="Cancel 2 2" xfId="41" xr:uid="{C2376C82-B9E4-4B54-9533-081C1334333D}"/>
    <cellStyle name="Cancel 3" xfId="35" xr:uid="{00000000-0005-0000-0000-000002000000}"/>
    <cellStyle name="Cancel 4 2" xfId="27" xr:uid="{00000000-0005-0000-0000-000003000000}"/>
    <cellStyle name="Cancel 61" xfId="32" xr:uid="{00000000-0005-0000-0000-000004000000}"/>
    <cellStyle name="Cancel_-Presupuesto RS  Proy  1" xfId="37" xr:uid="{00000000-0005-0000-0000-000005000000}"/>
    <cellStyle name="Cancel_Resumen RS Grupo 3" xfId="8" xr:uid="{00000000-0005-0000-0000-000006000000}"/>
    <cellStyle name="Millares [0]_Gastos Generales-Azángaro_UU-GG-MO-ARANCELES_COBRIZA" xfId="17" xr:uid="{00000000-0005-0000-0000-000007000000}"/>
    <cellStyle name="Millares 2" xfId="38" xr:uid="{00000000-0005-0000-0000-000008000000}"/>
    <cellStyle name="Millares 3" xfId="31" xr:uid="{00000000-0005-0000-0000-000009000000}"/>
    <cellStyle name="Moneda 2" xfId="7" xr:uid="{00000000-0005-0000-0000-00000B000000}"/>
    <cellStyle name="Normal" xfId="0" builtinId="0"/>
    <cellStyle name="Normal 10 2" xfId="19" xr:uid="{00000000-0005-0000-0000-00000F000000}"/>
    <cellStyle name="Normal 10 5" xfId="18" xr:uid="{00000000-0005-0000-0000-000010000000}"/>
    <cellStyle name="Normal 2" xfId="9" xr:uid="{00000000-0005-0000-0000-000011000000}"/>
    <cellStyle name="Normal 2 2" xfId="10" xr:uid="{00000000-0005-0000-0000-000012000000}"/>
    <cellStyle name="Normal 2 3" xfId="22" xr:uid="{00000000-0005-0000-0000-000013000000}"/>
    <cellStyle name="Normal 2 4" xfId="40" xr:uid="{A56340CD-63EF-49DD-8654-83C687666EFA}"/>
    <cellStyle name="Normal 274" xfId="34" xr:uid="{00000000-0005-0000-0000-000014000000}"/>
    <cellStyle name="Normal 3" xfId="11" xr:uid="{00000000-0005-0000-0000-000015000000}"/>
    <cellStyle name="Normal 3 2" xfId="26" xr:uid="{00000000-0005-0000-0000-000016000000}"/>
    <cellStyle name="Normal 3 3" xfId="14" xr:uid="{00000000-0005-0000-0000-000017000000}"/>
    <cellStyle name="Normal 3 3 2" xfId="23" xr:uid="{00000000-0005-0000-0000-000018000000}"/>
    <cellStyle name="Normal 4" xfId="25" xr:uid="{00000000-0005-0000-0000-000019000000}"/>
    <cellStyle name="Normal 5" xfId="30" xr:uid="{00000000-0005-0000-0000-00001A000000}"/>
    <cellStyle name="Normal 6" xfId="42" xr:uid="{66971ACB-2202-4DBF-AAE8-3E0740AA9D4D}"/>
    <cellStyle name="Normal 69 2 2" xfId="28" xr:uid="{00000000-0005-0000-0000-00001B000000}"/>
    <cellStyle name="Normal_ELECTRIFICAION PUNO SECTOR II REV-02" xfId="39" xr:uid="{211C3806-D8E8-4647-8280-1A9D3B7122AC}"/>
    <cellStyle name="Normal_FORMATO" xfId="4" xr:uid="{00000000-0005-0000-0000-000020000000}"/>
    <cellStyle name="Normal_Hoja1_5.0 GG-NUEVO-CHAUPIHUARANGA" xfId="20" xr:uid="{00000000-0005-0000-0000-000021000000}"/>
    <cellStyle name="Normal_Hoja1_5.0 GG-NUEVO-CHAUPIHUARANGA_UU-GG-MO-ARANCELES_COBRIZA" xfId="16" xr:uid="{00000000-0005-0000-0000-000022000000}"/>
    <cellStyle name="Normal_Libro1" xfId="15" xr:uid="{00000000-0005-0000-0000-000023000000}"/>
    <cellStyle name="Normal_Libro1_UU-GG-MO-ARANCELES_COBRIZA" xfId="13" xr:uid="{00000000-0005-0000-0000-000024000000}"/>
    <cellStyle name="Normal_M y P Suministro S.E." xfId="5" xr:uid="{00000000-0005-0000-0000-000025000000}"/>
    <cellStyle name="Normal_METRADOR" xfId="6" xr:uid="{00000000-0005-0000-0000-000027000000}"/>
    <cellStyle name="Normal_-Presupuesto RP  Proy  1" xfId="3" xr:uid="{00000000-0005-0000-0000-000029000000}"/>
    <cellStyle name="Normal_Presupuesto-RP Villa Rica" xfId="44" xr:uid="{A1D387EC-B495-4F37-AB01-470B9DEAA957}"/>
    <cellStyle name="Porcentaje" xfId="1" builtinId="5"/>
    <cellStyle name="Porcentaje 2" xfId="45" xr:uid="{AD22BCF2-1C49-40C1-8EA2-EEDB0A44DBA0}"/>
    <cellStyle name="Porcentaje 2 2" xfId="24" xr:uid="{00000000-0005-0000-0000-00002C000000}"/>
    <cellStyle name="Porcentaje 2 2 2" xfId="33" xr:uid="{00000000-0005-0000-0000-00002D000000}"/>
    <cellStyle name="PORCENTAJE 3" xfId="46" xr:uid="{43A76FBC-72DC-4D7E-BEF8-AFED6A6EA3F4}"/>
    <cellStyle name="Porcentual 2" xfId="21" xr:uid="{00000000-0005-0000-0000-00002E000000}"/>
    <cellStyle name="Porcentual 3" xfId="29" xr:uid="{00000000-0005-0000-0000-00002F000000}"/>
    <cellStyle name="Porcentual 3 2" xfId="36" xr:uid="{00000000-0005-0000-0000-000030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1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8.xml"/><Relationship Id="rId138" Type="http://schemas.openxmlformats.org/officeDocument/2006/relationships/externalLink" Target="externalLinks/externalLink122.xml"/><Relationship Id="rId159" Type="http://schemas.openxmlformats.org/officeDocument/2006/relationships/externalLink" Target="externalLinks/externalLink143.xml"/><Relationship Id="rId170" Type="http://schemas.openxmlformats.org/officeDocument/2006/relationships/externalLink" Target="externalLinks/externalLink154.xml"/><Relationship Id="rId191" Type="http://schemas.openxmlformats.org/officeDocument/2006/relationships/externalLink" Target="externalLinks/externalLink175.xml"/><Relationship Id="rId205" Type="http://schemas.openxmlformats.org/officeDocument/2006/relationships/externalLink" Target="externalLinks/externalLink189.xml"/><Relationship Id="rId107" Type="http://schemas.openxmlformats.org/officeDocument/2006/relationships/externalLink" Target="externalLinks/externalLink9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8.xml"/><Relationship Id="rId128" Type="http://schemas.openxmlformats.org/officeDocument/2006/relationships/externalLink" Target="externalLinks/externalLink112.xml"/><Relationship Id="rId149" Type="http://schemas.openxmlformats.org/officeDocument/2006/relationships/externalLink" Target="externalLinks/externalLink13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9.xml"/><Relationship Id="rId160" Type="http://schemas.openxmlformats.org/officeDocument/2006/relationships/externalLink" Target="externalLinks/externalLink144.xml"/><Relationship Id="rId181" Type="http://schemas.openxmlformats.org/officeDocument/2006/relationships/externalLink" Target="externalLinks/externalLink165.xml"/><Relationship Id="rId22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8.xml"/><Relationship Id="rId118" Type="http://schemas.openxmlformats.org/officeDocument/2006/relationships/externalLink" Target="externalLinks/externalLink102.xml"/><Relationship Id="rId139" Type="http://schemas.openxmlformats.org/officeDocument/2006/relationships/externalLink" Target="externalLinks/externalLink123.xml"/><Relationship Id="rId85" Type="http://schemas.openxmlformats.org/officeDocument/2006/relationships/externalLink" Target="externalLinks/externalLink69.xml"/><Relationship Id="rId150" Type="http://schemas.openxmlformats.org/officeDocument/2006/relationships/externalLink" Target="externalLinks/externalLink134.xml"/><Relationship Id="rId171" Type="http://schemas.openxmlformats.org/officeDocument/2006/relationships/externalLink" Target="externalLinks/externalLink155.xml"/><Relationship Id="rId192" Type="http://schemas.openxmlformats.org/officeDocument/2006/relationships/externalLink" Target="externalLinks/externalLink176.xml"/><Relationship Id="rId206" Type="http://schemas.openxmlformats.org/officeDocument/2006/relationships/externalLink" Target="externalLinks/externalLink190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7.xml"/><Relationship Id="rId108" Type="http://schemas.openxmlformats.org/officeDocument/2006/relationships/externalLink" Target="externalLinks/externalLink92.xml"/><Relationship Id="rId129" Type="http://schemas.openxmlformats.org/officeDocument/2006/relationships/externalLink" Target="externalLinks/externalLink113.xml"/><Relationship Id="rId54" Type="http://schemas.openxmlformats.org/officeDocument/2006/relationships/externalLink" Target="externalLinks/externalLink38.xml"/><Relationship Id="rId75" Type="http://schemas.openxmlformats.org/officeDocument/2006/relationships/externalLink" Target="externalLinks/externalLink59.xml"/><Relationship Id="rId96" Type="http://schemas.openxmlformats.org/officeDocument/2006/relationships/externalLink" Target="externalLinks/externalLink80.xml"/><Relationship Id="rId140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5.xml"/><Relationship Id="rId182" Type="http://schemas.openxmlformats.org/officeDocument/2006/relationships/externalLink" Target="externalLinks/externalLink166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7.xml"/><Relationship Id="rId119" Type="http://schemas.openxmlformats.org/officeDocument/2006/relationships/externalLink" Target="externalLinks/externalLink103.xml"/><Relationship Id="rId44" Type="http://schemas.openxmlformats.org/officeDocument/2006/relationships/externalLink" Target="externalLinks/externalLink28.xml"/><Relationship Id="rId65" Type="http://schemas.openxmlformats.org/officeDocument/2006/relationships/externalLink" Target="externalLinks/externalLink49.xml"/><Relationship Id="rId86" Type="http://schemas.openxmlformats.org/officeDocument/2006/relationships/externalLink" Target="externalLinks/externalLink70.xml"/><Relationship Id="rId130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5.xml"/><Relationship Id="rId172" Type="http://schemas.openxmlformats.org/officeDocument/2006/relationships/externalLink" Target="externalLinks/externalLink156.xml"/><Relationship Id="rId193" Type="http://schemas.openxmlformats.org/officeDocument/2006/relationships/externalLink" Target="externalLinks/externalLink177.xml"/><Relationship Id="rId207" Type="http://schemas.openxmlformats.org/officeDocument/2006/relationships/externalLink" Target="externalLinks/externalLink191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3.xml"/><Relationship Id="rId34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97" Type="http://schemas.openxmlformats.org/officeDocument/2006/relationships/externalLink" Target="externalLinks/externalLink81.xml"/><Relationship Id="rId120" Type="http://schemas.openxmlformats.org/officeDocument/2006/relationships/externalLink" Target="externalLinks/externalLink104.xml"/><Relationship Id="rId141" Type="http://schemas.openxmlformats.org/officeDocument/2006/relationships/externalLink" Target="externalLinks/externalLink125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6.xml"/><Relationship Id="rId183" Type="http://schemas.openxmlformats.org/officeDocument/2006/relationships/externalLink" Target="externalLinks/externalLink167.xml"/><Relationship Id="rId24" Type="http://schemas.openxmlformats.org/officeDocument/2006/relationships/externalLink" Target="externalLinks/externalLink8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110" Type="http://schemas.openxmlformats.org/officeDocument/2006/relationships/externalLink" Target="externalLinks/externalLink94.xml"/><Relationship Id="rId131" Type="http://schemas.openxmlformats.org/officeDocument/2006/relationships/externalLink" Target="externalLinks/externalLink115.xml"/><Relationship Id="rId152" Type="http://schemas.openxmlformats.org/officeDocument/2006/relationships/externalLink" Target="externalLinks/externalLink136.xml"/><Relationship Id="rId173" Type="http://schemas.openxmlformats.org/officeDocument/2006/relationships/externalLink" Target="externalLinks/externalLink157.xml"/><Relationship Id="rId194" Type="http://schemas.openxmlformats.org/officeDocument/2006/relationships/externalLink" Target="externalLinks/externalLink178.xml"/><Relationship Id="rId208" Type="http://schemas.openxmlformats.org/officeDocument/2006/relationships/externalLink" Target="externalLinks/externalLink192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Relationship Id="rId100" Type="http://schemas.openxmlformats.org/officeDocument/2006/relationships/externalLink" Target="externalLinks/externalLink84.xml"/><Relationship Id="rId105" Type="http://schemas.openxmlformats.org/officeDocument/2006/relationships/externalLink" Target="externalLinks/externalLink89.xml"/><Relationship Id="rId126" Type="http://schemas.openxmlformats.org/officeDocument/2006/relationships/externalLink" Target="externalLinks/externalLink110.xml"/><Relationship Id="rId147" Type="http://schemas.openxmlformats.org/officeDocument/2006/relationships/externalLink" Target="externalLinks/externalLink131.xml"/><Relationship Id="rId168" Type="http://schemas.openxmlformats.org/officeDocument/2006/relationships/externalLink" Target="externalLinks/externalLink15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93" Type="http://schemas.openxmlformats.org/officeDocument/2006/relationships/externalLink" Target="externalLinks/externalLink77.xml"/><Relationship Id="rId98" Type="http://schemas.openxmlformats.org/officeDocument/2006/relationships/externalLink" Target="externalLinks/externalLink82.xml"/><Relationship Id="rId121" Type="http://schemas.openxmlformats.org/officeDocument/2006/relationships/externalLink" Target="externalLinks/externalLink105.xml"/><Relationship Id="rId142" Type="http://schemas.openxmlformats.org/officeDocument/2006/relationships/externalLink" Target="externalLinks/externalLink126.xml"/><Relationship Id="rId163" Type="http://schemas.openxmlformats.org/officeDocument/2006/relationships/externalLink" Target="externalLinks/externalLink147.xml"/><Relationship Id="rId184" Type="http://schemas.openxmlformats.org/officeDocument/2006/relationships/externalLink" Target="externalLinks/externalLink168.xml"/><Relationship Id="rId189" Type="http://schemas.openxmlformats.org/officeDocument/2006/relationships/externalLink" Target="externalLinks/externalLink173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9.xml"/><Relationship Id="rId46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51.xml"/><Relationship Id="rId116" Type="http://schemas.openxmlformats.org/officeDocument/2006/relationships/externalLink" Target="externalLinks/externalLink100.xml"/><Relationship Id="rId137" Type="http://schemas.openxmlformats.org/officeDocument/2006/relationships/externalLink" Target="externalLinks/externalLink121.xml"/><Relationship Id="rId158" Type="http://schemas.openxmlformats.org/officeDocument/2006/relationships/externalLink" Target="externalLinks/externalLink14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62" Type="http://schemas.openxmlformats.org/officeDocument/2006/relationships/externalLink" Target="externalLinks/externalLink46.xml"/><Relationship Id="rId83" Type="http://schemas.openxmlformats.org/officeDocument/2006/relationships/externalLink" Target="externalLinks/externalLink67.xml"/><Relationship Id="rId88" Type="http://schemas.openxmlformats.org/officeDocument/2006/relationships/externalLink" Target="externalLinks/externalLink72.xml"/><Relationship Id="rId111" Type="http://schemas.openxmlformats.org/officeDocument/2006/relationships/externalLink" Target="externalLinks/externalLink95.xml"/><Relationship Id="rId132" Type="http://schemas.openxmlformats.org/officeDocument/2006/relationships/externalLink" Target="externalLinks/externalLink116.xml"/><Relationship Id="rId153" Type="http://schemas.openxmlformats.org/officeDocument/2006/relationships/externalLink" Target="externalLinks/externalLink137.xml"/><Relationship Id="rId174" Type="http://schemas.openxmlformats.org/officeDocument/2006/relationships/externalLink" Target="externalLinks/externalLink158.xml"/><Relationship Id="rId179" Type="http://schemas.openxmlformats.org/officeDocument/2006/relationships/externalLink" Target="externalLinks/externalLink163.xml"/><Relationship Id="rId195" Type="http://schemas.openxmlformats.org/officeDocument/2006/relationships/externalLink" Target="externalLinks/externalLink179.xml"/><Relationship Id="rId209" Type="http://schemas.openxmlformats.org/officeDocument/2006/relationships/externalLink" Target="externalLinks/externalLink193.xml"/><Relationship Id="rId190" Type="http://schemas.openxmlformats.org/officeDocument/2006/relationships/externalLink" Target="externalLinks/externalLink174.xml"/><Relationship Id="rId204" Type="http://schemas.openxmlformats.org/officeDocument/2006/relationships/externalLink" Target="externalLinks/externalLink188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41.xml"/><Relationship Id="rId106" Type="http://schemas.openxmlformats.org/officeDocument/2006/relationships/externalLink" Target="externalLinks/externalLink90.xml"/><Relationship Id="rId127" Type="http://schemas.openxmlformats.org/officeDocument/2006/relationships/externalLink" Target="externalLinks/externalLink11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36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94" Type="http://schemas.openxmlformats.org/officeDocument/2006/relationships/externalLink" Target="externalLinks/externalLink78.xml"/><Relationship Id="rId99" Type="http://schemas.openxmlformats.org/officeDocument/2006/relationships/externalLink" Target="externalLinks/externalLink83.xml"/><Relationship Id="rId101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6.xml"/><Relationship Id="rId143" Type="http://schemas.openxmlformats.org/officeDocument/2006/relationships/externalLink" Target="externalLinks/externalLink127.xml"/><Relationship Id="rId148" Type="http://schemas.openxmlformats.org/officeDocument/2006/relationships/externalLink" Target="externalLinks/externalLink132.xml"/><Relationship Id="rId164" Type="http://schemas.openxmlformats.org/officeDocument/2006/relationships/externalLink" Target="externalLinks/externalLink148.xml"/><Relationship Id="rId169" Type="http://schemas.openxmlformats.org/officeDocument/2006/relationships/externalLink" Target="externalLinks/externalLink153.xml"/><Relationship Id="rId185" Type="http://schemas.openxmlformats.org/officeDocument/2006/relationships/externalLink" Target="externalLinks/externalLink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4.xml"/><Relationship Id="rId210" Type="http://schemas.openxmlformats.org/officeDocument/2006/relationships/theme" Target="theme/theme1.xml"/><Relationship Id="rId26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31.xml"/><Relationship Id="rId68" Type="http://schemas.openxmlformats.org/officeDocument/2006/relationships/externalLink" Target="externalLinks/externalLink52.xml"/><Relationship Id="rId89" Type="http://schemas.openxmlformats.org/officeDocument/2006/relationships/externalLink" Target="externalLinks/externalLink73.xml"/><Relationship Id="rId112" Type="http://schemas.openxmlformats.org/officeDocument/2006/relationships/externalLink" Target="externalLinks/externalLink96.xml"/><Relationship Id="rId133" Type="http://schemas.openxmlformats.org/officeDocument/2006/relationships/externalLink" Target="externalLinks/externalLink117.xml"/><Relationship Id="rId154" Type="http://schemas.openxmlformats.org/officeDocument/2006/relationships/externalLink" Target="externalLinks/externalLink138.xml"/><Relationship Id="rId175" Type="http://schemas.openxmlformats.org/officeDocument/2006/relationships/externalLink" Target="externalLinks/externalLink159.xml"/><Relationship Id="rId196" Type="http://schemas.openxmlformats.org/officeDocument/2006/relationships/externalLink" Target="externalLinks/externalLink180.xml"/><Relationship Id="rId200" Type="http://schemas.openxmlformats.org/officeDocument/2006/relationships/externalLink" Target="externalLinks/externalLink184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42.xml"/><Relationship Id="rId79" Type="http://schemas.openxmlformats.org/officeDocument/2006/relationships/externalLink" Target="externalLinks/externalLink63.xml"/><Relationship Id="rId102" Type="http://schemas.openxmlformats.org/officeDocument/2006/relationships/externalLink" Target="externalLinks/externalLink86.xml"/><Relationship Id="rId123" Type="http://schemas.openxmlformats.org/officeDocument/2006/relationships/externalLink" Target="externalLinks/externalLink107.xml"/><Relationship Id="rId144" Type="http://schemas.openxmlformats.org/officeDocument/2006/relationships/externalLink" Target="externalLinks/externalLink128.xml"/><Relationship Id="rId90" Type="http://schemas.openxmlformats.org/officeDocument/2006/relationships/externalLink" Target="externalLinks/externalLink74.xml"/><Relationship Id="rId165" Type="http://schemas.openxmlformats.org/officeDocument/2006/relationships/externalLink" Target="externalLinks/externalLink149.xml"/><Relationship Id="rId186" Type="http://schemas.openxmlformats.org/officeDocument/2006/relationships/externalLink" Target="externalLinks/externalLink170.xml"/><Relationship Id="rId211" Type="http://schemas.openxmlformats.org/officeDocument/2006/relationships/styles" Target="styles.xml"/><Relationship Id="rId27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32.xml"/><Relationship Id="rId69" Type="http://schemas.openxmlformats.org/officeDocument/2006/relationships/externalLink" Target="externalLinks/externalLink53.xml"/><Relationship Id="rId113" Type="http://schemas.openxmlformats.org/officeDocument/2006/relationships/externalLink" Target="externalLinks/externalLink97.xml"/><Relationship Id="rId134" Type="http://schemas.openxmlformats.org/officeDocument/2006/relationships/externalLink" Target="externalLinks/externalLink118.xml"/><Relationship Id="rId80" Type="http://schemas.openxmlformats.org/officeDocument/2006/relationships/externalLink" Target="externalLinks/externalLink64.xml"/><Relationship Id="rId155" Type="http://schemas.openxmlformats.org/officeDocument/2006/relationships/externalLink" Target="externalLinks/externalLink139.xml"/><Relationship Id="rId176" Type="http://schemas.openxmlformats.org/officeDocument/2006/relationships/externalLink" Target="externalLinks/externalLink160.xml"/><Relationship Id="rId197" Type="http://schemas.openxmlformats.org/officeDocument/2006/relationships/externalLink" Target="externalLinks/externalLink181.xml"/><Relationship Id="rId201" Type="http://schemas.openxmlformats.org/officeDocument/2006/relationships/externalLink" Target="externalLinks/externalLink185.xml"/><Relationship Id="rId17" Type="http://schemas.openxmlformats.org/officeDocument/2006/relationships/externalLink" Target="externalLinks/externalLink1.xml"/><Relationship Id="rId38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43.xml"/><Relationship Id="rId103" Type="http://schemas.openxmlformats.org/officeDocument/2006/relationships/externalLink" Target="externalLinks/externalLink87.xml"/><Relationship Id="rId124" Type="http://schemas.openxmlformats.org/officeDocument/2006/relationships/externalLink" Target="externalLinks/externalLink108.xml"/><Relationship Id="rId70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5.xml"/><Relationship Id="rId145" Type="http://schemas.openxmlformats.org/officeDocument/2006/relationships/externalLink" Target="externalLinks/externalLink129.xml"/><Relationship Id="rId166" Type="http://schemas.openxmlformats.org/officeDocument/2006/relationships/externalLink" Target="externalLinks/externalLink150.xml"/><Relationship Id="rId187" Type="http://schemas.openxmlformats.org/officeDocument/2006/relationships/externalLink" Target="externalLinks/externalLink171.xml"/><Relationship Id="rId1" Type="http://schemas.openxmlformats.org/officeDocument/2006/relationships/worksheet" Target="worksheets/sheet1.xml"/><Relationship Id="rId212" Type="http://schemas.openxmlformats.org/officeDocument/2006/relationships/sharedStrings" Target="sharedStrings.xml"/><Relationship Id="rId28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33.xml"/><Relationship Id="rId114" Type="http://schemas.openxmlformats.org/officeDocument/2006/relationships/externalLink" Target="externalLinks/externalLink98.xml"/><Relationship Id="rId60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5.xml"/><Relationship Id="rId135" Type="http://schemas.openxmlformats.org/officeDocument/2006/relationships/externalLink" Target="externalLinks/externalLink119.xml"/><Relationship Id="rId156" Type="http://schemas.openxmlformats.org/officeDocument/2006/relationships/externalLink" Target="externalLinks/externalLink140.xml"/><Relationship Id="rId177" Type="http://schemas.openxmlformats.org/officeDocument/2006/relationships/externalLink" Target="externalLinks/externalLink161.xml"/><Relationship Id="rId198" Type="http://schemas.openxmlformats.org/officeDocument/2006/relationships/externalLink" Target="externalLinks/externalLink182.xml"/><Relationship Id="rId202" Type="http://schemas.openxmlformats.org/officeDocument/2006/relationships/externalLink" Target="externalLinks/externalLink186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4.xml"/><Relationship Id="rId104" Type="http://schemas.openxmlformats.org/officeDocument/2006/relationships/externalLink" Target="externalLinks/externalLink88.xml"/><Relationship Id="rId125" Type="http://schemas.openxmlformats.org/officeDocument/2006/relationships/externalLink" Target="externalLinks/externalLink109.xml"/><Relationship Id="rId146" Type="http://schemas.openxmlformats.org/officeDocument/2006/relationships/externalLink" Target="externalLinks/externalLink130.xml"/><Relationship Id="rId167" Type="http://schemas.openxmlformats.org/officeDocument/2006/relationships/externalLink" Target="externalLinks/externalLink151.xml"/><Relationship Id="rId188" Type="http://schemas.openxmlformats.org/officeDocument/2006/relationships/externalLink" Target="externalLinks/externalLink172.xml"/><Relationship Id="rId71" Type="http://schemas.openxmlformats.org/officeDocument/2006/relationships/externalLink" Target="externalLinks/externalLink55.xml"/><Relationship Id="rId92" Type="http://schemas.openxmlformats.org/officeDocument/2006/relationships/externalLink" Target="externalLinks/externalLink76.xml"/><Relationship Id="rId21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4.xml"/><Relationship Id="rId115" Type="http://schemas.openxmlformats.org/officeDocument/2006/relationships/externalLink" Target="externalLinks/externalLink99.xml"/><Relationship Id="rId136" Type="http://schemas.openxmlformats.org/officeDocument/2006/relationships/externalLink" Target="externalLinks/externalLink120.xml"/><Relationship Id="rId157" Type="http://schemas.openxmlformats.org/officeDocument/2006/relationships/externalLink" Target="externalLinks/externalLink141.xml"/><Relationship Id="rId178" Type="http://schemas.openxmlformats.org/officeDocument/2006/relationships/externalLink" Target="externalLinks/externalLink162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9" Type="http://schemas.openxmlformats.org/officeDocument/2006/relationships/externalLink" Target="externalLinks/externalLink183.xml"/><Relationship Id="rId203" Type="http://schemas.openxmlformats.org/officeDocument/2006/relationships/externalLink" Target="externalLinks/externalLink187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os%20Genera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eva-2000\Presu2000\EEFF-2000\Loreto\BG02%202000I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uditoria\PPO2004\Inversiones_20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DEP\27pse-OECF-II\SPres-resumen\Pr-21\RpCH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DEP\27pse-OECF-II\SPres-resumen\Pr-21\RpC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DEP\27pse-OECF-II\SPres-resumen\Pr-21\RpC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ce\DEP\27pse-OECF-II\SPres-resumen\Pr-21\RpCH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A%20DE%20ARMADOS%20RS%20COLCA%20II%20ETAPA%20FINAL%20FI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atos%20Generale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c\PRESU_98\Presu98-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e\DEP\27pse-OECF-II\SPres-resumen\Pr-21\RpCH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GV\GESTION%202002\PPTO-2002\DECRETO%20DE%20URGENCIA\PSE%20SANDIA%20II\DEP\27pse-OECF-II\SPres-resumen\Pr-21\RpCH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HUARIACA\CD-PSE%20HUARIACA\PSE%20HUARIACA%20II\LINEAS%20y%20REDES%20PRIMARIAS\VOL%20-%202\DEP\27pse-OECF-II\SPres-resumen\Pr-21\RpCH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3006E2\RpCH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d\DEP\27pse-OECF-II\SPres-resumen\Pr-21\RpCHI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IMMY\CONFIG~1\Temp\Rar$DI00.812\Previo%20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dor\Mis%20documentos\Grupo%203\Grupo3%20LP\01.-%20CORONGO%20II\Presup-LP6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4%20-%20GRUPO%202%20-%20MEM-DGER%20-%20LP%20N&#186;%20.1-2009\PSE'S\CALCULO%20DEL%20ADELANTO%20MATERIALES%20VALOR%20REFER.%20ELET_RURAL%20GRUPO%2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PERFILES_TOMA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PERFILES_TOMA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A5E386\RpCH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ME.TP%20V7\ME%20FACTIBILIDAD\LOCALIDADDELSIR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trado%20y%20Presupuesto%20DMS%20CUSCO%202009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P-FINAL-UNI-DIPLOMADO-2004-energia-hass\anexos%202.1,%202.2,%202.3,%202.4,%202.5,%203.17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c37\Configuraci&#243;n%20local\Temp\criterio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cevedo.DEP\Mis%20documentos\Grupo%201\Proyecto%2001\Secci&#243;n%20II\REDES%20PRIMARIAS\-Presupuesto%20RP%20%20Proy%20%20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EP\27pse-OECF-II\SPres-resumen\Pr-21\RpCHI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C\GAGO\PARAMETROS_JIMBE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d\DEP\27pse-OECF-II\SPres-resumen\Pr-21\RpCHI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ANEXO%2006%20-%20CONSORCIO%20IMPERIO%20AS%20012-2021-DGER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HINOS~1.CES\CONFIG~1\Temp\PSE%20POMATA%20II%20Y%20III%20ETAPA\VALORIZACIONES\DEP\27pse-OECF-II\SPres-resumen\Pr-21\RpCHI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C\GAGO\PARAMETROS_JIMBE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rt\CTGART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DM_LP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S\DM_RS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YECTO\ENPROCES\VARIOS\AYAC-SFR\COYM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Presupuesto%20RESUMEN%20-%20Grupo%2013%20(Entregado%2011-02-2012)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bajo%20oficina\CUI%20N&#176;%202543630%20PAMPAROMAS%20a%20mayo%202022%20(FINAL)\Volumen%204%20(Anteproyecto)\SECCION%20II%20(Metrado%20y%20Valor%20Referencial)\4.0%20Metrdo%20y%20Valor%20Referencial\VR%20LP_RP_RS_SFV(c)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2A.%20Anteproyecto-NSeasme\S2%20Valor%20Refer\Anexo%20Inversion%20de%20activos%20P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ltimo%20-%20revidar\tasas%20de%20Crecimiento%2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bra%20POU\Valor%20Referencial%20-%20POU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ICONSA\+Distribuci&#243;n\DEP%20PSE%202004%20al%202006\PSE%20Huancan&#233;\Informe-04-73locl\+CD-Ed-final\PARTE1.LP\V2-METR.PRE\Jimbe-Pamparomas%20II%20Etapa\PRIMARIA\VOLUMEN%20II\RP_JIMBE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7CF4B5\Jimbe-Pamparo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nvitadodep\Mis%20documentos\Grupo3\VALOR%20REFERENCIAL%20E.R.%20GRUPO%202\1.%20Presup%20RP%20ZONA%20NORTE%20-%20GRUPO%201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ul%20Rios\Downloads\Desktop\Libro1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01\eeff%20-%202000\Consolidado\BG11%20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0698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microsoft.com/office/2006/relationships/xlExternalLinkPath/xlStartup" Target="_Yauyos/2%20%20INVENTARIO/CONFORME%20A%20OBRA/REDES%20SECUNDARIAS/INVENTARIO%20%20%20RS%20EST%20x%20EST%20%20parte%20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coarite\AppData\Local\Microsoft\Windows\Temporary%20Internet%20Files\Content.Outlook\2IJRVBR2\RED%20SECUNDARIA\6_Metrado%20Presupuesto\PRESUPUESTO_AMPLIACION%20RED%20SECUNDARIA%20JULIACA\FONDO%20NATIVIDAD%20CCACACHI%20SAB-0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LP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RP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2">
          <cell r="A32">
            <v>291.76157740901851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>RESUMEN GENERAL ( REDES SECUNDARIAS Y CONEXIONES DOMICILIARIAS)</v>
          </cell>
        </row>
        <row r="6">
          <cell r="E6" t="str">
            <v>Presup. Base : S/.</v>
          </cell>
        </row>
        <row r="8">
          <cell r="G8" t="str">
            <v>CON LEVANTAMIENTO TOPOGRAFICO</v>
          </cell>
        </row>
        <row r="12">
          <cell r="G12" t="str">
            <v>SIN LEVANTAMIENTO TOPOGRAFICO</v>
          </cell>
        </row>
        <row r="17">
          <cell r="G17" t="str">
            <v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</sheetNames>
    <sheetDataSet>
      <sheetData sheetId="0" refreshError="1">
        <row r="2">
          <cell r="D2" t="str">
            <v>: PSE TARAPOTO  I ETAPA y RS</v>
          </cell>
        </row>
        <row r="28">
          <cell r="D28" t="str">
            <v>REDES SECUNDARIAS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27">
          <cell r="D27" t="str">
            <v>RED PRIMARIA EN 22,9/13,2 KV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 refreshError="1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RESUMEN OOCC"/>
      <sheetName val="HIDRANDINA"/>
      <sheetName val="FlujoTJ"/>
      <sheetName val="RESUMEN_OO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DATOS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>ELECTRIFICACIÓN DE 19 LOCALIDADES DEL VALLE DEL ALTO MAYO -JURISDICCIÓN DE LOS DISTRITOS DE JEPELACIO Y MOYOBAMBA, PROVINCIA DE MOYOBAMBA, DEPARTAMENTO DE SAN MARTÍN</v>
          </cell>
          <cell r="D85" t="str">
            <v>SAN MARTIN</v>
          </cell>
          <cell r="E85" t="str">
            <v>SERPLUS</v>
          </cell>
        </row>
        <row r="86">
          <cell r="B86">
            <v>4</v>
          </cell>
          <cell r="C86" t="str">
            <v>ELECTRIFICACIÓN DEL VALLE DEL ALTO MAYO - LOCALIDADES DE RIOJA Y MOYOBAMBA, JURISDICCIÓN DE LA PROVINCIA DE RIOJA Y MOYOBAMBA, DEPARTAMENTO DE SAN MARTÍN</v>
          </cell>
          <cell r="D86" t="str">
            <v>SAN MARTIN</v>
          </cell>
          <cell r="E86" t="str">
            <v>SERPLUS</v>
          </cell>
        </row>
        <row r="87">
          <cell r="B87">
            <v>5</v>
          </cell>
          <cell r="C87" t="str">
            <v>ELECTRIFICACIÓN RURAL DEL VALLE DEL ALTO MAYO, SECTORES SORITOR Y YORONGOS, JURISDICCIÓN DE LAS PROVINCIAS DE MOYOBAMBA Y RIOJA, DEPARTAMENTO DE SAN MARTÍN</v>
          </cell>
          <cell r="D87" t="str">
            <v>SAN MARTIN</v>
          </cell>
          <cell r="E87" t="str">
            <v>SERPLUS</v>
          </cell>
        </row>
        <row r="88">
          <cell r="B88">
            <v>6</v>
          </cell>
          <cell r="C88" t="str">
            <v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>SISTEMA ELECTRICO RURAL OTUZCO V ETAPA</v>
          </cell>
          <cell r="D92" t="str">
            <v>LA LIBERTAD</v>
          </cell>
          <cell r="E92" t="str">
            <v>RANDA</v>
          </cell>
        </row>
        <row r="93">
          <cell r="B93">
            <v>11</v>
          </cell>
          <cell r="C93" t="str">
            <v>SISTEMA ELECTRICO RURAL OTUZCO IV ETAPA</v>
          </cell>
          <cell r="D93" t="str">
            <v>LA LIBERTAD</v>
          </cell>
          <cell r="E93" t="str">
            <v>RANDA</v>
          </cell>
        </row>
        <row r="94">
          <cell r="B94">
            <v>12</v>
          </cell>
          <cell r="C94" t="str">
            <v>SISTEMA ELECTRICO RURAL HUAMACHUCO III ETAPA</v>
          </cell>
          <cell r="D94" t="str">
            <v>LA LIBERTAD</v>
          </cell>
          <cell r="E94" t="str">
            <v>RANDA</v>
          </cell>
        </row>
        <row r="95">
          <cell r="B95">
            <v>13</v>
          </cell>
          <cell r="C95" t="str">
            <v>SISTEMA ELECTRICO RURAL TAYABAMBA-HUANCASPATA V ETAPA</v>
          </cell>
          <cell r="D95" t="str">
            <v>LA LIBERTAD</v>
          </cell>
          <cell r="E95" t="str">
            <v>RANDA</v>
          </cell>
        </row>
        <row r="96">
          <cell r="B96">
            <v>14</v>
          </cell>
          <cell r="C96" t="str">
            <v>SISTEMA ELÉCTRICO RURAL HUACRACHUCO III ETAPA</v>
          </cell>
          <cell r="D96" t="str">
            <v>LA LIBERTAD Y  HUÁNUCO</v>
          </cell>
          <cell r="E96" t="str">
            <v>RANDA</v>
          </cell>
        </row>
        <row r="97">
          <cell r="B97">
            <v>15</v>
          </cell>
          <cell r="C97" t="str">
            <v>SISTEMA ELÉCTRICO RURAL TOCACHE III ETAPA</v>
          </cell>
          <cell r="D97" t="str">
            <v>SAN MARTIN</v>
          </cell>
          <cell r="E97" t="str">
            <v>SERPLUS</v>
          </cell>
        </row>
        <row r="98">
          <cell r="B98">
            <v>16</v>
          </cell>
          <cell r="C98" t="str">
            <v>SISTEMA ELÉCTRICO RURAL TOCACHE II ETAPA</v>
          </cell>
          <cell r="D98" t="str">
            <v>SAN MARTIN</v>
          </cell>
          <cell r="E98" t="str">
            <v>SERPLUS</v>
          </cell>
        </row>
        <row r="99">
          <cell r="B99">
            <v>17</v>
          </cell>
          <cell r="C99" t="str">
            <v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>13/300 SECC    (u)</v>
          </cell>
          <cell r="AX3" t="str">
            <v>13/400 SECC    (u)</v>
          </cell>
          <cell r="AY3" t="str">
            <v>RS
SI VA   
NO VA</v>
          </cell>
          <cell r="AZ3" t="str">
            <v>Poste de Madera de B.T.
(u)</v>
          </cell>
          <cell r="BA3" t="str">
            <v>Conductor Red Secundaria
(km)</v>
          </cell>
          <cell r="BB3" t="str">
            <v>Conexión Domiciliaria
(u)</v>
          </cell>
          <cell r="BC3" t="str">
            <v>Poste de Concreto de B.T.
(u)</v>
          </cell>
          <cell r="BD3" t="str">
            <v>Armado
(u)</v>
          </cell>
          <cell r="BE3" t="str">
            <v>Pastoral
(u)</v>
          </cell>
          <cell r="BF3" t="str">
            <v>Retenidas
(u)</v>
          </cell>
          <cell r="BG3" t="str">
            <v>CIMENTACIÓN DE POSTES DE CAC</v>
          </cell>
          <cell r="BH3" t="str">
            <v>Postes de CAC 
(SI/NO)</v>
          </cell>
          <cell r="BI3" t="str">
            <v>Postes de MAD         &lt;4 km           (SI/NO)</v>
          </cell>
          <cell r="BJ3" t="str">
            <v>Postes de MAD         &lt;8 km           (SI/NO)</v>
          </cell>
          <cell r="BK3" t="str">
            <v>Postes de MAD         &lt;12 km           (SI/NO)</v>
          </cell>
          <cell r="BL3" t="str">
            <v>Postes de MAD         &lt;16 km           (SI/NO)</v>
          </cell>
          <cell r="BM3" t="str">
            <v>Postes de MAD         &lt;20 km           (SI/NO)</v>
          </cell>
          <cell r="BN3" t="str">
            <v>Postes de MAD         &lt;24 km           (SI/NO)</v>
          </cell>
          <cell r="BO3" t="str">
            <v>Postes de MAD         &lt;28 km           (SI/NO)</v>
          </cell>
          <cell r="BP3" t="str">
            <v>Postes de MAD         &lt;32 km           (SI/NO)</v>
          </cell>
          <cell r="BQ3" t="str">
            <v>Postes de MAD         &lt;36 km           (SI/NO)</v>
          </cell>
          <cell r="BR3" t="str">
            <v>Retenidas (Bloque de concreto)        (SI/NO)</v>
          </cell>
          <cell r="BS3" t="str">
            <v>Ferreterias de Retenidas             (SI/NO)</v>
          </cell>
          <cell r="BT3" t="str">
            <v>Ferreterias para Armados        (SI/NO)</v>
          </cell>
          <cell r="BU3" t="str">
            <v>Conduct. Autosoportado                    (SI/NO)</v>
          </cell>
          <cell r="BV3" t="str">
            <v>Ferreterias para PAT            (SI/NO)</v>
          </cell>
          <cell r="BW3" t="str">
            <v>Ferreterias para Pastorales            (SI/NO)</v>
          </cell>
          <cell r="BX3" t="str">
            <v>Medidor y Portamedidor                (SI/NO)</v>
          </cell>
          <cell r="BY3" t="str">
            <v>Ferretería para Conex. Domicil.        (SI/NO)</v>
          </cell>
          <cell r="BZ3" t="str">
            <v>RETENIDA  DOBLE CON ÁNGULO DE 15° A 75°</v>
          </cell>
          <cell r="CA3" t="str">
            <v>RETENIDA SIMPLE</v>
          </cell>
          <cell r="CB3" t="str">
            <v>para la cimentación de Postes y Retenidas</v>
          </cell>
          <cell r="CC3" t="str">
            <v>Poste    (m3)</v>
          </cell>
          <cell r="CD3" t="str">
            <v>Retenida    (m3)</v>
          </cell>
          <cell r="CE3" t="str">
            <v>PAT    (m3)</v>
          </cell>
          <cell r="CF3" t="str">
            <v>8/200    (u)</v>
          </cell>
          <cell r="CG3" t="str">
            <v>8/300    (u)</v>
          </cell>
          <cell r="CH3" t="str">
            <v>9/200    (u)</v>
          </cell>
          <cell r="CI3" t="str">
            <v>9/300    (u)</v>
          </cell>
          <cell r="CJ3" t="str">
            <v>11/200    (u)</v>
          </cell>
          <cell r="CK3" t="str">
            <v>Lámpa-ra         de AP    (Watts)</v>
          </cell>
          <cell r="CL3" t="str">
            <v>AP en Poste CAC 11m    (u)</v>
          </cell>
          <cell r="CM3" t="str">
            <v>AP en Poste CAC 12m    (u)</v>
          </cell>
          <cell r="CN3" t="str">
            <v>AP en Poste CAC 13m    (u)</v>
          </cell>
          <cell r="CO3" t="str">
            <v>Empalme T</v>
          </cell>
          <cell r="CP3" t="str">
            <v>Empalme +</v>
          </cell>
          <cell r="CQ3" t="str">
            <v>Extensores                (u)</v>
          </cell>
          <cell r="CR3" t="str">
            <v>Sin Murete     (u)</v>
          </cell>
          <cell r="CS3" t="str">
            <v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#¡REF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CAP-120mm2"/>
      <sheetName val="CAP_120mm2"/>
      <sheetName val="Datos Generales"/>
      <sheetName val="PLANILLA-MET"/>
      <sheetName val="POBLACION"/>
      <sheetName val="Impuestos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>Consorcio Cosapi-SSK.</v>
          </cell>
        </row>
        <row r="2">
          <cell r="A2" t="str">
            <v>Ampliación de la Concentradora Toquepala a 60K TMPD</v>
          </cell>
        </row>
        <row r="4">
          <cell r="A4" t="str">
            <v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>. G. 1.01.0</v>
          </cell>
          <cell r="B7">
            <v>1</v>
          </cell>
        </row>
        <row r="8">
          <cell r="A8" t="str">
            <v>. G. 1.02.0</v>
          </cell>
          <cell r="B8">
            <v>1</v>
          </cell>
        </row>
        <row r="9">
          <cell r="A9" t="str">
            <v>. G. 1.03.0</v>
          </cell>
          <cell r="B9">
            <v>1</v>
          </cell>
        </row>
        <row r="10">
          <cell r="A10" t="str">
            <v>. G. 1.04.0</v>
          </cell>
          <cell r="B10">
            <v>1</v>
          </cell>
        </row>
        <row r="11">
          <cell r="A11" t="str">
            <v>. G. 1.05.0</v>
          </cell>
          <cell r="B11">
            <v>1</v>
          </cell>
        </row>
        <row r="12">
          <cell r="A12" t="str">
            <v>. G. 1.06.0</v>
          </cell>
          <cell r="B12">
            <v>1</v>
          </cell>
        </row>
        <row r="13">
          <cell r="A13" t="str">
            <v>. G. 1.07.0</v>
          </cell>
          <cell r="B13">
            <v>1</v>
          </cell>
        </row>
        <row r="14">
          <cell r="A14" t="str">
            <v>. G. 1.08.0</v>
          </cell>
          <cell r="B14">
            <v>1</v>
          </cell>
        </row>
        <row r="15">
          <cell r="A15" t="str">
            <v>A . 1. 1.01.</v>
          </cell>
          <cell r="B15">
            <v>1</v>
          </cell>
        </row>
        <row r="16">
          <cell r="A16" t="str">
            <v>A . 1. 1.01.01</v>
          </cell>
          <cell r="B16">
            <v>1.46</v>
          </cell>
        </row>
        <row r="17">
          <cell r="A17" t="str">
            <v>A . 1. 1.02.</v>
          </cell>
          <cell r="B17">
            <v>1</v>
          </cell>
        </row>
        <row r="18">
          <cell r="A18" t="str">
            <v>A . 1. 1.03.</v>
          </cell>
          <cell r="B18">
            <v>746.38</v>
          </cell>
        </row>
        <row r="19">
          <cell r="A19" t="str">
            <v>A . 1. 1.03.01</v>
          </cell>
          <cell r="B19">
            <v>908.5</v>
          </cell>
        </row>
        <row r="20">
          <cell r="A20" t="str">
            <v>A . 1. 1.04.</v>
          </cell>
          <cell r="B20">
            <v>672.19</v>
          </cell>
        </row>
        <row r="21">
          <cell r="A21" t="str">
            <v>A . 1. 1.05.</v>
          </cell>
          <cell r="B21">
            <v>111.74</v>
          </cell>
        </row>
        <row r="22">
          <cell r="A22" t="str">
            <v>A . 1. 1.06.</v>
          </cell>
          <cell r="B22">
            <v>8.67</v>
          </cell>
        </row>
        <row r="23">
          <cell r="A23" t="str">
            <v>A . 1. 1.07.</v>
          </cell>
          <cell r="B23">
            <v>20.91</v>
          </cell>
        </row>
        <row r="24">
          <cell r="A24" t="str">
            <v>A . 1. 1.08.</v>
          </cell>
          <cell r="B24">
            <v>71.55</v>
          </cell>
        </row>
        <row r="25">
          <cell r="A25" t="str">
            <v>A . 1. 1.09.</v>
          </cell>
          <cell r="B25">
            <v>325.39999999999998</v>
          </cell>
        </row>
        <row r="26">
          <cell r="A26" t="str">
            <v>A . 1. 1.10.</v>
          </cell>
          <cell r="B26">
            <v>219.17</v>
          </cell>
        </row>
        <row r="27">
          <cell r="A27" t="str">
            <v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>A . 1. 2.  .</v>
          </cell>
          <cell r="B29">
            <v>0</v>
          </cell>
        </row>
        <row r="30">
          <cell r="A30" t="str">
            <v>A . 1. 2. 1.</v>
          </cell>
          <cell r="B30">
            <v>8.77</v>
          </cell>
        </row>
        <row r="31">
          <cell r="A31" t="str">
            <v>A . 1. 2. 2.</v>
          </cell>
          <cell r="B31">
            <v>2.88</v>
          </cell>
        </row>
        <row r="32">
          <cell r="A32" t="str">
            <v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>A . 1. 3.  .</v>
          </cell>
          <cell r="B34">
            <v>0</v>
          </cell>
        </row>
        <row r="35">
          <cell r="A35" t="str">
            <v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>A . 1. 4.  .</v>
          </cell>
          <cell r="B37">
            <v>0</v>
          </cell>
        </row>
        <row r="38">
          <cell r="A38" t="str">
            <v>A . 1. 4.01.</v>
          </cell>
          <cell r="B38">
            <v>27.2</v>
          </cell>
        </row>
        <row r="39">
          <cell r="A39" t="str">
            <v>A . 1. 4.02.</v>
          </cell>
          <cell r="B39">
            <v>4.01</v>
          </cell>
        </row>
        <row r="40">
          <cell r="A40" t="str">
            <v>A . 1. 4.03.</v>
          </cell>
          <cell r="B40">
            <v>1</v>
          </cell>
        </row>
        <row r="41">
          <cell r="A41" t="str">
            <v>A . 1. 4.04.</v>
          </cell>
          <cell r="B41">
            <v>0</v>
          </cell>
        </row>
        <row r="42">
          <cell r="A42" t="str">
            <v>A . 1. 4.05.</v>
          </cell>
          <cell r="B42">
            <v>2</v>
          </cell>
        </row>
        <row r="43">
          <cell r="A43" t="str">
            <v>A . 1. 4.06.</v>
          </cell>
          <cell r="B43">
            <v>3</v>
          </cell>
        </row>
        <row r="44">
          <cell r="A44" t="str">
            <v>A . 1. 4.07.</v>
          </cell>
          <cell r="B44">
            <v>95.4</v>
          </cell>
        </row>
        <row r="45">
          <cell r="A45" t="str">
            <v>A . 1. 4.08.</v>
          </cell>
          <cell r="B45">
            <v>1</v>
          </cell>
        </row>
        <row r="46">
          <cell r="A46" t="str">
            <v>A . 1. 4.09.</v>
          </cell>
          <cell r="B46">
            <v>1</v>
          </cell>
        </row>
        <row r="47">
          <cell r="A47" t="str">
            <v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>A . 1. 5.  .</v>
          </cell>
          <cell r="B49">
            <v>0</v>
          </cell>
        </row>
        <row r="50">
          <cell r="A50" t="str">
            <v>A . 1. 5.01.</v>
          </cell>
          <cell r="B50">
            <v>83.92</v>
          </cell>
        </row>
        <row r="51">
          <cell r="A51" t="str">
            <v>A . 1. 5.02.</v>
          </cell>
          <cell r="B51">
            <v>3.16</v>
          </cell>
        </row>
        <row r="52">
          <cell r="A52" t="str">
            <v>A . 1. 5.03.</v>
          </cell>
          <cell r="B52">
            <v>395.35</v>
          </cell>
        </row>
        <row r="53">
          <cell r="A53" t="str">
            <v>A . 1. 5.04.</v>
          </cell>
          <cell r="B53">
            <v>0</v>
          </cell>
        </row>
        <row r="54">
          <cell r="A54" t="str">
            <v>A . 1. 5.05.</v>
          </cell>
          <cell r="B54">
            <v>144.31</v>
          </cell>
        </row>
        <row r="55">
          <cell r="A55" t="str">
            <v>A . 1. 5.06.</v>
          </cell>
          <cell r="B55">
            <v>4</v>
          </cell>
        </row>
        <row r="56">
          <cell r="A56" t="str">
            <v>A . 1. 5.07.</v>
          </cell>
          <cell r="B56">
            <v>8</v>
          </cell>
        </row>
        <row r="57">
          <cell r="A57" t="str">
            <v>A . 1. 5.08.</v>
          </cell>
          <cell r="B57">
            <v>7</v>
          </cell>
        </row>
        <row r="58">
          <cell r="A58" t="str">
            <v>A . 1. 5.09.</v>
          </cell>
          <cell r="B58">
            <v>144.31</v>
          </cell>
        </row>
        <row r="59">
          <cell r="A59" t="str">
            <v>A . 1. 5.10.</v>
          </cell>
          <cell r="B59">
            <v>23.47</v>
          </cell>
        </row>
        <row r="60">
          <cell r="A60" t="str">
            <v>A . 1. 5.11.</v>
          </cell>
          <cell r="B60">
            <v>8.57</v>
          </cell>
        </row>
        <row r="61">
          <cell r="A61" t="str">
            <v>A . 1. 5.12.</v>
          </cell>
          <cell r="B61">
            <v>0</v>
          </cell>
        </row>
        <row r="62">
          <cell r="A62" t="str">
            <v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>A . 1. 6.  .</v>
          </cell>
          <cell r="B64">
            <v>0</v>
          </cell>
        </row>
        <row r="65">
          <cell r="A65" t="str">
            <v>A . 1. 6.01.</v>
          </cell>
          <cell r="B65">
            <v>32</v>
          </cell>
        </row>
        <row r="66">
          <cell r="A66" t="str">
            <v>A . 1. 6.02.</v>
          </cell>
          <cell r="B66">
            <v>192</v>
          </cell>
        </row>
        <row r="67">
          <cell r="A67" t="str">
            <v>A . 1. 6.03.</v>
          </cell>
          <cell r="B67">
            <v>214.4</v>
          </cell>
        </row>
        <row r="68">
          <cell r="A68" t="str">
            <v>A . 1. 6.04.</v>
          </cell>
          <cell r="B68">
            <v>269.39999999999998</v>
          </cell>
        </row>
        <row r="69">
          <cell r="A69" t="str">
            <v>A . 1. 6.05.</v>
          </cell>
          <cell r="B69">
            <v>14</v>
          </cell>
        </row>
        <row r="70">
          <cell r="A70" t="str">
            <v>A . 1. 6.06.</v>
          </cell>
          <cell r="B70">
            <v>34</v>
          </cell>
        </row>
        <row r="71">
          <cell r="A71" t="str">
            <v>A . 1. 6.07.</v>
          </cell>
          <cell r="B71">
            <v>424.8</v>
          </cell>
        </row>
        <row r="72">
          <cell r="A72" t="str">
            <v>A . 1. 6.08.</v>
          </cell>
          <cell r="B72">
            <v>4218</v>
          </cell>
        </row>
        <row r="73">
          <cell r="A73" t="str">
            <v>A . 1. 6.09.</v>
          </cell>
          <cell r="B73">
            <v>2754.1</v>
          </cell>
        </row>
        <row r="74">
          <cell r="A74" t="str">
            <v>A . 1. 6.10.</v>
          </cell>
          <cell r="B74">
            <v>538.5</v>
          </cell>
        </row>
        <row r="75">
          <cell r="A75" t="str">
            <v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>A . 1. 7.  .</v>
          </cell>
          <cell r="B77">
            <v>0</v>
          </cell>
        </row>
        <row r="78">
          <cell r="A78" t="str">
            <v>A . 1. 7.01.</v>
          </cell>
          <cell r="B78">
            <v>25</v>
          </cell>
        </row>
        <row r="79">
          <cell r="A79" t="str">
            <v>A . 1. 7.02.</v>
          </cell>
          <cell r="B79">
            <v>0</v>
          </cell>
        </row>
        <row r="80">
          <cell r="A80" t="str">
            <v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>A . 1. 8.  .</v>
          </cell>
          <cell r="B82">
            <v>0</v>
          </cell>
        </row>
        <row r="83">
          <cell r="A83" t="str">
            <v>A . 1. 8.01.</v>
          </cell>
          <cell r="B83">
            <v>1</v>
          </cell>
        </row>
        <row r="84">
          <cell r="A84" t="str">
            <v>A . 1. 8.02.</v>
          </cell>
          <cell r="B84">
            <v>1</v>
          </cell>
        </row>
        <row r="85">
          <cell r="A85" t="str">
            <v>A . 1. 8.03.</v>
          </cell>
          <cell r="B85">
            <v>1</v>
          </cell>
        </row>
        <row r="86">
          <cell r="A86" t="str">
            <v>A . 1. 8.04.</v>
          </cell>
          <cell r="B86">
            <v>1</v>
          </cell>
        </row>
        <row r="87">
          <cell r="A87" t="str">
            <v>A . 1. 8.05.</v>
          </cell>
          <cell r="B87">
            <v>1</v>
          </cell>
        </row>
        <row r="88">
          <cell r="A88" t="str">
            <v>A . 1. 8.06.</v>
          </cell>
          <cell r="B88">
            <v>1</v>
          </cell>
        </row>
        <row r="89">
          <cell r="A89" t="str">
            <v>A . 1. 8.07.</v>
          </cell>
          <cell r="B89">
            <v>1</v>
          </cell>
        </row>
        <row r="90">
          <cell r="A90" t="str">
            <v>A . 1. 8.08.</v>
          </cell>
          <cell r="B90">
            <v>1</v>
          </cell>
        </row>
        <row r="91">
          <cell r="A91" t="str">
            <v>A . 1. 8.09.</v>
          </cell>
          <cell r="B91">
            <v>1</v>
          </cell>
        </row>
        <row r="92">
          <cell r="A92" t="str">
            <v>A . 1. 8.10.</v>
          </cell>
          <cell r="B92">
            <v>1</v>
          </cell>
        </row>
        <row r="93">
          <cell r="A93" t="str">
            <v>A . 1. 8.11.</v>
          </cell>
          <cell r="B93">
            <v>1</v>
          </cell>
        </row>
        <row r="94">
          <cell r="A94" t="str">
            <v>A . 1. 8.12.</v>
          </cell>
          <cell r="B94">
            <v>1</v>
          </cell>
        </row>
        <row r="95">
          <cell r="A95" t="str">
            <v>A . 1. 8.13.</v>
          </cell>
          <cell r="B95">
            <v>1</v>
          </cell>
        </row>
        <row r="96">
          <cell r="A96" t="str">
            <v>A . 1. 8.14.</v>
          </cell>
          <cell r="B96">
            <v>1</v>
          </cell>
        </row>
        <row r="97">
          <cell r="A97" t="str">
            <v>A . 1. 8.15.</v>
          </cell>
          <cell r="B97">
            <v>1</v>
          </cell>
        </row>
        <row r="98">
          <cell r="A98" t="str">
            <v>A . 1. 8.16.</v>
          </cell>
          <cell r="B98">
            <v>1</v>
          </cell>
        </row>
        <row r="99">
          <cell r="A99" t="str">
            <v>A . 1. 8.17.</v>
          </cell>
          <cell r="B99">
            <v>1</v>
          </cell>
        </row>
        <row r="100">
          <cell r="A100" t="str">
            <v>A . 1. 8.18.</v>
          </cell>
          <cell r="B100">
            <v>1</v>
          </cell>
        </row>
        <row r="101">
          <cell r="A101" t="str">
            <v>A . 1. 8.19.</v>
          </cell>
          <cell r="B101">
            <v>1</v>
          </cell>
        </row>
        <row r="102">
          <cell r="A102" t="str">
            <v>A . 1. 8.20.</v>
          </cell>
          <cell r="B102">
            <v>1</v>
          </cell>
        </row>
        <row r="103">
          <cell r="A103" t="str">
            <v>A . 1. 8.21.</v>
          </cell>
          <cell r="B103">
            <v>1</v>
          </cell>
        </row>
        <row r="104">
          <cell r="A104" t="str">
            <v>A . 1. 8.22.</v>
          </cell>
          <cell r="B104">
            <v>1</v>
          </cell>
        </row>
        <row r="105">
          <cell r="A105" t="str">
            <v>A . 1. 8.23.</v>
          </cell>
          <cell r="B105">
            <v>1</v>
          </cell>
        </row>
        <row r="106">
          <cell r="A106" t="str">
            <v>A . 1. 8.24.</v>
          </cell>
          <cell r="B106">
            <v>1</v>
          </cell>
        </row>
        <row r="107">
          <cell r="A107" t="str">
            <v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>A . 2. 0.  .</v>
          </cell>
          <cell r="B109">
            <v>0</v>
          </cell>
        </row>
        <row r="110">
          <cell r="A110" t="str">
            <v>A . 2. 1.00.</v>
          </cell>
          <cell r="B110">
            <v>0</v>
          </cell>
        </row>
        <row r="111">
          <cell r="A111" t="str">
            <v>A . 2. 1.01.</v>
          </cell>
          <cell r="B111">
            <v>313.89999999999998</v>
          </cell>
        </row>
        <row r="112">
          <cell r="A112" t="str">
            <v>A . 2. 1.02.</v>
          </cell>
          <cell r="B112">
            <v>28.42</v>
          </cell>
        </row>
        <row r="113">
          <cell r="A113" t="str">
            <v>A . 2. 1.03.</v>
          </cell>
          <cell r="B113">
            <v>955.31</v>
          </cell>
        </row>
        <row r="114">
          <cell r="A114" t="str">
            <v>A . 2. 1.04.</v>
          </cell>
          <cell r="B114">
            <v>4389.3900000000003</v>
          </cell>
        </row>
        <row r="115">
          <cell r="A115" t="str">
            <v>A . 2. 1.05.</v>
          </cell>
          <cell r="B115">
            <v>69.89</v>
          </cell>
        </row>
        <row r="116">
          <cell r="A116" t="str">
            <v>A . 2. 1.05.01</v>
          </cell>
          <cell r="B116">
            <v>528.15</v>
          </cell>
        </row>
        <row r="117">
          <cell r="A117" t="str">
            <v>A . 2. 1.06.</v>
          </cell>
          <cell r="B117">
            <v>2048.89</v>
          </cell>
        </row>
        <row r="118">
          <cell r="A118" t="str">
            <v>A . 2. 1.07.</v>
          </cell>
          <cell r="B118">
            <v>109.26</v>
          </cell>
        </row>
        <row r="119">
          <cell r="A119" t="str">
            <v>A . 2. 1.08.</v>
          </cell>
          <cell r="B119">
            <v>686.91</v>
          </cell>
        </row>
        <row r="120">
          <cell r="A120" t="str">
            <v>A . 2. 1.09.</v>
          </cell>
          <cell r="B120">
            <v>58.03</v>
          </cell>
        </row>
        <row r="121">
          <cell r="A121" t="str">
            <v>A . 2. 1.10.</v>
          </cell>
          <cell r="B121">
            <v>330.38</v>
          </cell>
        </row>
        <row r="122">
          <cell r="A122" t="str">
            <v>A . 2. 1.11.</v>
          </cell>
          <cell r="B122">
            <v>833.01</v>
          </cell>
        </row>
        <row r="123">
          <cell r="A123" t="str">
            <v>A . 2. 1.12.</v>
          </cell>
          <cell r="B123">
            <v>87.94</v>
          </cell>
        </row>
        <row r="124">
          <cell r="A124" t="str">
            <v>A . 2. 1.13.</v>
          </cell>
          <cell r="B124">
            <v>475.31</v>
          </cell>
        </row>
        <row r="125">
          <cell r="A125" t="str">
            <v>A . 2. 1.14.</v>
          </cell>
          <cell r="B125">
            <v>15.76</v>
          </cell>
        </row>
        <row r="126">
          <cell r="A126" t="str">
            <v>A . 2. 1.15.</v>
          </cell>
          <cell r="B126">
            <v>0</v>
          </cell>
        </row>
        <row r="127">
          <cell r="A127" t="str">
            <v>A . 2. 1.16.</v>
          </cell>
          <cell r="B127">
            <v>0</v>
          </cell>
        </row>
        <row r="128">
          <cell r="A128" t="str">
            <v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>A . 2. 2.  .</v>
          </cell>
          <cell r="B130">
            <v>0</v>
          </cell>
        </row>
        <row r="131">
          <cell r="A131" t="str">
            <v>A . 2. 2. 1.</v>
          </cell>
          <cell r="B131">
            <v>279.83</v>
          </cell>
        </row>
        <row r="132">
          <cell r="A132" t="str">
            <v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>A . 2. 3.00.</v>
          </cell>
          <cell r="B136">
            <v>0</v>
          </cell>
        </row>
        <row r="137">
          <cell r="A137" t="str">
            <v>A . 2. 3.01.</v>
          </cell>
          <cell r="B137">
            <v>1893.48</v>
          </cell>
        </row>
        <row r="138">
          <cell r="A138" t="str">
            <v>A . 2. 3.02.</v>
          </cell>
          <cell r="B138">
            <v>417.95</v>
          </cell>
        </row>
        <row r="139">
          <cell r="A139" t="str">
            <v>A . 2. 3.03.</v>
          </cell>
          <cell r="B139">
            <v>171.25</v>
          </cell>
        </row>
        <row r="140">
          <cell r="A140" t="str">
            <v>A . 2. 3.04.</v>
          </cell>
          <cell r="B140">
            <v>4</v>
          </cell>
        </row>
        <row r="141">
          <cell r="A141" t="str">
            <v>A . 2. 3.05.</v>
          </cell>
          <cell r="B141">
            <v>4</v>
          </cell>
        </row>
        <row r="142">
          <cell r="A142" t="str">
            <v>A . 2. 3.06.</v>
          </cell>
          <cell r="B142">
            <v>42.6</v>
          </cell>
        </row>
        <row r="143">
          <cell r="A143" t="str">
            <v>A . 2. 3.07.</v>
          </cell>
          <cell r="B143">
            <v>0</v>
          </cell>
        </row>
        <row r="144">
          <cell r="A144" t="str">
            <v>A . 2. 3.08.</v>
          </cell>
          <cell r="B144">
            <v>32.92</v>
          </cell>
        </row>
        <row r="145">
          <cell r="A145" t="str">
            <v>A . 2. 3.09.</v>
          </cell>
          <cell r="B145">
            <v>2</v>
          </cell>
        </row>
        <row r="146">
          <cell r="A146" t="str">
            <v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>A . 2. 4.  .</v>
          </cell>
          <cell r="B148">
            <v>0</v>
          </cell>
        </row>
        <row r="149">
          <cell r="A149" t="str">
            <v>A . 2. 4.01.</v>
          </cell>
          <cell r="B149">
            <v>174.42</v>
          </cell>
        </row>
        <row r="150">
          <cell r="A150" t="str">
            <v>A . 2. 4.02.</v>
          </cell>
          <cell r="B150">
            <v>21.66</v>
          </cell>
        </row>
        <row r="151">
          <cell r="A151" t="str">
            <v>A . 2. 4.03.</v>
          </cell>
          <cell r="B151">
            <v>4</v>
          </cell>
        </row>
        <row r="152">
          <cell r="A152" t="str">
            <v>A . 2. 4.04.</v>
          </cell>
          <cell r="B152">
            <v>0</v>
          </cell>
        </row>
        <row r="153">
          <cell r="A153" t="str">
            <v>A . 2. 4.05.</v>
          </cell>
          <cell r="B153">
            <v>3</v>
          </cell>
        </row>
        <row r="154">
          <cell r="A154" t="str">
            <v>A . 2. 4.06.</v>
          </cell>
          <cell r="B154">
            <v>3</v>
          </cell>
        </row>
        <row r="155">
          <cell r="A155" t="str">
            <v>A . 2. 4.07.</v>
          </cell>
          <cell r="B155">
            <v>0</v>
          </cell>
        </row>
        <row r="156">
          <cell r="A156" t="str">
            <v>A . 2. 4.08.</v>
          </cell>
          <cell r="B156">
            <v>4</v>
          </cell>
        </row>
        <row r="157">
          <cell r="A157" t="str">
            <v>A . 2. 4.09.</v>
          </cell>
          <cell r="B157">
            <v>2</v>
          </cell>
        </row>
        <row r="158">
          <cell r="A158" t="str">
            <v>A . 2. 4.10.</v>
          </cell>
          <cell r="B158">
            <v>7</v>
          </cell>
        </row>
        <row r="159">
          <cell r="A159" t="str">
            <v>A . 2. 4.11.</v>
          </cell>
          <cell r="B159">
            <v>1</v>
          </cell>
        </row>
        <row r="160">
          <cell r="A160" t="str">
            <v>A . 2. 4.12.</v>
          </cell>
          <cell r="B160">
            <v>2</v>
          </cell>
        </row>
        <row r="161">
          <cell r="A161" t="str">
            <v>A . 2. 4.13.</v>
          </cell>
          <cell r="B161">
            <v>3</v>
          </cell>
        </row>
        <row r="162">
          <cell r="A162" t="str">
            <v>A . 2. 4.14.</v>
          </cell>
          <cell r="B162">
            <v>0</v>
          </cell>
        </row>
        <row r="163">
          <cell r="A163" t="str">
            <v>A . 2. 4.15.</v>
          </cell>
          <cell r="B163">
            <v>1</v>
          </cell>
        </row>
        <row r="164">
          <cell r="A164" t="str">
            <v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>A . 2. 5.  .</v>
          </cell>
          <cell r="B166">
            <v>0</v>
          </cell>
        </row>
        <row r="167">
          <cell r="A167" t="str">
            <v>A . 2. 5.01.01</v>
          </cell>
          <cell r="B167">
            <v>209.16</v>
          </cell>
        </row>
        <row r="168">
          <cell r="A168" t="str">
            <v>A . 2. 5.01.</v>
          </cell>
          <cell r="B168">
            <v>315.68</v>
          </cell>
        </row>
        <row r="169">
          <cell r="A169" t="str">
            <v>A . 2. 5.02.</v>
          </cell>
          <cell r="B169">
            <v>0</v>
          </cell>
        </row>
        <row r="170">
          <cell r="A170" t="str">
            <v>A . 2. 5.03.</v>
          </cell>
          <cell r="B170">
            <v>72.45</v>
          </cell>
        </row>
        <row r="171">
          <cell r="A171" t="str">
            <v>A . 2. 5.04.</v>
          </cell>
          <cell r="B171">
            <v>192.89</v>
          </cell>
        </row>
        <row r="172">
          <cell r="A172" t="str">
            <v>A . 2. 5.05.</v>
          </cell>
          <cell r="B172">
            <v>0</v>
          </cell>
        </row>
        <row r="173">
          <cell r="A173" t="str">
            <v>A . 2. 5.06.</v>
          </cell>
          <cell r="B173">
            <v>5386.38</v>
          </cell>
        </row>
        <row r="174">
          <cell r="A174" t="str">
            <v>A . 2. 5.07.</v>
          </cell>
          <cell r="B174">
            <v>872.41</v>
          </cell>
        </row>
        <row r="175">
          <cell r="A175" t="str">
            <v>A . 2. 5.08.</v>
          </cell>
          <cell r="B175">
            <v>9</v>
          </cell>
        </row>
        <row r="176">
          <cell r="A176" t="str">
            <v>A . 2. 5.09.</v>
          </cell>
          <cell r="B176">
            <v>872.41</v>
          </cell>
        </row>
        <row r="177">
          <cell r="A177" t="str">
            <v>A . 2. 5.10.</v>
          </cell>
          <cell r="B177">
            <v>60.71</v>
          </cell>
        </row>
        <row r="178">
          <cell r="A178" t="str">
            <v>A . 2. 5.11.</v>
          </cell>
          <cell r="B178">
            <v>21.53</v>
          </cell>
        </row>
        <row r="179">
          <cell r="A179" t="str">
            <v>A . 2. 5.12.</v>
          </cell>
          <cell r="B179">
            <v>11</v>
          </cell>
        </row>
        <row r="180">
          <cell r="A180" t="str">
            <v>A . 2. 5.14.</v>
          </cell>
          <cell r="B180">
            <v>47</v>
          </cell>
        </row>
        <row r="181">
          <cell r="A181" t="str">
            <v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>A . 2. 6.  .</v>
          </cell>
          <cell r="B183">
            <v>0</v>
          </cell>
        </row>
        <row r="184">
          <cell r="A184" t="str">
            <v>A . 2. 6.01.</v>
          </cell>
          <cell r="B184">
            <v>2</v>
          </cell>
        </row>
        <row r="185">
          <cell r="A185" t="str">
            <v>A . 2. 6.02.</v>
          </cell>
          <cell r="B185">
            <v>2</v>
          </cell>
        </row>
        <row r="186">
          <cell r="A186" t="str">
            <v>A . 2. 6.03.</v>
          </cell>
          <cell r="B186">
            <v>8</v>
          </cell>
        </row>
        <row r="187">
          <cell r="A187" t="str">
            <v>A . 2. 6.04.</v>
          </cell>
          <cell r="B187">
            <v>2</v>
          </cell>
        </row>
        <row r="188">
          <cell r="A188" t="str">
            <v>A . 2. 6.05.</v>
          </cell>
          <cell r="B188">
            <v>2</v>
          </cell>
        </row>
        <row r="189">
          <cell r="A189" t="str">
            <v>A . 2. 6.06.</v>
          </cell>
          <cell r="B189">
            <v>0</v>
          </cell>
        </row>
        <row r="190">
          <cell r="A190" t="str">
            <v>A . 2. 6.07.</v>
          </cell>
          <cell r="B190">
            <v>34</v>
          </cell>
        </row>
        <row r="191">
          <cell r="A191" t="str">
            <v>A . 2. 6.08.</v>
          </cell>
          <cell r="B191">
            <v>6</v>
          </cell>
        </row>
        <row r="192">
          <cell r="A192" t="str">
            <v>A . 2. 6.09.</v>
          </cell>
          <cell r="B192">
            <v>132</v>
          </cell>
        </row>
        <row r="193">
          <cell r="A193" t="str">
            <v>A . 2. 6.10.</v>
          </cell>
          <cell r="B193">
            <v>2</v>
          </cell>
        </row>
        <row r="194">
          <cell r="A194" t="str">
            <v>A . 2. 6.11.</v>
          </cell>
          <cell r="B194">
            <v>51.2</v>
          </cell>
        </row>
        <row r="195">
          <cell r="A195" t="str">
            <v>A . 2. 6.12.</v>
          </cell>
          <cell r="B195">
            <v>776.6</v>
          </cell>
        </row>
        <row r="196">
          <cell r="A196" t="str">
            <v>A . 2. 6.12.01</v>
          </cell>
          <cell r="B196">
            <v>468</v>
          </cell>
        </row>
        <row r="197">
          <cell r="A197" t="str">
            <v>A . 2. 6.13.</v>
          </cell>
          <cell r="B197">
            <v>1390.9</v>
          </cell>
        </row>
        <row r="198">
          <cell r="A198" t="str">
            <v>A . 2. 6.14.</v>
          </cell>
          <cell r="B198">
            <v>1997.17</v>
          </cell>
        </row>
        <row r="199">
          <cell r="A199" t="str">
            <v>A . 2. 6.15.</v>
          </cell>
          <cell r="B199">
            <v>153</v>
          </cell>
        </row>
        <row r="200">
          <cell r="A200" t="str">
            <v>A . 2. 6.15.01</v>
          </cell>
          <cell r="B200">
            <v>690</v>
          </cell>
        </row>
        <row r="201">
          <cell r="A201" t="str">
            <v>A . 2. 6.16.</v>
          </cell>
          <cell r="B201">
            <v>67.099999999999994</v>
          </cell>
        </row>
        <row r="202">
          <cell r="A202" t="str">
            <v>A . 2. 6.17.</v>
          </cell>
          <cell r="B202">
            <v>450.8</v>
          </cell>
        </row>
        <row r="203">
          <cell r="A203" t="str">
            <v>A . 2. 6.18.</v>
          </cell>
          <cell r="B203">
            <v>7304.9</v>
          </cell>
        </row>
        <row r="204">
          <cell r="A204" t="str">
            <v>A . 2. 6.19.</v>
          </cell>
          <cell r="B204">
            <v>9106.5</v>
          </cell>
        </row>
        <row r="205">
          <cell r="A205" t="str">
            <v>A . 2. 6.20.</v>
          </cell>
          <cell r="B205">
            <v>3013</v>
          </cell>
        </row>
        <row r="206">
          <cell r="A206" t="str">
            <v>A . 2. 6.21.</v>
          </cell>
          <cell r="B206">
            <v>5416</v>
          </cell>
        </row>
        <row r="207">
          <cell r="A207" t="str">
            <v>A . 2. 6.22.</v>
          </cell>
          <cell r="B207">
            <v>6324.8</v>
          </cell>
        </row>
        <row r="208">
          <cell r="A208" t="str">
            <v>A . 2. 6.23.</v>
          </cell>
          <cell r="B208">
            <v>2574.5</v>
          </cell>
        </row>
        <row r="209">
          <cell r="A209" t="str">
            <v>A . 2. 6.24.</v>
          </cell>
          <cell r="B209">
            <v>2562</v>
          </cell>
        </row>
        <row r="210">
          <cell r="A210" t="str">
            <v>A . 2. 6.25.</v>
          </cell>
          <cell r="B210">
            <v>33</v>
          </cell>
        </row>
        <row r="211">
          <cell r="A211" t="str">
            <v>A . 2. 6.26.</v>
          </cell>
          <cell r="B211">
            <v>0</v>
          </cell>
        </row>
        <row r="212">
          <cell r="A212" t="str">
            <v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>A . 2. 7.  .</v>
          </cell>
          <cell r="B214">
            <v>0</v>
          </cell>
        </row>
        <row r="215">
          <cell r="A215" t="str">
            <v>A . 2. 7.01.</v>
          </cell>
          <cell r="B215">
            <v>62</v>
          </cell>
        </row>
        <row r="216">
          <cell r="A216" t="str">
            <v>A . 2. 7.02.</v>
          </cell>
          <cell r="B216">
            <v>1</v>
          </cell>
        </row>
        <row r="217">
          <cell r="A217" t="str">
            <v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>A . 2. 8.  .</v>
          </cell>
          <cell r="B219">
            <v>0</v>
          </cell>
        </row>
        <row r="220">
          <cell r="A220" t="str">
            <v>A . 2. 8.01.</v>
          </cell>
          <cell r="B220">
            <v>1</v>
          </cell>
        </row>
        <row r="221">
          <cell r="A221" t="str">
            <v>A . 2. 8.02.</v>
          </cell>
          <cell r="B221">
            <v>1</v>
          </cell>
        </row>
        <row r="222">
          <cell r="A222" t="str">
            <v>A . 2. 8.03.</v>
          </cell>
          <cell r="B222">
            <v>1</v>
          </cell>
        </row>
        <row r="223">
          <cell r="A223" t="str">
            <v>A . 2. 8.04.</v>
          </cell>
          <cell r="B223">
            <v>1</v>
          </cell>
        </row>
        <row r="224">
          <cell r="A224" t="str">
            <v>A . 2. 8.05.</v>
          </cell>
          <cell r="B224">
            <v>1</v>
          </cell>
        </row>
        <row r="225">
          <cell r="A225" t="str">
            <v>A . 2. 8.06.</v>
          </cell>
          <cell r="B225">
            <v>1</v>
          </cell>
        </row>
        <row r="226">
          <cell r="A226" t="str">
            <v>A . 2. 8.07.</v>
          </cell>
          <cell r="B226">
            <v>1</v>
          </cell>
        </row>
        <row r="227">
          <cell r="A227" t="str">
            <v>A . 2. 8.08.</v>
          </cell>
          <cell r="B227">
            <v>1</v>
          </cell>
        </row>
        <row r="228">
          <cell r="A228" t="str">
            <v>A . 2. 8.09.</v>
          </cell>
          <cell r="B228">
            <v>1</v>
          </cell>
        </row>
        <row r="229">
          <cell r="A229" t="str">
            <v>A . 2. 8.10.</v>
          </cell>
          <cell r="B229">
            <v>1</v>
          </cell>
        </row>
        <row r="230">
          <cell r="A230" t="str">
            <v>A . 2. 8.11.</v>
          </cell>
          <cell r="B230">
            <v>1</v>
          </cell>
        </row>
        <row r="231">
          <cell r="A231" t="str">
            <v>A . 2. 8.12.</v>
          </cell>
          <cell r="B231">
            <v>1</v>
          </cell>
        </row>
        <row r="232">
          <cell r="A232" t="str">
            <v>A . 2. 8.13.</v>
          </cell>
          <cell r="B232">
            <v>1</v>
          </cell>
        </row>
        <row r="233">
          <cell r="A233" t="str">
            <v>A . 2. 8.14.</v>
          </cell>
          <cell r="B233">
            <v>1</v>
          </cell>
        </row>
        <row r="234">
          <cell r="A234" t="str">
            <v>A . 2. 8.15.</v>
          </cell>
          <cell r="B234">
            <v>1</v>
          </cell>
        </row>
        <row r="235">
          <cell r="A235" t="str">
            <v>A . 2. 8.16.</v>
          </cell>
          <cell r="B235">
            <v>1</v>
          </cell>
        </row>
        <row r="236">
          <cell r="A236" t="str">
            <v>A . 2. 8.17.</v>
          </cell>
          <cell r="B236">
            <v>1</v>
          </cell>
        </row>
        <row r="237">
          <cell r="A237" t="str">
            <v>A . 2. 8.18.</v>
          </cell>
          <cell r="B237">
            <v>1</v>
          </cell>
        </row>
        <row r="238">
          <cell r="A238" t="str">
            <v>A . 2. 8.19.</v>
          </cell>
          <cell r="B238">
            <v>1</v>
          </cell>
        </row>
        <row r="239">
          <cell r="A239" t="str">
            <v>A . 2. 8.20.</v>
          </cell>
          <cell r="B239">
            <v>1</v>
          </cell>
        </row>
        <row r="240">
          <cell r="A240" t="str">
            <v>A . 2. 8.21.</v>
          </cell>
          <cell r="B240">
            <v>1</v>
          </cell>
        </row>
        <row r="241">
          <cell r="A241" t="str">
            <v>A . 2. 8.22.</v>
          </cell>
          <cell r="B241">
            <v>1</v>
          </cell>
        </row>
        <row r="242">
          <cell r="A242" t="str">
            <v>A . 2. 8.23.</v>
          </cell>
          <cell r="B242">
            <v>1</v>
          </cell>
        </row>
        <row r="243">
          <cell r="A243" t="str">
            <v>A . 2. 8.24.</v>
          </cell>
          <cell r="B243">
            <v>1</v>
          </cell>
        </row>
        <row r="244">
          <cell r="A244" t="str">
            <v>A . 2. 8.25.</v>
          </cell>
          <cell r="B244">
            <v>1</v>
          </cell>
        </row>
        <row r="245">
          <cell r="A245" t="str">
            <v>A . 2. 8.26.</v>
          </cell>
          <cell r="B245">
            <v>1</v>
          </cell>
        </row>
        <row r="246">
          <cell r="A246" t="str">
            <v>A . 2. 8.27.</v>
          </cell>
          <cell r="B246">
            <v>1</v>
          </cell>
        </row>
        <row r="247">
          <cell r="A247" t="str">
            <v>A . 2. 8.28.</v>
          </cell>
          <cell r="B247">
            <v>1</v>
          </cell>
        </row>
        <row r="248">
          <cell r="A248" t="str">
            <v>A . 2. 8.29.</v>
          </cell>
          <cell r="B248">
            <v>1</v>
          </cell>
        </row>
        <row r="249">
          <cell r="A249" t="str">
            <v>A . 2. 8.30.</v>
          </cell>
          <cell r="B249">
            <v>1</v>
          </cell>
        </row>
        <row r="250">
          <cell r="A250" t="str">
            <v>A . 2. 8.31.</v>
          </cell>
          <cell r="B250">
            <v>1</v>
          </cell>
        </row>
        <row r="251">
          <cell r="A251" t="str">
            <v>A . 2. 8.32.</v>
          </cell>
          <cell r="B251">
            <v>1</v>
          </cell>
        </row>
        <row r="252">
          <cell r="A252" t="str">
            <v>A . 2. 8.33.</v>
          </cell>
          <cell r="B252">
            <v>1</v>
          </cell>
        </row>
        <row r="253">
          <cell r="A253" t="str">
            <v>A . 2. 8.34.</v>
          </cell>
          <cell r="B253">
            <v>1</v>
          </cell>
        </row>
        <row r="254">
          <cell r="A254" t="str">
            <v>A . 2. 8.35.</v>
          </cell>
          <cell r="B254">
            <v>1</v>
          </cell>
        </row>
        <row r="255">
          <cell r="A255" t="str">
            <v>A . 2. 8.36.</v>
          </cell>
          <cell r="B255">
            <v>1</v>
          </cell>
        </row>
        <row r="256">
          <cell r="A256" t="str">
            <v>A . 2. 8.37.</v>
          </cell>
          <cell r="B256">
            <v>1</v>
          </cell>
        </row>
        <row r="257">
          <cell r="A257" t="str">
            <v>A . 2. 8.38.</v>
          </cell>
          <cell r="B257">
            <v>1</v>
          </cell>
        </row>
        <row r="258">
          <cell r="A258" t="str">
            <v>A . 2. 8.39.</v>
          </cell>
          <cell r="B258">
            <v>1</v>
          </cell>
        </row>
        <row r="259">
          <cell r="A259" t="str">
            <v>A . 2. 8.40.</v>
          </cell>
          <cell r="B259">
            <v>1</v>
          </cell>
        </row>
        <row r="260">
          <cell r="A260" t="str">
            <v>A . 2. 8.41.</v>
          </cell>
          <cell r="B260">
            <v>1</v>
          </cell>
        </row>
        <row r="261">
          <cell r="A261" t="str">
            <v>A . 2. 8.42.</v>
          </cell>
          <cell r="B261">
            <v>1</v>
          </cell>
        </row>
        <row r="262">
          <cell r="A262" t="str">
            <v>A . 2. 8.43.</v>
          </cell>
          <cell r="B262">
            <v>1</v>
          </cell>
        </row>
        <row r="263">
          <cell r="A263" t="str">
            <v>A . 2. 8.44.</v>
          </cell>
          <cell r="B263">
            <v>1</v>
          </cell>
        </row>
        <row r="264">
          <cell r="A264" t="str">
            <v>A . 2. 8.45.</v>
          </cell>
          <cell r="B264">
            <v>1</v>
          </cell>
        </row>
        <row r="265">
          <cell r="A265" t="str">
            <v>A . 2. 8.46.</v>
          </cell>
          <cell r="B265">
            <v>1</v>
          </cell>
        </row>
        <row r="266">
          <cell r="A266" t="str">
            <v>A . 2. 8.47.</v>
          </cell>
          <cell r="B266">
            <v>1</v>
          </cell>
        </row>
        <row r="267">
          <cell r="A267" t="str">
            <v>A . 2. 8.48.</v>
          </cell>
          <cell r="B267">
            <v>1</v>
          </cell>
        </row>
        <row r="268">
          <cell r="A268" t="str">
            <v>A . 2. 8.49.</v>
          </cell>
          <cell r="B268">
            <v>1</v>
          </cell>
        </row>
        <row r="269">
          <cell r="A269" t="str">
            <v>A . 2. 8.50.</v>
          </cell>
          <cell r="B269">
            <v>1</v>
          </cell>
        </row>
        <row r="270">
          <cell r="A270" t="str">
            <v>A . 2. 8.51.</v>
          </cell>
          <cell r="B270">
            <v>1</v>
          </cell>
        </row>
        <row r="271">
          <cell r="A271" t="str">
            <v>A . 2. 8.52.</v>
          </cell>
          <cell r="B271">
            <v>1</v>
          </cell>
        </row>
        <row r="272">
          <cell r="A272" t="str">
            <v>A . 2. 8.53.</v>
          </cell>
          <cell r="B272">
            <v>1</v>
          </cell>
        </row>
        <row r="273">
          <cell r="A273" t="str">
            <v>A . 2. 8.54.</v>
          </cell>
          <cell r="B273">
            <v>1</v>
          </cell>
        </row>
        <row r="274">
          <cell r="A274" t="str">
            <v>A . 2. 8.55.</v>
          </cell>
          <cell r="B274">
            <v>1</v>
          </cell>
        </row>
        <row r="275">
          <cell r="A275" t="str">
            <v>A . 2. 8.56.</v>
          </cell>
          <cell r="B275">
            <v>1</v>
          </cell>
        </row>
        <row r="276">
          <cell r="A276" t="str">
            <v>A . 2. 8.57.</v>
          </cell>
          <cell r="B276">
            <v>1</v>
          </cell>
        </row>
        <row r="277">
          <cell r="A277" t="str">
            <v>A . 2. 8.58.</v>
          </cell>
          <cell r="B277">
            <v>1</v>
          </cell>
        </row>
        <row r="278">
          <cell r="A278" t="str">
            <v>A . 2. 8.59.</v>
          </cell>
          <cell r="B278">
            <v>1</v>
          </cell>
        </row>
        <row r="279">
          <cell r="A279" t="str">
            <v>A . 2. 8.60.</v>
          </cell>
          <cell r="B279">
            <v>1</v>
          </cell>
        </row>
        <row r="280">
          <cell r="A280" t="str">
            <v>A . 2. 8.61.</v>
          </cell>
          <cell r="B280">
            <v>1</v>
          </cell>
        </row>
        <row r="281">
          <cell r="A281" t="str">
            <v>A . 2. 8.62.</v>
          </cell>
          <cell r="B281">
            <v>1</v>
          </cell>
        </row>
        <row r="282">
          <cell r="A282" t="str">
            <v>A . 2. 8.63.</v>
          </cell>
          <cell r="B282">
            <v>1</v>
          </cell>
        </row>
        <row r="283">
          <cell r="A283" t="str">
            <v>A . 2. 8.64.</v>
          </cell>
          <cell r="B283">
            <v>1</v>
          </cell>
        </row>
        <row r="284">
          <cell r="A284" t="str">
            <v>A . 2. 8.65.</v>
          </cell>
          <cell r="B284">
            <v>1</v>
          </cell>
        </row>
        <row r="285">
          <cell r="A285" t="str">
            <v>A . 2. 8.66.</v>
          </cell>
          <cell r="B285">
            <v>1</v>
          </cell>
        </row>
        <row r="286">
          <cell r="A286" t="str">
            <v>A . 2. 8.67.</v>
          </cell>
          <cell r="B286">
            <v>1</v>
          </cell>
        </row>
        <row r="287">
          <cell r="A287" t="str">
            <v>A . 2. 8.68.</v>
          </cell>
          <cell r="B287">
            <v>1</v>
          </cell>
        </row>
        <row r="288">
          <cell r="A288" t="str">
            <v>A . 2. 8.69.</v>
          </cell>
          <cell r="B288">
            <v>1</v>
          </cell>
        </row>
        <row r="289">
          <cell r="A289" t="str">
            <v>A . 2. 8.70.</v>
          </cell>
          <cell r="B289">
            <v>1</v>
          </cell>
        </row>
        <row r="290">
          <cell r="A290" t="str">
            <v>A . 2. 8.71.</v>
          </cell>
          <cell r="B290">
            <v>1</v>
          </cell>
        </row>
        <row r="291">
          <cell r="A291" t="str">
            <v>A . 2. 8.72.</v>
          </cell>
          <cell r="B291">
            <v>1</v>
          </cell>
        </row>
        <row r="292">
          <cell r="A292" t="str">
            <v>A . 2. 8.73.</v>
          </cell>
          <cell r="B292">
            <v>1</v>
          </cell>
        </row>
        <row r="293">
          <cell r="A293" t="str">
            <v>A . 2. 8.74.</v>
          </cell>
          <cell r="B293">
            <v>1</v>
          </cell>
        </row>
        <row r="294">
          <cell r="A294" t="str">
            <v>A . 2. 8.75.</v>
          </cell>
          <cell r="B294">
            <v>1</v>
          </cell>
        </row>
        <row r="295">
          <cell r="A295" t="str">
            <v>A . 2. 8.76.</v>
          </cell>
          <cell r="B295">
            <v>1</v>
          </cell>
        </row>
        <row r="296">
          <cell r="A296" t="str">
            <v>A . 2. 8.77.</v>
          </cell>
          <cell r="B296">
            <v>1</v>
          </cell>
        </row>
        <row r="297">
          <cell r="A297" t="str">
            <v>A . 2. 8.78.</v>
          </cell>
          <cell r="B297">
            <v>1</v>
          </cell>
        </row>
        <row r="298">
          <cell r="A298" t="str">
            <v>A . 2. 8.79.</v>
          </cell>
          <cell r="B298">
            <v>1</v>
          </cell>
        </row>
        <row r="299">
          <cell r="A299" t="str">
            <v>A . 2. 8.80.</v>
          </cell>
          <cell r="B299">
            <v>1</v>
          </cell>
        </row>
        <row r="300">
          <cell r="A300" t="str">
            <v>A . 2. 8.81.</v>
          </cell>
          <cell r="B300">
            <v>1</v>
          </cell>
        </row>
        <row r="301">
          <cell r="A301" t="str">
            <v>A . 2. 8.82.</v>
          </cell>
          <cell r="B301">
            <v>1</v>
          </cell>
        </row>
        <row r="302">
          <cell r="A302" t="str">
            <v>A . 2. 8.83.</v>
          </cell>
          <cell r="B302">
            <v>1</v>
          </cell>
        </row>
        <row r="303">
          <cell r="A303" t="str">
            <v>A . 2. 8.84.</v>
          </cell>
          <cell r="B303">
            <v>1</v>
          </cell>
        </row>
        <row r="304">
          <cell r="A304" t="str">
            <v>A . 2. 8.85.</v>
          </cell>
          <cell r="B304">
            <v>1</v>
          </cell>
        </row>
        <row r="305">
          <cell r="A305" t="str">
            <v>A . 2. 8.86.</v>
          </cell>
          <cell r="B305">
            <v>1</v>
          </cell>
        </row>
        <row r="306">
          <cell r="A306" t="str">
            <v>A . 2. 8.87.</v>
          </cell>
          <cell r="B306">
            <v>1</v>
          </cell>
        </row>
        <row r="307">
          <cell r="A307" t="str">
            <v>A . 2. 8.88.</v>
          </cell>
          <cell r="B307">
            <v>1</v>
          </cell>
        </row>
        <row r="308">
          <cell r="A308" t="str">
            <v>A . 2. 8.89.</v>
          </cell>
          <cell r="B308">
            <v>1</v>
          </cell>
        </row>
        <row r="309">
          <cell r="A309" t="str">
            <v>A . 2. 8.90.</v>
          </cell>
          <cell r="B309">
            <v>1</v>
          </cell>
        </row>
        <row r="310">
          <cell r="A310" t="str">
            <v>A . 2. 8.91.</v>
          </cell>
          <cell r="B310">
            <v>1</v>
          </cell>
        </row>
        <row r="311">
          <cell r="A311" t="str">
            <v>A . 2. 8.92.</v>
          </cell>
          <cell r="B311">
            <v>1</v>
          </cell>
        </row>
        <row r="312">
          <cell r="A312" t="str">
            <v>A . 2. 8.93.</v>
          </cell>
          <cell r="B312">
            <v>1</v>
          </cell>
        </row>
        <row r="313">
          <cell r="A313" t="str">
            <v>A . 2. 8.94.</v>
          </cell>
          <cell r="B313">
            <v>1</v>
          </cell>
        </row>
        <row r="314">
          <cell r="A314" t="str">
            <v>A . 2. 8.95.</v>
          </cell>
          <cell r="B314">
            <v>1</v>
          </cell>
        </row>
        <row r="315">
          <cell r="A315" t="str">
            <v>A . 2. 8.96.</v>
          </cell>
          <cell r="B315">
            <v>1</v>
          </cell>
        </row>
        <row r="316">
          <cell r="A316" t="str">
            <v>A . 2. 8.97.</v>
          </cell>
          <cell r="B316">
            <v>1</v>
          </cell>
        </row>
        <row r="317">
          <cell r="A317" t="str">
            <v>A . 2. 8.98.</v>
          </cell>
          <cell r="B317">
            <v>1</v>
          </cell>
        </row>
        <row r="318">
          <cell r="A318" t="str">
            <v>A . 2. 8.99.</v>
          </cell>
          <cell r="B318">
            <v>1</v>
          </cell>
        </row>
        <row r="319">
          <cell r="A319" t="str">
            <v>A . 2. 8.100.</v>
          </cell>
          <cell r="B319">
            <v>1</v>
          </cell>
        </row>
        <row r="320">
          <cell r="A320" t="str">
            <v>A . 2. 8.101.</v>
          </cell>
          <cell r="B320">
            <v>1</v>
          </cell>
        </row>
        <row r="321">
          <cell r="A321" t="str">
            <v>A . 2. 8.102.</v>
          </cell>
          <cell r="B321">
            <v>1</v>
          </cell>
        </row>
        <row r="322">
          <cell r="A322" t="str">
            <v>A . 2. 8.103.</v>
          </cell>
          <cell r="B322">
            <v>1</v>
          </cell>
        </row>
        <row r="323">
          <cell r="A323" t="str">
            <v>A . 2. 8.104.</v>
          </cell>
          <cell r="B323">
            <v>1</v>
          </cell>
        </row>
        <row r="324">
          <cell r="A324" t="str">
            <v>A . 2. 8.105.</v>
          </cell>
          <cell r="B324">
            <v>1</v>
          </cell>
        </row>
        <row r="325">
          <cell r="A325" t="str">
            <v>A . 2. 8.106.</v>
          </cell>
          <cell r="B325">
            <v>1</v>
          </cell>
        </row>
        <row r="326">
          <cell r="A326" t="str">
            <v>A . 2. 8.107.</v>
          </cell>
          <cell r="B326">
            <v>1</v>
          </cell>
        </row>
        <row r="327">
          <cell r="A327" t="str">
            <v>A . 2. 8.108.</v>
          </cell>
          <cell r="B327">
            <v>1</v>
          </cell>
        </row>
        <row r="328">
          <cell r="A328" t="str">
            <v>A . 2. 8.109.</v>
          </cell>
          <cell r="B328">
            <v>1</v>
          </cell>
        </row>
        <row r="329">
          <cell r="A329" t="str">
            <v>A . 2. 8.110.</v>
          </cell>
          <cell r="B329">
            <v>1</v>
          </cell>
        </row>
        <row r="330">
          <cell r="A330" t="str">
            <v>A . 2. 8.111.</v>
          </cell>
          <cell r="B330">
            <v>1</v>
          </cell>
        </row>
        <row r="331">
          <cell r="A331" t="str">
            <v>A . 2. 8.112.</v>
          </cell>
          <cell r="B331">
            <v>1</v>
          </cell>
        </row>
        <row r="332">
          <cell r="A332" t="str">
            <v>A . 2. 8.113.</v>
          </cell>
          <cell r="B332">
            <v>1</v>
          </cell>
        </row>
        <row r="333">
          <cell r="A333" t="str">
            <v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>A . 3. 0.  .</v>
          </cell>
          <cell r="B335">
            <v>0</v>
          </cell>
        </row>
        <row r="336">
          <cell r="A336" t="str">
            <v>A . 3. 1.00.</v>
          </cell>
          <cell r="B336">
            <v>0</v>
          </cell>
        </row>
        <row r="337">
          <cell r="A337" t="str">
            <v>A . 3. 1.01.</v>
          </cell>
          <cell r="B337">
            <v>358.07</v>
          </cell>
        </row>
        <row r="338">
          <cell r="A338" t="str">
            <v>A . 3. 1.02.</v>
          </cell>
          <cell r="B338">
            <v>11.45</v>
          </cell>
        </row>
        <row r="339">
          <cell r="A339" t="str">
            <v>A . 3. 1.03.</v>
          </cell>
          <cell r="B339">
            <v>105.13</v>
          </cell>
        </row>
        <row r="340">
          <cell r="A340" t="str">
            <v>A . 3. 1.04.</v>
          </cell>
          <cell r="B340">
            <v>36.89</v>
          </cell>
        </row>
        <row r="341">
          <cell r="A341" t="str">
            <v>A . 3. 1.05.</v>
          </cell>
          <cell r="B341">
            <v>1578</v>
          </cell>
        </row>
        <row r="342">
          <cell r="A342" t="str">
            <v>A . 3. 1.06.</v>
          </cell>
          <cell r="B342">
            <v>8986.9500000000007</v>
          </cell>
        </row>
        <row r="343">
          <cell r="A343" t="str">
            <v>A . 3. 1.06.01</v>
          </cell>
          <cell r="B343">
            <v>18.36</v>
          </cell>
        </row>
        <row r="344">
          <cell r="A344" t="str">
            <v>A . 3. 1.07.</v>
          </cell>
          <cell r="B344">
            <v>909.28</v>
          </cell>
        </row>
        <row r="345">
          <cell r="A345" t="str">
            <v>A . 3. 1.08.</v>
          </cell>
          <cell r="B345">
            <v>107.43</v>
          </cell>
        </row>
        <row r="346">
          <cell r="A346" t="str">
            <v>A . 3. 1.08.01</v>
          </cell>
          <cell r="B346">
            <v>816.58</v>
          </cell>
        </row>
        <row r="347">
          <cell r="A347" t="str">
            <v>A . 3. 1.09.</v>
          </cell>
          <cell r="B347">
            <v>2.02</v>
          </cell>
        </row>
        <row r="348">
          <cell r="A348" t="str">
            <v>A . 3. 1.09.01</v>
          </cell>
          <cell r="B348">
            <v>15.19</v>
          </cell>
        </row>
        <row r="349">
          <cell r="A349" t="str">
            <v>A . 3. 1.10.</v>
          </cell>
          <cell r="B349">
            <v>46.82</v>
          </cell>
        </row>
        <row r="350">
          <cell r="A350" t="str">
            <v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>A . 3. 2.  .</v>
          </cell>
          <cell r="B352">
            <v>0</v>
          </cell>
        </row>
        <row r="353">
          <cell r="A353" t="str">
            <v>A . 3. 2. 1.</v>
          </cell>
          <cell r="B353">
            <v>119.75</v>
          </cell>
        </row>
        <row r="354">
          <cell r="A354" t="str">
            <v>A . 3. 2. 2.</v>
          </cell>
          <cell r="B354">
            <v>51.95</v>
          </cell>
        </row>
        <row r="355">
          <cell r="A355" t="str">
            <v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>A . 3. 3.00.</v>
          </cell>
          <cell r="B357">
            <v>0</v>
          </cell>
        </row>
        <row r="358">
          <cell r="A358" t="str">
            <v>A . 3. 3.01.</v>
          </cell>
          <cell r="B358">
            <v>638.72</v>
          </cell>
        </row>
        <row r="359">
          <cell r="A359" t="str">
            <v>A . 3. 3.02.</v>
          </cell>
          <cell r="B359">
            <v>553.38</v>
          </cell>
        </row>
        <row r="360">
          <cell r="A360" t="str">
            <v>A . 3. 3.03.</v>
          </cell>
          <cell r="B360">
            <v>3</v>
          </cell>
        </row>
        <row r="361">
          <cell r="A361" t="str">
            <v>A . 3. 3.04.</v>
          </cell>
          <cell r="B361">
            <v>5</v>
          </cell>
        </row>
        <row r="362">
          <cell r="A362" t="str">
            <v>A . 3. 3.05.</v>
          </cell>
          <cell r="B362">
            <v>0</v>
          </cell>
        </row>
        <row r="363">
          <cell r="A363" t="str">
            <v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>A . 3. 4.  .</v>
          </cell>
          <cell r="B365">
            <v>0</v>
          </cell>
        </row>
        <row r="366">
          <cell r="A366" t="str">
            <v>A . 3. 4.01.</v>
          </cell>
          <cell r="B366">
            <v>116.02</v>
          </cell>
        </row>
        <row r="367">
          <cell r="A367" t="str">
            <v>A . 3. 4.02.</v>
          </cell>
          <cell r="B367">
            <v>0</v>
          </cell>
        </row>
        <row r="368">
          <cell r="A368" t="str">
            <v>A . 3. 4.03.</v>
          </cell>
          <cell r="B368">
            <v>5</v>
          </cell>
        </row>
        <row r="369">
          <cell r="A369" t="str">
            <v>A . 3. 4.04.</v>
          </cell>
          <cell r="B369">
            <v>31.24</v>
          </cell>
        </row>
        <row r="370">
          <cell r="A370" t="str">
            <v>A . 3. 4.05.</v>
          </cell>
          <cell r="B370">
            <v>1</v>
          </cell>
        </row>
        <row r="371">
          <cell r="A371" t="str">
            <v>A . 3. 4.06.</v>
          </cell>
          <cell r="B371">
            <v>1</v>
          </cell>
        </row>
        <row r="372">
          <cell r="A372" t="str">
            <v>A . 3. 4.07.</v>
          </cell>
          <cell r="B372">
            <v>4</v>
          </cell>
        </row>
        <row r="373">
          <cell r="A373" t="str">
            <v>A . 3. 4.08.</v>
          </cell>
          <cell r="B373">
            <v>1</v>
          </cell>
        </row>
        <row r="374">
          <cell r="A374" t="str">
            <v>A . 3. 4.09</v>
          </cell>
          <cell r="B374">
            <v>2</v>
          </cell>
        </row>
        <row r="375">
          <cell r="A375" t="str">
            <v>A . 3. 4.10</v>
          </cell>
          <cell r="B375">
            <v>0</v>
          </cell>
        </row>
        <row r="376">
          <cell r="A376" t="str">
            <v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>A . 3. 5.  .</v>
          </cell>
          <cell r="B378">
            <v>0</v>
          </cell>
        </row>
        <row r="379">
          <cell r="A379" t="str">
            <v>A . 3. 5.01.</v>
          </cell>
          <cell r="B379">
            <v>224.7</v>
          </cell>
        </row>
        <row r="380">
          <cell r="A380" t="str">
            <v>A . 3. 5.02.</v>
          </cell>
          <cell r="B380">
            <v>79.3</v>
          </cell>
        </row>
        <row r="381">
          <cell r="A381" t="str">
            <v>A . 3. 5.03.</v>
          </cell>
          <cell r="B381">
            <v>10.99</v>
          </cell>
        </row>
        <row r="382">
          <cell r="A382" t="str">
            <v>A . 3. 5.04.</v>
          </cell>
          <cell r="B382">
            <v>998.77</v>
          </cell>
        </row>
        <row r="383">
          <cell r="A383" t="str">
            <v>A . 3. 5.05.</v>
          </cell>
          <cell r="B383">
            <v>314.99</v>
          </cell>
        </row>
        <row r="384">
          <cell r="A384" t="str">
            <v>A . 3. 5.06.</v>
          </cell>
          <cell r="B384">
            <v>1</v>
          </cell>
        </row>
        <row r="385">
          <cell r="A385" t="str">
            <v>A . 3. 5.08.</v>
          </cell>
          <cell r="B385">
            <v>9</v>
          </cell>
        </row>
        <row r="386">
          <cell r="A386" t="str">
            <v>A . 3. 5.09.</v>
          </cell>
          <cell r="B386">
            <v>3</v>
          </cell>
        </row>
        <row r="387">
          <cell r="A387" t="str">
            <v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>A . 3. 6.  .</v>
          </cell>
          <cell r="B389">
            <v>0</v>
          </cell>
        </row>
        <row r="390">
          <cell r="A390" t="str">
            <v>A . 3. 6.01.</v>
          </cell>
          <cell r="B390">
            <v>1</v>
          </cell>
        </row>
        <row r="391">
          <cell r="A391" t="str">
            <v>A . 3. 6.02.</v>
          </cell>
          <cell r="B391">
            <v>4</v>
          </cell>
        </row>
        <row r="392">
          <cell r="A392" t="str">
            <v>A . 3. 6.03.</v>
          </cell>
          <cell r="B392">
            <v>5</v>
          </cell>
        </row>
        <row r="393">
          <cell r="A393" t="str">
            <v>A . 3. 6.04.</v>
          </cell>
          <cell r="B393">
            <v>0</v>
          </cell>
        </row>
        <row r="394">
          <cell r="A394" t="str">
            <v>A . 3. 6.05.</v>
          </cell>
          <cell r="B394">
            <v>110</v>
          </cell>
        </row>
        <row r="395">
          <cell r="A395" t="str">
            <v>A . 3. 6.06.</v>
          </cell>
          <cell r="B395">
            <v>143.80000000000001</v>
          </cell>
        </row>
        <row r="396">
          <cell r="A396" t="str">
            <v>A . 3. 6.07.</v>
          </cell>
          <cell r="B396">
            <v>517.20000000000005</v>
          </cell>
        </row>
        <row r="397">
          <cell r="A397" t="str">
            <v>A . 3. 6.08.</v>
          </cell>
          <cell r="B397">
            <v>118.34</v>
          </cell>
        </row>
        <row r="398">
          <cell r="A398" t="str">
            <v>A . 3. 6.09.</v>
          </cell>
          <cell r="B398">
            <v>157.66</v>
          </cell>
        </row>
        <row r="399">
          <cell r="A399" t="str">
            <v>A . 3. 6.10.</v>
          </cell>
          <cell r="B399">
            <v>46.4</v>
          </cell>
        </row>
        <row r="400">
          <cell r="A400" t="str">
            <v>A . 3. 6.11.</v>
          </cell>
          <cell r="B400">
            <v>663.3</v>
          </cell>
        </row>
        <row r="401">
          <cell r="A401" t="str">
            <v>A . 3. 6.12.</v>
          </cell>
          <cell r="B401">
            <v>3251.5</v>
          </cell>
        </row>
        <row r="402">
          <cell r="A402" t="str">
            <v>A . 3. 6.13.</v>
          </cell>
          <cell r="B402">
            <v>1296</v>
          </cell>
        </row>
        <row r="403">
          <cell r="A403" t="str">
            <v>A . 3. 6.14.</v>
          </cell>
          <cell r="B403">
            <v>520</v>
          </cell>
        </row>
        <row r="404">
          <cell r="A404" t="str">
            <v>A . 3. 6.15.</v>
          </cell>
          <cell r="B404">
            <v>4069.8</v>
          </cell>
        </row>
        <row r="405">
          <cell r="A405" t="str">
            <v>A . 3. 6.16.</v>
          </cell>
          <cell r="B405">
            <v>1552.8</v>
          </cell>
        </row>
        <row r="406">
          <cell r="A406" t="str">
            <v>A . 3. 6.17.</v>
          </cell>
          <cell r="B406">
            <v>1362</v>
          </cell>
        </row>
        <row r="407">
          <cell r="A407" t="str">
            <v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>A . 3. 7.  .</v>
          </cell>
          <cell r="B409">
            <v>0</v>
          </cell>
        </row>
        <row r="410">
          <cell r="A410" t="str">
            <v>A . 3. 7.01.</v>
          </cell>
          <cell r="B410">
            <v>67</v>
          </cell>
        </row>
        <row r="411">
          <cell r="A411" t="str">
            <v>A . 3. 7.02.</v>
          </cell>
          <cell r="B411">
            <v>0</v>
          </cell>
        </row>
        <row r="412">
          <cell r="A412" t="str">
            <v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>A . 3. 8.  .</v>
          </cell>
          <cell r="B414">
            <v>0</v>
          </cell>
        </row>
        <row r="415">
          <cell r="A415" t="str">
            <v>A . 3. 8.01.</v>
          </cell>
          <cell r="B415">
            <v>1</v>
          </cell>
        </row>
        <row r="416">
          <cell r="A416" t="str">
            <v>A . 3. 8.02.</v>
          </cell>
          <cell r="B416">
            <v>1</v>
          </cell>
        </row>
        <row r="417">
          <cell r="A417" t="str">
            <v>A . 3. 8.03.</v>
          </cell>
          <cell r="B417">
            <v>1</v>
          </cell>
        </row>
        <row r="418">
          <cell r="A418" t="str">
            <v>A . 3. 8.04.</v>
          </cell>
          <cell r="B418">
            <v>1</v>
          </cell>
        </row>
        <row r="419">
          <cell r="A419" t="str">
            <v>A . 3. 8.05.</v>
          </cell>
          <cell r="B419">
            <v>1</v>
          </cell>
        </row>
        <row r="420">
          <cell r="A420" t="str">
            <v>A . 3. 8.06.</v>
          </cell>
          <cell r="B420">
            <v>1</v>
          </cell>
        </row>
        <row r="421">
          <cell r="A421" t="str">
            <v>A . 3. 8.07.</v>
          </cell>
          <cell r="B421">
            <v>1</v>
          </cell>
        </row>
        <row r="422">
          <cell r="A422" t="str">
            <v>A . 3. 8.08.</v>
          </cell>
          <cell r="B422">
            <v>1</v>
          </cell>
        </row>
        <row r="423">
          <cell r="A423" t="str">
            <v>A . 3. 8.09.</v>
          </cell>
          <cell r="B423">
            <v>1</v>
          </cell>
        </row>
        <row r="424">
          <cell r="A424" t="str">
            <v>A . 3. 8.10.</v>
          </cell>
          <cell r="B424">
            <v>1</v>
          </cell>
        </row>
        <row r="425">
          <cell r="A425" t="str">
            <v>A . 3. 8.11.</v>
          </cell>
          <cell r="B425">
            <v>1</v>
          </cell>
        </row>
        <row r="426">
          <cell r="A426" t="str">
            <v>A . 3. 8.12.</v>
          </cell>
          <cell r="B426">
            <v>1</v>
          </cell>
        </row>
        <row r="427">
          <cell r="A427" t="str">
            <v>A . 3. 8.13.</v>
          </cell>
          <cell r="B427">
            <v>1</v>
          </cell>
        </row>
        <row r="428">
          <cell r="A428" t="str">
            <v>A . 3. 8.14.</v>
          </cell>
          <cell r="B428">
            <v>1</v>
          </cell>
        </row>
        <row r="429">
          <cell r="A429" t="str">
            <v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>A . 4.  .  .</v>
          </cell>
          <cell r="B431">
            <v>0</v>
          </cell>
        </row>
        <row r="432">
          <cell r="A432" t="str">
            <v>A . 4. 6.  .</v>
          </cell>
          <cell r="B432">
            <v>0</v>
          </cell>
        </row>
        <row r="433">
          <cell r="A433" t="str">
            <v>A . 4. 6.01.</v>
          </cell>
          <cell r="B433">
            <v>0</v>
          </cell>
        </row>
        <row r="434">
          <cell r="A434" t="str">
            <v>A . 4. 6.02.</v>
          </cell>
          <cell r="B434">
            <v>135.5</v>
          </cell>
        </row>
        <row r="435">
          <cell r="A435" t="str">
            <v>A . 4. 6.03.</v>
          </cell>
          <cell r="B435">
            <v>0</v>
          </cell>
        </row>
        <row r="436">
          <cell r="A436" t="str">
            <v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>A . 4. 7.  .</v>
          </cell>
          <cell r="B438">
            <v>0</v>
          </cell>
        </row>
        <row r="439">
          <cell r="A439" t="str">
            <v>A . 4. 7.01.</v>
          </cell>
          <cell r="B439">
            <v>0</v>
          </cell>
        </row>
        <row r="440">
          <cell r="A440" t="str">
            <v>A . 4. 7.02.</v>
          </cell>
          <cell r="B440">
            <v>1</v>
          </cell>
        </row>
        <row r="441">
          <cell r="A441" t="str">
            <v>A . 4. 7.03.</v>
          </cell>
          <cell r="B441">
            <v>1</v>
          </cell>
        </row>
        <row r="442">
          <cell r="A442" t="str">
            <v>A . 4. 7.04.</v>
          </cell>
          <cell r="B442">
            <v>0</v>
          </cell>
        </row>
        <row r="443">
          <cell r="A443" t="str">
            <v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>A . 4. 8.  .</v>
          </cell>
          <cell r="B445">
            <v>0</v>
          </cell>
        </row>
        <row r="446">
          <cell r="A446" t="str">
            <v>A . 4. 8.01.</v>
          </cell>
          <cell r="B446">
            <v>1</v>
          </cell>
        </row>
        <row r="447">
          <cell r="A447" t="str">
            <v>A . 4. 8.02.</v>
          </cell>
          <cell r="B447">
            <v>1</v>
          </cell>
        </row>
        <row r="448">
          <cell r="A448" t="str">
            <v>A . 4. 8.03.</v>
          </cell>
          <cell r="B448">
            <v>1</v>
          </cell>
        </row>
        <row r="449">
          <cell r="A449" t="str">
            <v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>A . 5. 0.  .</v>
          </cell>
          <cell r="B451">
            <v>0</v>
          </cell>
        </row>
        <row r="452">
          <cell r="A452" t="str">
            <v>A . 5. 1.00.</v>
          </cell>
          <cell r="B452">
            <v>0</v>
          </cell>
        </row>
        <row r="453">
          <cell r="A453" t="str">
            <v>A . 5. 1.01.</v>
          </cell>
          <cell r="B453">
            <v>1323</v>
          </cell>
        </row>
        <row r="454">
          <cell r="A454" t="str">
            <v>A . 5. 1.02.</v>
          </cell>
          <cell r="B454">
            <v>889.34</v>
          </cell>
        </row>
        <row r="455">
          <cell r="A455" t="str">
            <v>A . 5. 1.03.</v>
          </cell>
          <cell r="B455">
            <v>0</v>
          </cell>
        </row>
        <row r="456">
          <cell r="A456" t="str">
            <v>A . 5. 1.04.</v>
          </cell>
          <cell r="B456">
            <v>47.04</v>
          </cell>
        </row>
        <row r="457">
          <cell r="A457" t="str">
            <v>A . 5. 1.05.</v>
          </cell>
          <cell r="B457">
            <v>95.49</v>
          </cell>
        </row>
        <row r="458">
          <cell r="A458" t="str">
            <v>A . 5. 1.06.</v>
          </cell>
          <cell r="B458">
            <v>27201.81</v>
          </cell>
        </row>
        <row r="459">
          <cell r="A459" t="str">
            <v>A . 5. 1.07.</v>
          </cell>
          <cell r="B459">
            <v>2381.6799999999998</v>
          </cell>
        </row>
        <row r="460">
          <cell r="A460" t="str">
            <v>A . 5. 1.08.</v>
          </cell>
          <cell r="B460">
            <v>8662.5</v>
          </cell>
        </row>
        <row r="461">
          <cell r="A461" t="str">
            <v>A . 5. 1.09.</v>
          </cell>
          <cell r="B461">
            <v>787.64</v>
          </cell>
        </row>
        <row r="462">
          <cell r="A462" t="str">
            <v>A . 5. 1.10.</v>
          </cell>
          <cell r="B462">
            <v>278.98</v>
          </cell>
        </row>
        <row r="463">
          <cell r="A463" t="str">
            <v>A . 5. 1.11.</v>
          </cell>
          <cell r="B463">
            <v>4053.86</v>
          </cell>
        </row>
        <row r="464">
          <cell r="A464" t="str">
            <v>A . 5. 1.12.</v>
          </cell>
          <cell r="B464">
            <v>307.02999999999997</v>
          </cell>
        </row>
        <row r="465">
          <cell r="A465" t="str">
            <v>A . 5. 1.13.</v>
          </cell>
          <cell r="B465">
            <v>117.01</v>
          </cell>
        </row>
        <row r="466">
          <cell r="A466" t="str">
            <v>A . 5. 1.14.</v>
          </cell>
          <cell r="B466">
            <v>1913.88</v>
          </cell>
        </row>
        <row r="467">
          <cell r="A467" t="str">
            <v>A . 5. 1.15.</v>
          </cell>
          <cell r="B467">
            <v>10.28</v>
          </cell>
        </row>
        <row r="468">
          <cell r="A468" t="str">
            <v>A . 5. 1.16.</v>
          </cell>
          <cell r="B468">
            <v>85.17</v>
          </cell>
        </row>
        <row r="469">
          <cell r="A469" t="str">
            <v>A . 5. 1.17.</v>
          </cell>
          <cell r="B469">
            <v>6.69</v>
          </cell>
        </row>
        <row r="470">
          <cell r="A470" t="str">
            <v>A . 5. 1.18.</v>
          </cell>
          <cell r="B470">
            <v>49.83</v>
          </cell>
        </row>
        <row r="471">
          <cell r="A471" t="str">
            <v>A . 5. 1.19.</v>
          </cell>
          <cell r="B471">
            <v>124.58</v>
          </cell>
        </row>
        <row r="472">
          <cell r="A472" t="str">
            <v>A . 5. 1.20.</v>
          </cell>
          <cell r="B472">
            <v>0</v>
          </cell>
        </row>
        <row r="473">
          <cell r="A473" t="str">
            <v>A . 5. 1.21.</v>
          </cell>
          <cell r="B473">
            <v>332.66</v>
          </cell>
        </row>
        <row r="474">
          <cell r="A474" t="str">
            <v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>A . 5. 2.  .</v>
          </cell>
          <cell r="B476">
            <v>0</v>
          </cell>
        </row>
        <row r="477">
          <cell r="A477" t="str">
            <v>A . 5. 2. 1.</v>
          </cell>
          <cell r="B477">
            <v>428</v>
          </cell>
        </row>
        <row r="478">
          <cell r="A478" t="str">
            <v>A . 5. 2. 2.</v>
          </cell>
          <cell r="B478">
            <v>44.54</v>
          </cell>
        </row>
        <row r="479">
          <cell r="A479" t="str">
            <v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>A . 5. 3.00.</v>
          </cell>
          <cell r="B481">
            <v>0</v>
          </cell>
        </row>
        <row r="482">
          <cell r="A482" t="str">
            <v>A . 5. 3.01.</v>
          </cell>
          <cell r="B482">
            <v>112.81</v>
          </cell>
        </row>
        <row r="483">
          <cell r="A483" t="str">
            <v>A . 5. 3.02.</v>
          </cell>
          <cell r="B483">
            <v>212.73</v>
          </cell>
        </row>
        <row r="484">
          <cell r="A484" t="str">
            <v>A . 5. 3.03.</v>
          </cell>
          <cell r="B484">
            <v>1</v>
          </cell>
        </row>
        <row r="485">
          <cell r="A485" t="str">
            <v>A . 5. 3.04.</v>
          </cell>
          <cell r="B485">
            <v>5</v>
          </cell>
        </row>
        <row r="486">
          <cell r="A486" t="str">
            <v>A . 5. 3.05.</v>
          </cell>
          <cell r="B486">
            <v>140.37</v>
          </cell>
        </row>
        <row r="487">
          <cell r="A487" t="str">
            <v>A . 5. 3.06.</v>
          </cell>
          <cell r="B487">
            <v>68.290000000000006</v>
          </cell>
        </row>
        <row r="488">
          <cell r="A488" t="str">
            <v>A . 5. 3.07.</v>
          </cell>
          <cell r="B488">
            <v>3</v>
          </cell>
        </row>
        <row r="489">
          <cell r="A489" t="str">
            <v>A . 5. 3.08.</v>
          </cell>
          <cell r="B489">
            <v>8</v>
          </cell>
        </row>
        <row r="490">
          <cell r="A490" t="str">
            <v>A . 5. 3.09.</v>
          </cell>
          <cell r="B490">
            <v>51.63</v>
          </cell>
        </row>
        <row r="491">
          <cell r="A491" t="str">
            <v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>A . 5. 4.  .</v>
          </cell>
          <cell r="B493">
            <v>0</v>
          </cell>
        </row>
        <row r="494">
          <cell r="A494" t="str">
            <v>A . 5. 4.01.</v>
          </cell>
          <cell r="B494">
            <v>33</v>
          </cell>
        </row>
        <row r="495">
          <cell r="A495" t="str">
            <v>A . 5. 4.02.</v>
          </cell>
          <cell r="B495">
            <v>23.29</v>
          </cell>
        </row>
        <row r="496">
          <cell r="A496" t="str">
            <v>A . 5. 4.03.</v>
          </cell>
          <cell r="B496">
            <v>0</v>
          </cell>
        </row>
        <row r="497">
          <cell r="A497" t="str">
            <v>A . 5. 4.04.</v>
          </cell>
          <cell r="B497">
            <v>0</v>
          </cell>
        </row>
        <row r="498">
          <cell r="A498" t="str">
            <v>A . 5. 4.05.</v>
          </cell>
          <cell r="B498">
            <v>2</v>
          </cell>
        </row>
        <row r="499">
          <cell r="A499" t="str">
            <v>A . 5. 4.06.</v>
          </cell>
          <cell r="B499">
            <v>1</v>
          </cell>
        </row>
        <row r="500">
          <cell r="A500" t="str">
            <v>A . 5. 4.07.</v>
          </cell>
          <cell r="B500">
            <v>1</v>
          </cell>
        </row>
        <row r="501">
          <cell r="A501" t="str">
            <v>A . 5. 4.08.</v>
          </cell>
          <cell r="B501">
            <v>3</v>
          </cell>
        </row>
        <row r="502">
          <cell r="A502" t="str">
            <v>A . 5. 4.09.</v>
          </cell>
          <cell r="B502">
            <v>1</v>
          </cell>
        </row>
        <row r="503">
          <cell r="A503" t="str">
            <v>A . 5. 4.10.</v>
          </cell>
          <cell r="B503">
            <v>1</v>
          </cell>
        </row>
        <row r="504">
          <cell r="A504" t="str">
            <v>A . 5. 4.11.</v>
          </cell>
          <cell r="B504">
            <v>3.15</v>
          </cell>
        </row>
        <row r="505">
          <cell r="A505" t="str">
            <v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>A . 5. 5.  .</v>
          </cell>
          <cell r="B507">
            <v>0</v>
          </cell>
        </row>
        <row r="508">
          <cell r="A508" t="str">
            <v>A . 5. 5.01.</v>
          </cell>
          <cell r="B508">
            <v>499.74</v>
          </cell>
        </row>
        <row r="509">
          <cell r="A509" t="str">
            <v>A . 5. 5.02.</v>
          </cell>
          <cell r="B509">
            <v>305.52</v>
          </cell>
        </row>
        <row r="510">
          <cell r="A510" t="str">
            <v>A . 5. 5.03.</v>
          </cell>
          <cell r="B510">
            <v>174.48</v>
          </cell>
        </row>
        <row r="511">
          <cell r="A511" t="str">
            <v>A . 5. 5.04.</v>
          </cell>
          <cell r="B511">
            <v>3.61</v>
          </cell>
        </row>
        <row r="512">
          <cell r="A512" t="str">
            <v>A . 5. 5.05.</v>
          </cell>
          <cell r="B512">
            <v>62.77</v>
          </cell>
        </row>
        <row r="513">
          <cell r="A513" t="str">
            <v>A . 5. 5.06.</v>
          </cell>
          <cell r="B513">
            <v>70.81</v>
          </cell>
        </row>
        <row r="514">
          <cell r="A514" t="str">
            <v>A . 5. 5.07.</v>
          </cell>
          <cell r="B514">
            <v>0</v>
          </cell>
        </row>
        <row r="515">
          <cell r="A515" t="str">
            <v>A . 5. 5.08.</v>
          </cell>
          <cell r="B515">
            <v>0</v>
          </cell>
        </row>
        <row r="516">
          <cell r="A516" t="str">
            <v>A . 5. 5.09.</v>
          </cell>
          <cell r="B516">
            <v>0</v>
          </cell>
        </row>
        <row r="517">
          <cell r="A517" t="str">
            <v>A . 5. 5.10.</v>
          </cell>
          <cell r="B517">
            <v>52.83</v>
          </cell>
        </row>
        <row r="518">
          <cell r="A518" t="str">
            <v>A . 5. 5.11.</v>
          </cell>
          <cell r="B518">
            <v>322.54000000000002</v>
          </cell>
        </row>
        <row r="519">
          <cell r="A519" t="str">
            <v>A . 5. 5.12.</v>
          </cell>
          <cell r="B519">
            <v>0</v>
          </cell>
        </row>
        <row r="520">
          <cell r="A520" t="str">
            <v>A . 5. 5.13.</v>
          </cell>
          <cell r="B520">
            <v>11.26</v>
          </cell>
        </row>
        <row r="521">
          <cell r="A521" t="str">
            <v>A . 5. 5.14.</v>
          </cell>
          <cell r="B521">
            <v>660.07</v>
          </cell>
        </row>
        <row r="522">
          <cell r="A522" t="str">
            <v>A . 5. 5.15.</v>
          </cell>
          <cell r="B522">
            <v>19081.95</v>
          </cell>
        </row>
        <row r="523">
          <cell r="A523" t="str">
            <v>A . 5. 5.16.</v>
          </cell>
          <cell r="B523">
            <v>0</v>
          </cell>
        </row>
        <row r="524">
          <cell r="A524" t="str">
            <v>A . 5. 5.17.</v>
          </cell>
          <cell r="B524">
            <v>2198.86</v>
          </cell>
        </row>
        <row r="525">
          <cell r="A525" t="str">
            <v>A . 5. 5.18.</v>
          </cell>
          <cell r="B525">
            <v>25</v>
          </cell>
        </row>
        <row r="526">
          <cell r="A526" t="str">
            <v>A . 5. 5.19.</v>
          </cell>
          <cell r="B526">
            <v>18</v>
          </cell>
        </row>
        <row r="527">
          <cell r="A527" t="str">
            <v>A . 5. 5.20.</v>
          </cell>
          <cell r="B527">
            <v>37</v>
          </cell>
        </row>
        <row r="528">
          <cell r="A528" t="str">
            <v>A . 5. 5.21.</v>
          </cell>
          <cell r="B528">
            <v>29</v>
          </cell>
        </row>
        <row r="529">
          <cell r="A529" t="str">
            <v>A . 5. 5.22.</v>
          </cell>
          <cell r="B529">
            <v>14</v>
          </cell>
        </row>
        <row r="530">
          <cell r="A530" t="str">
            <v>A . 5. 5.23.</v>
          </cell>
          <cell r="B530">
            <v>22</v>
          </cell>
        </row>
        <row r="531">
          <cell r="A531" t="str">
            <v>A . 5. 5.24.</v>
          </cell>
          <cell r="B531">
            <v>2198.86</v>
          </cell>
        </row>
        <row r="532">
          <cell r="A532" t="str">
            <v>A . 5. 5.25.</v>
          </cell>
          <cell r="B532">
            <v>1.81</v>
          </cell>
        </row>
        <row r="533">
          <cell r="A533" t="str">
            <v>A . 5. 5.26.</v>
          </cell>
          <cell r="B533">
            <v>79.510000000000005</v>
          </cell>
        </row>
        <row r="534">
          <cell r="A534" t="str">
            <v>A . 5. 5.27.</v>
          </cell>
          <cell r="B534">
            <v>66.42</v>
          </cell>
        </row>
        <row r="535">
          <cell r="A535" t="str">
            <v>A . 5. 5.28.</v>
          </cell>
          <cell r="B535">
            <v>6.1</v>
          </cell>
        </row>
        <row r="536">
          <cell r="A536" t="str">
            <v>A . 5. 5.29.</v>
          </cell>
          <cell r="B536">
            <v>18.16</v>
          </cell>
        </row>
        <row r="537">
          <cell r="A537" t="str">
            <v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>A . 5. 6.  .</v>
          </cell>
          <cell r="B539">
            <v>0</v>
          </cell>
        </row>
        <row r="540">
          <cell r="A540" t="str">
            <v>A . 5. 6.01.</v>
          </cell>
          <cell r="B540">
            <v>1</v>
          </cell>
        </row>
        <row r="541">
          <cell r="A541" t="str">
            <v>A . 5. 6.02.</v>
          </cell>
          <cell r="B541">
            <v>1</v>
          </cell>
        </row>
        <row r="542">
          <cell r="A542" t="str">
            <v>A . 5. 6.03.</v>
          </cell>
          <cell r="B542">
            <v>1</v>
          </cell>
        </row>
        <row r="543">
          <cell r="A543" t="str">
            <v>A . 5. 6.04.</v>
          </cell>
          <cell r="B543">
            <v>2</v>
          </cell>
        </row>
        <row r="544">
          <cell r="A544" t="str">
            <v>A . 5. 6.05.</v>
          </cell>
          <cell r="B544">
            <v>4</v>
          </cell>
        </row>
        <row r="545">
          <cell r="A545" t="str">
            <v>A . 5. 6.06.</v>
          </cell>
          <cell r="B545">
            <v>1</v>
          </cell>
        </row>
        <row r="546">
          <cell r="A546" t="str">
            <v>A . 5. 6.07.</v>
          </cell>
          <cell r="B546">
            <v>19</v>
          </cell>
        </row>
        <row r="547">
          <cell r="A547" t="str">
            <v>A . 5. 6.08.</v>
          </cell>
          <cell r="B547">
            <v>7</v>
          </cell>
        </row>
        <row r="548">
          <cell r="A548" t="str">
            <v>A . 5. 6.09.</v>
          </cell>
          <cell r="B548">
            <v>84</v>
          </cell>
        </row>
        <row r="549">
          <cell r="A549" t="str">
            <v>A . 5. 6.10.</v>
          </cell>
          <cell r="B549">
            <v>134.69999999999999</v>
          </cell>
        </row>
        <row r="550">
          <cell r="A550" t="str">
            <v>A . 5. 6.11.</v>
          </cell>
          <cell r="B550">
            <v>615.79999999999995</v>
          </cell>
        </row>
        <row r="551">
          <cell r="A551" t="str">
            <v>A . 5. 6.12.</v>
          </cell>
          <cell r="B551">
            <v>737.95</v>
          </cell>
        </row>
        <row r="552">
          <cell r="A552" t="str">
            <v>A . 5. 6.13.</v>
          </cell>
          <cell r="B552">
            <v>1076.5</v>
          </cell>
        </row>
        <row r="553">
          <cell r="A553" t="str">
            <v>A . 5. 6.14.</v>
          </cell>
          <cell r="B553">
            <v>818.73</v>
          </cell>
        </row>
        <row r="554">
          <cell r="A554" t="str">
            <v>A . 5. 6.15.</v>
          </cell>
          <cell r="B554">
            <v>18.84</v>
          </cell>
        </row>
        <row r="555">
          <cell r="A555" t="str">
            <v>A . 5. 6.16.</v>
          </cell>
          <cell r="B555">
            <v>63.6</v>
          </cell>
        </row>
        <row r="556">
          <cell r="A556" t="str">
            <v>A . 5. 6.17.</v>
          </cell>
          <cell r="B556">
            <v>76.3</v>
          </cell>
        </row>
        <row r="557">
          <cell r="A557" t="str">
            <v>A . 5. 6.18.</v>
          </cell>
          <cell r="B557">
            <v>153.6</v>
          </cell>
        </row>
        <row r="558">
          <cell r="A558" t="str">
            <v>A . 5. 6.19.</v>
          </cell>
          <cell r="B558">
            <v>599.20000000000005</v>
          </cell>
        </row>
        <row r="559">
          <cell r="A559" t="str">
            <v>A . 5. 6.20.</v>
          </cell>
          <cell r="B559">
            <v>7961</v>
          </cell>
        </row>
        <row r="560">
          <cell r="A560" t="str">
            <v>A . 5. 6.21.</v>
          </cell>
          <cell r="B560">
            <v>7222.5</v>
          </cell>
        </row>
        <row r="561">
          <cell r="A561" t="str">
            <v>A . 5. 6.22.</v>
          </cell>
          <cell r="B561">
            <v>4925</v>
          </cell>
        </row>
        <row r="562">
          <cell r="A562" t="str">
            <v>A . 5. 6.23.</v>
          </cell>
          <cell r="B562">
            <v>1266</v>
          </cell>
        </row>
        <row r="563">
          <cell r="A563" t="str">
            <v>A . 5. 6.24.</v>
          </cell>
          <cell r="B563">
            <v>4145.5</v>
          </cell>
        </row>
        <row r="564">
          <cell r="A564" t="str">
            <v>A . 5. 6.25.</v>
          </cell>
          <cell r="B564">
            <v>2850.3</v>
          </cell>
        </row>
        <row r="565">
          <cell r="A565" t="str">
            <v>A . 5. 6.26.</v>
          </cell>
          <cell r="B565">
            <v>2402</v>
          </cell>
        </row>
        <row r="566">
          <cell r="A566" t="str">
            <v>A . 5. 6.27.</v>
          </cell>
          <cell r="B566">
            <v>14</v>
          </cell>
        </row>
        <row r="567">
          <cell r="A567" t="str">
            <v>A . 5. 6.28.</v>
          </cell>
          <cell r="B567">
            <v>4</v>
          </cell>
        </row>
        <row r="568">
          <cell r="A568" t="str">
            <v>A . 5. 6.29.</v>
          </cell>
          <cell r="B568">
            <v>0</v>
          </cell>
        </row>
        <row r="569">
          <cell r="A569" t="str">
            <v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>A . 5. 7.  .</v>
          </cell>
          <cell r="B571">
            <v>0</v>
          </cell>
        </row>
        <row r="572">
          <cell r="A572" t="str">
            <v>A . 5. 7.01.</v>
          </cell>
          <cell r="B572">
            <v>47</v>
          </cell>
        </row>
        <row r="573">
          <cell r="A573" t="str">
            <v>A . 5. 7.02.</v>
          </cell>
          <cell r="B573">
            <v>4</v>
          </cell>
        </row>
        <row r="574">
          <cell r="A574" t="str">
            <v>A . 5. 7.03.</v>
          </cell>
          <cell r="B574">
            <v>0</v>
          </cell>
        </row>
        <row r="575">
          <cell r="A575" t="str">
            <v>A . 5. 7.04.</v>
          </cell>
          <cell r="B575">
            <v>1</v>
          </cell>
        </row>
        <row r="576">
          <cell r="A576" t="str">
            <v>A . 5. 7.05.</v>
          </cell>
          <cell r="B576">
            <v>1</v>
          </cell>
        </row>
        <row r="577">
          <cell r="A577" t="str">
            <v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>A . 5. 8.  .</v>
          </cell>
          <cell r="B579">
            <v>0</v>
          </cell>
        </row>
        <row r="580">
          <cell r="A580" t="str">
            <v>A . 5. 8.01.</v>
          </cell>
          <cell r="B580">
            <v>1</v>
          </cell>
        </row>
        <row r="581">
          <cell r="A581" t="str">
            <v>A . 5. 8.02.</v>
          </cell>
          <cell r="B581">
            <v>1</v>
          </cell>
        </row>
        <row r="582">
          <cell r="A582" t="str">
            <v>A . 5. 8.03.</v>
          </cell>
          <cell r="B582">
            <v>1</v>
          </cell>
        </row>
        <row r="583">
          <cell r="A583" t="str">
            <v>A . 5. 8.04.</v>
          </cell>
          <cell r="B583">
            <v>1</v>
          </cell>
        </row>
        <row r="584">
          <cell r="A584" t="str">
            <v>A . 5. 8.05.</v>
          </cell>
          <cell r="B584">
            <v>1</v>
          </cell>
        </row>
        <row r="585">
          <cell r="A585" t="str">
            <v>A . 5. 8.06.</v>
          </cell>
          <cell r="B585">
            <v>1</v>
          </cell>
        </row>
        <row r="586">
          <cell r="A586" t="str">
            <v>A . 5. 8.07.</v>
          </cell>
          <cell r="B586">
            <v>1</v>
          </cell>
        </row>
        <row r="587">
          <cell r="A587" t="str">
            <v>A . 5. 8.08.</v>
          </cell>
          <cell r="B587">
            <v>1</v>
          </cell>
        </row>
        <row r="588">
          <cell r="A588" t="str">
            <v>A . 5. 8.09.</v>
          </cell>
          <cell r="B588">
            <v>1</v>
          </cell>
        </row>
        <row r="589">
          <cell r="A589" t="str">
            <v>A . 5. 8.10.</v>
          </cell>
          <cell r="B589">
            <v>1</v>
          </cell>
        </row>
        <row r="590">
          <cell r="A590" t="str">
            <v>A . 5. 8.11.</v>
          </cell>
          <cell r="B590">
            <v>1</v>
          </cell>
        </row>
        <row r="591">
          <cell r="A591" t="str">
            <v>A . 5. 8.12.</v>
          </cell>
          <cell r="B591">
            <v>1</v>
          </cell>
        </row>
        <row r="592">
          <cell r="A592" t="str">
            <v>A . 5. 8.13.</v>
          </cell>
          <cell r="B592">
            <v>1</v>
          </cell>
        </row>
        <row r="593">
          <cell r="A593" t="str">
            <v>A . 5. 8.14.</v>
          </cell>
          <cell r="B593">
            <v>1</v>
          </cell>
        </row>
        <row r="594">
          <cell r="A594" t="str">
            <v>A . 5. 8.15.</v>
          </cell>
          <cell r="B594">
            <v>1</v>
          </cell>
        </row>
        <row r="595">
          <cell r="A595" t="str">
            <v>A . 5. 8.16.</v>
          </cell>
          <cell r="B595">
            <v>1</v>
          </cell>
        </row>
        <row r="596">
          <cell r="A596" t="str">
            <v>A . 5. 8.17.</v>
          </cell>
          <cell r="B596">
            <v>1</v>
          </cell>
        </row>
        <row r="597">
          <cell r="A597" t="str">
            <v>A . 5. 8.18.</v>
          </cell>
          <cell r="B597">
            <v>1</v>
          </cell>
        </row>
        <row r="598">
          <cell r="A598" t="str">
            <v>A . 5. 8.19.</v>
          </cell>
          <cell r="B598">
            <v>1</v>
          </cell>
        </row>
        <row r="599">
          <cell r="A599" t="str">
            <v>A . 5. 8.20.</v>
          </cell>
          <cell r="B599">
            <v>1</v>
          </cell>
        </row>
        <row r="600">
          <cell r="A600" t="str">
            <v>A . 5. 8.21.</v>
          </cell>
          <cell r="B600">
            <v>1</v>
          </cell>
        </row>
        <row r="601">
          <cell r="A601" t="str">
            <v>A . 5. 8.22.</v>
          </cell>
          <cell r="B601">
            <v>1</v>
          </cell>
        </row>
        <row r="602">
          <cell r="A602" t="str">
            <v>A . 5. 8.23.</v>
          </cell>
          <cell r="B602">
            <v>1</v>
          </cell>
        </row>
        <row r="603">
          <cell r="A603" t="str">
            <v>A . 5. 8.24.</v>
          </cell>
          <cell r="B603">
            <v>1</v>
          </cell>
        </row>
        <row r="604">
          <cell r="A604" t="str">
            <v>A . 5. 8.25.</v>
          </cell>
          <cell r="B604">
            <v>1</v>
          </cell>
        </row>
        <row r="605">
          <cell r="A605" t="str">
            <v>A . 5. 8.26.</v>
          </cell>
          <cell r="B605">
            <v>1</v>
          </cell>
        </row>
        <row r="606">
          <cell r="A606" t="str">
            <v>A . 5. 8.27.</v>
          </cell>
          <cell r="B606">
            <v>1</v>
          </cell>
        </row>
        <row r="607">
          <cell r="A607" t="str">
            <v>A . 5. 8.28.</v>
          </cell>
          <cell r="B607">
            <v>1</v>
          </cell>
        </row>
        <row r="608">
          <cell r="A608" t="str">
            <v>A . 5. 8.29.</v>
          </cell>
          <cell r="B608">
            <v>1</v>
          </cell>
        </row>
        <row r="609">
          <cell r="A609" t="str">
            <v>A . 5. 8.30.</v>
          </cell>
          <cell r="B609">
            <v>1</v>
          </cell>
        </row>
        <row r="610">
          <cell r="A610" t="str">
            <v>A . 5. 8.31.</v>
          </cell>
          <cell r="B610">
            <v>1</v>
          </cell>
        </row>
        <row r="611">
          <cell r="A611" t="str">
            <v>A . 5. 8.32.</v>
          </cell>
          <cell r="B611">
            <v>1</v>
          </cell>
        </row>
        <row r="612">
          <cell r="A612" t="str">
            <v>A . 5. 8.33.</v>
          </cell>
          <cell r="B612">
            <v>1</v>
          </cell>
        </row>
        <row r="613">
          <cell r="A613" t="str">
            <v>A . 5. 8.34.</v>
          </cell>
          <cell r="B613">
            <v>1</v>
          </cell>
        </row>
        <row r="614">
          <cell r="A614" t="str">
            <v>A . 5. 8.35.</v>
          </cell>
          <cell r="B614">
            <v>1</v>
          </cell>
        </row>
        <row r="615">
          <cell r="A615" t="str">
            <v>A . 5. 8.36.</v>
          </cell>
          <cell r="B615">
            <v>1</v>
          </cell>
        </row>
        <row r="616">
          <cell r="A616" t="str">
            <v>A . 5. 8.37.</v>
          </cell>
          <cell r="B616">
            <v>1</v>
          </cell>
        </row>
        <row r="617">
          <cell r="A617" t="str">
            <v>A . 5. 8.38.</v>
          </cell>
          <cell r="B617">
            <v>1</v>
          </cell>
        </row>
        <row r="618">
          <cell r="A618" t="str">
            <v>A . 5. 8.39.</v>
          </cell>
          <cell r="B618">
            <v>1</v>
          </cell>
        </row>
        <row r="619">
          <cell r="A619" t="str">
            <v>A . 5. 8.40.</v>
          </cell>
          <cell r="B619">
            <v>1</v>
          </cell>
        </row>
        <row r="620">
          <cell r="A620" t="str">
            <v>A . 5. 8.41.</v>
          </cell>
          <cell r="B620">
            <v>1</v>
          </cell>
        </row>
        <row r="621">
          <cell r="A621" t="str">
            <v>A . 5. 8.42.</v>
          </cell>
          <cell r="B621">
            <v>1</v>
          </cell>
        </row>
        <row r="622">
          <cell r="A622" t="str">
            <v>A . 5. 8.43.</v>
          </cell>
          <cell r="B622">
            <v>1</v>
          </cell>
        </row>
        <row r="623">
          <cell r="A623" t="str">
            <v>A . 5. 8.44.</v>
          </cell>
          <cell r="B623">
            <v>1</v>
          </cell>
        </row>
        <row r="624">
          <cell r="A624" t="str">
            <v>A . 5. 8.45.</v>
          </cell>
          <cell r="B624">
            <v>1</v>
          </cell>
        </row>
        <row r="625">
          <cell r="A625" t="str">
            <v>A . 5. 8.46.</v>
          </cell>
          <cell r="B625">
            <v>1</v>
          </cell>
        </row>
        <row r="626">
          <cell r="A626" t="str">
            <v>A . 5. 8.47.</v>
          </cell>
          <cell r="B626">
            <v>1</v>
          </cell>
        </row>
        <row r="627">
          <cell r="A627" t="str">
            <v>A . 5. 8.48.</v>
          </cell>
          <cell r="B627">
            <v>1</v>
          </cell>
        </row>
        <row r="628">
          <cell r="A628" t="str">
            <v>A . 5. 8.49.</v>
          </cell>
          <cell r="B628">
            <v>1</v>
          </cell>
        </row>
        <row r="629">
          <cell r="A629" t="str">
            <v>A . 5. 8.50.</v>
          </cell>
          <cell r="B629">
            <v>1</v>
          </cell>
        </row>
        <row r="630">
          <cell r="A630" t="str">
            <v>A . 5. 8.51.</v>
          </cell>
          <cell r="B630">
            <v>1</v>
          </cell>
        </row>
        <row r="631">
          <cell r="A631" t="str">
            <v>A . 5. 8.52.</v>
          </cell>
          <cell r="B631">
            <v>1</v>
          </cell>
        </row>
        <row r="632">
          <cell r="A632" t="str">
            <v>A . 5. 8.53.</v>
          </cell>
          <cell r="B632">
            <v>1</v>
          </cell>
        </row>
        <row r="633">
          <cell r="A633" t="str">
            <v>A . 5. 8.54.</v>
          </cell>
          <cell r="B633">
            <v>1</v>
          </cell>
        </row>
        <row r="634">
          <cell r="A634" t="str">
            <v>A . 5. 8.55.</v>
          </cell>
          <cell r="B634">
            <v>1</v>
          </cell>
        </row>
        <row r="635">
          <cell r="A635" t="str">
            <v>A . 5. 8.56.</v>
          </cell>
          <cell r="B635">
            <v>1</v>
          </cell>
        </row>
        <row r="636">
          <cell r="A636" t="str">
            <v>A . 5. 8.57.</v>
          </cell>
          <cell r="B636">
            <v>1</v>
          </cell>
        </row>
        <row r="637">
          <cell r="A637" t="str">
            <v>A . 5. 8.58.</v>
          </cell>
          <cell r="B637">
            <v>1</v>
          </cell>
        </row>
        <row r="638">
          <cell r="A638" t="str">
            <v>A . 5. 8.59.</v>
          </cell>
          <cell r="B638">
            <v>1</v>
          </cell>
        </row>
        <row r="639">
          <cell r="A639" t="str">
            <v>A . 5. 8.60.</v>
          </cell>
          <cell r="B639">
            <v>1</v>
          </cell>
        </row>
        <row r="640">
          <cell r="A640" t="str">
            <v>A . 5. 8.61.</v>
          </cell>
          <cell r="B640">
            <v>1</v>
          </cell>
        </row>
        <row r="641">
          <cell r="A641" t="str">
            <v>A . 5. 8.62.</v>
          </cell>
          <cell r="B641">
            <v>1</v>
          </cell>
        </row>
        <row r="642">
          <cell r="A642" t="str">
            <v>A . 5. 8.63.</v>
          </cell>
          <cell r="B642">
            <v>1</v>
          </cell>
        </row>
        <row r="643">
          <cell r="A643" t="str">
            <v>A . 5. 8.64.</v>
          </cell>
          <cell r="B643">
            <v>1</v>
          </cell>
        </row>
        <row r="644">
          <cell r="A644" t="str">
            <v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>A . 6. 0.  .</v>
          </cell>
          <cell r="B646">
            <v>0</v>
          </cell>
        </row>
        <row r="647">
          <cell r="A647" t="str">
            <v>A . 6. 1.00.</v>
          </cell>
          <cell r="B647">
            <v>0</v>
          </cell>
        </row>
        <row r="648">
          <cell r="A648" t="str">
            <v>A . 6. 1.01.</v>
          </cell>
          <cell r="B648">
            <v>86.38</v>
          </cell>
        </row>
        <row r="649">
          <cell r="A649" t="str">
            <v>A . 6. 1.02.</v>
          </cell>
          <cell r="B649">
            <v>104.42</v>
          </cell>
        </row>
        <row r="650">
          <cell r="A650" t="str">
            <v>A . 6. 1.03.</v>
          </cell>
          <cell r="B650">
            <v>1165.08</v>
          </cell>
        </row>
        <row r="651">
          <cell r="A651" t="str">
            <v>A . 6. 1.04.</v>
          </cell>
          <cell r="B651">
            <v>220.05</v>
          </cell>
        </row>
        <row r="652">
          <cell r="A652" t="str">
            <v>A . 6. 1.04.01</v>
          </cell>
          <cell r="B652">
            <v>61.79</v>
          </cell>
        </row>
        <row r="653">
          <cell r="A653" t="str">
            <v>A . 6. 1.05.</v>
          </cell>
          <cell r="B653">
            <v>111.06</v>
          </cell>
        </row>
        <row r="654">
          <cell r="A654" t="str">
            <v>A . 6. 1.06.</v>
          </cell>
          <cell r="B654">
            <v>32.1</v>
          </cell>
        </row>
        <row r="655">
          <cell r="A655" t="str">
            <v>A . 6. 1.07.</v>
          </cell>
          <cell r="B655">
            <v>245.49</v>
          </cell>
        </row>
        <row r="656">
          <cell r="A656" t="str">
            <v>A . 6. 1.08.</v>
          </cell>
          <cell r="B656">
            <v>70.52</v>
          </cell>
        </row>
        <row r="657">
          <cell r="A657" t="str">
            <v>A . 6. 1.09.</v>
          </cell>
          <cell r="B657">
            <v>7.7</v>
          </cell>
        </row>
        <row r="658">
          <cell r="A658" t="str">
            <v>A . 6. 1.10.</v>
          </cell>
          <cell r="B658">
            <v>2.2000000000000002</v>
          </cell>
        </row>
        <row r="659">
          <cell r="A659" t="str">
            <v>A . 6. 1.11.</v>
          </cell>
          <cell r="B659">
            <v>0</v>
          </cell>
        </row>
        <row r="660">
          <cell r="A660" t="str">
            <v>A . 6. 1.11.01</v>
          </cell>
          <cell r="B660">
            <v>23.18</v>
          </cell>
        </row>
        <row r="661">
          <cell r="A661" t="str">
            <v>A . 6. 1.12.</v>
          </cell>
          <cell r="B661">
            <v>35.04</v>
          </cell>
        </row>
        <row r="662">
          <cell r="A662" t="str">
            <v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>A . 6. 2.  .</v>
          </cell>
          <cell r="B664">
            <v>0</v>
          </cell>
        </row>
        <row r="665">
          <cell r="A665" t="str">
            <v>A . 6. 2. 1.</v>
          </cell>
          <cell r="B665">
            <v>108.81</v>
          </cell>
        </row>
        <row r="666">
          <cell r="A666" t="str">
            <v>A . 6. 2. 2.</v>
          </cell>
          <cell r="B666">
            <v>57.42</v>
          </cell>
        </row>
        <row r="667">
          <cell r="A667" t="str">
            <v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>A . 6. 3.  .</v>
          </cell>
          <cell r="B669">
            <v>0</v>
          </cell>
        </row>
        <row r="670">
          <cell r="A670" t="str">
            <v>A . 6. 3.01.</v>
          </cell>
          <cell r="B670">
            <v>97.63</v>
          </cell>
        </row>
        <row r="671">
          <cell r="A671" t="str">
            <v>A . 6. 3.02.</v>
          </cell>
          <cell r="B671">
            <v>86.9</v>
          </cell>
        </row>
        <row r="672">
          <cell r="A672" t="str">
            <v>A . 6. 3.03.</v>
          </cell>
          <cell r="B672">
            <v>1</v>
          </cell>
        </row>
        <row r="673">
          <cell r="A673" t="str">
            <v>A . 6. 3.04.</v>
          </cell>
          <cell r="B673">
            <v>1</v>
          </cell>
        </row>
        <row r="674">
          <cell r="A674" t="str">
            <v>A . 6. 3.05.</v>
          </cell>
          <cell r="B674">
            <v>181.17</v>
          </cell>
        </row>
        <row r="675">
          <cell r="A675" t="str">
            <v>A . 6. 3.06.</v>
          </cell>
          <cell r="B675">
            <v>1</v>
          </cell>
        </row>
        <row r="676">
          <cell r="A676" t="str">
            <v>A . 6. 3.07.</v>
          </cell>
          <cell r="B676">
            <v>0</v>
          </cell>
        </row>
        <row r="677">
          <cell r="A677" t="str">
            <v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>A . 6. 4.  .</v>
          </cell>
          <cell r="B679">
            <v>0</v>
          </cell>
        </row>
        <row r="680">
          <cell r="A680" t="str">
            <v>A . 6. 4.01.</v>
          </cell>
          <cell r="B680">
            <v>61.02</v>
          </cell>
        </row>
        <row r="681">
          <cell r="A681" t="str">
            <v>A . 6. 4.02.</v>
          </cell>
          <cell r="B681">
            <v>5</v>
          </cell>
        </row>
        <row r="682">
          <cell r="A682" t="str">
            <v>A . 6. 4.03.</v>
          </cell>
          <cell r="B682">
            <v>0</v>
          </cell>
        </row>
        <row r="683">
          <cell r="A683" t="str">
            <v>A . 6. 4.04.</v>
          </cell>
          <cell r="B683">
            <v>0</v>
          </cell>
        </row>
        <row r="684">
          <cell r="A684" t="str">
            <v>A . 6. 4.05.</v>
          </cell>
          <cell r="B684">
            <v>1</v>
          </cell>
        </row>
        <row r="685">
          <cell r="A685" t="str">
            <v>A . 6. 4.06.</v>
          </cell>
          <cell r="B685">
            <v>1</v>
          </cell>
        </row>
        <row r="686">
          <cell r="A686" t="str">
            <v>A . 6. 4.07.</v>
          </cell>
          <cell r="B686">
            <v>31</v>
          </cell>
        </row>
        <row r="687">
          <cell r="A687" t="str">
            <v>A . 6. 4.08.</v>
          </cell>
          <cell r="B687">
            <v>37</v>
          </cell>
        </row>
        <row r="688">
          <cell r="A688" t="str">
            <v>A . 6. 4.09.</v>
          </cell>
          <cell r="B688">
            <v>11</v>
          </cell>
        </row>
        <row r="689">
          <cell r="A689" t="str">
            <v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>A . 6. 5.  .</v>
          </cell>
          <cell r="B691">
            <v>0</v>
          </cell>
        </row>
        <row r="692">
          <cell r="A692" t="str">
            <v>A . 6. 5.01.</v>
          </cell>
          <cell r="B692">
            <v>1289.3599999999999</v>
          </cell>
        </row>
        <row r="693">
          <cell r="A693" t="str">
            <v>A . 6. 5.02.</v>
          </cell>
          <cell r="B693">
            <v>387.12</v>
          </cell>
        </row>
        <row r="694">
          <cell r="A694" t="str">
            <v>A . 6. 5.03.</v>
          </cell>
          <cell r="B694">
            <v>177.38</v>
          </cell>
        </row>
        <row r="695">
          <cell r="A695" t="str">
            <v>A . 6. 5.04.</v>
          </cell>
          <cell r="B695">
            <v>47</v>
          </cell>
        </row>
        <row r="696">
          <cell r="A696" t="str">
            <v>A . 6. 5.05.</v>
          </cell>
          <cell r="B696">
            <v>213.82</v>
          </cell>
        </row>
        <row r="697">
          <cell r="A697" t="str">
            <v>A . 6. 5.06.</v>
          </cell>
          <cell r="B697">
            <v>62.64</v>
          </cell>
        </row>
        <row r="698">
          <cell r="A698" t="str">
            <v>A . 6. 5.07.</v>
          </cell>
          <cell r="B698">
            <v>560.39</v>
          </cell>
        </row>
        <row r="699">
          <cell r="A699" t="str">
            <v>A . 6. 5.08.</v>
          </cell>
          <cell r="B699">
            <v>280.10000000000002</v>
          </cell>
        </row>
        <row r="700">
          <cell r="A700" t="str">
            <v>A . 6. 5.09.</v>
          </cell>
          <cell r="B700">
            <v>244.99</v>
          </cell>
        </row>
        <row r="701">
          <cell r="A701" t="str">
            <v>A . 6. 5.10.</v>
          </cell>
          <cell r="B701">
            <v>3.16</v>
          </cell>
        </row>
        <row r="702">
          <cell r="A702" t="str">
            <v>A . 6. 5.11.</v>
          </cell>
          <cell r="B702">
            <v>307.19</v>
          </cell>
        </row>
        <row r="703">
          <cell r="A703" t="str">
            <v>A . 6. 5.12.</v>
          </cell>
          <cell r="B703">
            <v>0</v>
          </cell>
        </row>
        <row r="704">
          <cell r="A704" t="str">
            <v>A . 6. 5.13.</v>
          </cell>
          <cell r="B704">
            <v>0</v>
          </cell>
        </row>
        <row r="705">
          <cell r="A705" t="str">
            <v>A . 6. 5.14.</v>
          </cell>
          <cell r="B705">
            <v>0</v>
          </cell>
        </row>
        <row r="706">
          <cell r="A706" t="str">
            <v>A . 6. 5.15.</v>
          </cell>
          <cell r="B706">
            <v>31.62</v>
          </cell>
        </row>
        <row r="707">
          <cell r="A707" t="str">
            <v>A . 6. 5.16.</v>
          </cell>
          <cell r="B707">
            <v>20701.8</v>
          </cell>
        </row>
        <row r="708">
          <cell r="A708" t="str">
            <v>A . 6. 5.17.</v>
          </cell>
          <cell r="B708">
            <v>0</v>
          </cell>
        </row>
        <row r="709">
          <cell r="A709" t="str">
            <v>A . 6. 5.18.</v>
          </cell>
          <cell r="B709">
            <v>1</v>
          </cell>
        </row>
        <row r="710">
          <cell r="A710" t="str">
            <v>A . 6. 5.19.</v>
          </cell>
          <cell r="B710">
            <v>4522.3900000000003</v>
          </cell>
        </row>
        <row r="711">
          <cell r="A711" t="str">
            <v>A . 6. 5.20.</v>
          </cell>
          <cell r="B711">
            <v>51</v>
          </cell>
        </row>
        <row r="712">
          <cell r="A712" t="str">
            <v>A . 6. 5.21.</v>
          </cell>
          <cell r="B712">
            <v>102</v>
          </cell>
        </row>
        <row r="713">
          <cell r="A713" t="str">
            <v>A . 6. 5.22.</v>
          </cell>
          <cell r="B713">
            <v>129</v>
          </cell>
        </row>
        <row r="714">
          <cell r="A714" t="str">
            <v>A . 6. 5.23.</v>
          </cell>
          <cell r="B714">
            <v>54</v>
          </cell>
        </row>
        <row r="715">
          <cell r="A715" t="str">
            <v>A . 6. 5.24.</v>
          </cell>
          <cell r="B715">
            <v>128</v>
          </cell>
        </row>
        <row r="716">
          <cell r="A716" t="str">
            <v>A . 6. 5.25.</v>
          </cell>
          <cell r="B716">
            <v>4522.3900000000003</v>
          </cell>
        </row>
        <row r="717">
          <cell r="A717" t="str">
            <v>A . 6. 5.27.</v>
          </cell>
          <cell r="B717">
            <v>308.33999999999997</v>
          </cell>
        </row>
        <row r="718">
          <cell r="A718" t="str">
            <v>A . 6. 5.28.</v>
          </cell>
          <cell r="B718">
            <v>211.89</v>
          </cell>
        </row>
        <row r="719">
          <cell r="A719" t="str">
            <v>A . 6. 5.29.</v>
          </cell>
          <cell r="B719">
            <v>136.4</v>
          </cell>
        </row>
        <row r="720">
          <cell r="A720" t="str">
            <v>A . 6. 5.30.</v>
          </cell>
          <cell r="B720">
            <v>267.56</v>
          </cell>
        </row>
        <row r="721">
          <cell r="A721" t="str">
            <v>A . 6. 5.31.</v>
          </cell>
          <cell r="B721">
            <v>2</v>
          </cell>
        </row>
        <row r="722">
          <cell r="A722" t="str">
            <v>A . 6. 5.32.</v>
          </cell>
          <cell r="B722">
            <v>2.2999999999999998</v>
          </cell>
        </row>
        <row r="723">
          <cell r="A723" t="str">
            <v>A . 6. 5.33.</v>
          </cell>
          <cell r="B723">
            <v>1</v>
          </cell>
        </row>
        <row r="724">
          <cell r="A724" t="str">
            <v>A . 6. 5.34.</v>
          </cell>
          <cell r="B724">
            <v>98</v>
          </cell>
        </row>
        <row r="725">
          <cell r="A725" t="str">
            <v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>A . 6. 6.  .</v>
          </cell>
          <cell r="B727">
            <v>0</v>
          </cell>
        </row>
        <row r="728">
          <cell r="A728" t="str">
            <v>A . 6. 6.01.</v>
          </cell>
          <cell r="B728">
            <v>2</v>
          </cell>
        </row>
        <row r="729">
          <cell r="A729" t="str">
            <v>A . 6. 6.02.</v>
          </cell>
          <cell r="B729">
            <v>3</v>
          </cell>
        </row>
        <row r="730">
          <cell r="A730" t="str">
            <v>A . 6. 6.03.</v>
          </cell>
          <cell r="B730">
            <v>4</v>
          </cell>
        </row>
        <row r="731">
          <cell r="A731" t="str">
            <v>A . 6. 6.04.</v>
          </cell>
          <cell r="B731">
            <v>0</v>
          </cell>
        </row>
        <row r="732">
          <cell r="A732" t="str">
            <v>A . 6. 6.05.</v>
          </cell>
          <cell r="B732">
            <v>11</v>
          </cell>
        </row>
        <row r="733">
          <cell r="A733" t="str">
            <v>A . 6. 6.06.</v>
          </cell>
          <cell r="B733">
            <v>5</v>
          </cell>
        </row>
        <row r="734">
          <cell r="A734" t="str">
            <v>A . 6. 6.07.</v>
          </cell>
          <cell r="B734">
            <v>48</v>
          </cell>
        </row>
        <row r="735">
          <cell r="A735" t="str">
            <v>A . 6. 6.08.</v>
          </cell>
          <cell r="B735">
            <v>408.9</v>
          </cell>
        </row>
        <row r="736">
          <cell r="A736" t="str">
            <v>A . 6. 6.08.01</v>
          </cell>
          <cell r="B736">
            <v>428.8</v>
          </cell>
        </row>
        <row r="737">
          <cell r="A737" t="str">
            <v>A . 6. 6.09.</v>
          </cell>
          <cell r="B737">
            <v>415.2</v>
          </cell>
        </row>
        <row r="738">
          <cell r="A738" t="str">
            <v>A . 6. 6.10.</v>
          </cell>
          <cell r="B738">
            <v>1612.8</v>
          </cell>
        </row>
        <row r="739">
          <cell r="A739" t="str">
            <v>A . 6. 6.11.</v>
          </cell>
          <cell r="B739">
            <v>2209.37</v>
          </cell>
        </row>
        <row r="740">
          <cell r="A740" t="str">
            <v>A . 6. 6.12.</v>
          </cell>
          <cell r="B740">
            <v>34.9</v>
          </cell>
        </row>
        <row r="741">
          <cell r="A741" t="str">
            <v>A . 6. 6.13.</v>
          </cell>
          <cell r="B741">
            <v>97.5</v>
          </cell>
        </row>
        <row r="742">
          <cell r="A742" t="str">
            <v>A . 6. 6.14.</v>
          </cell>
          <cell r="B742">
            <v>270.8</v>
          </cell>
        </row>
        <row r="743">
          <cell r="A743" t="str">
            <v>A . 6. 6.15.</v>
          </cell>
          <cell r="B743">
            <v>9855</v>
          </cell>
        </row>
        <row r="744">
          <cell r="A744" t="str">
            <v>A . 6. 6.16.</v>
          </cell>
          <cell r="B744">
            <v>11564.5</v>
          </cell>
        </row>
        <row r="745">
          <cell r="A745" t="str">
            <v>A . 6. 6.17.</v>
          </cell>
          <cell r="B745">
            <v>2763</v>
          </cell>
        </row>
        <row r="746">
          <cell r="A746" t="str">
            <v>A . 6. 6.18.</v>
          </cell>
          <cell r="B746">
            <v>1435.4</v>
          </cell>
        </row>
        <row r="747">
          <cell r="A747" t="str">
            <v>A . 6. 6.19.</v>
          </cell>
          <cell r="B747">
            <v>3576.4</v>
          </cell>
        </row>
        <row r="748">
          <cell r="A748" t="str">
            <v>A . 6. 6.20.</v>
          </cell>
          <cell r="B748">
            <v>3398</v>
          </cell>
        </row>
        <row r="749">
          <cell r="A749" t="str">
            <v>A . 6. 6.21.</v>
          </cell>
          <cell r="B749">
            <v>0</v>
          </cell>
        </row>
        <row r="750">
          <cell r="A750" t="str">
            <v>A . 6. 6.22.</v>
          </cell>
          <cell r="B750">
            <v>73.2</v>
          </cell>
        </row>
        <row r="751">
          <cell r="A751" t="str">
            <v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>A . 6. 7.  .</v>
          </cell>
          <cell r="B753">
            <v>0</v>
          </cell>
        </row>
        <row r="754">
          <cell r="A754" t="str">
            <v>A . 6. 7.01.</v>
          </cell>
          <cell r="B754">
            <v>84</v>
          </cell>
        </row>
        <row r="755">
          <cell r="A755" t="str">
            <v>A . 6. 7.02.</v>
          </cell>
          <cell r="B755">
            <v>9</v>
          </cell>
        </row>
        <row r="756">
          <cell r="A756" t="str">
            <v>A . 6. 7.03.</v>
          </cell>
          <cell r="B756">
            <v>0</v>
          </cell>
        </row>
        <row r="757">
          <cell r="A757" t="str">
            <v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>A . 6. 8.  .</v>
          </cell>
          <cell r="B759">
            <v>0</v>
          </cell>
        </row>
        <row r="760">
          <cell r="A760" t="str">
            <v>A . 6. 8.01.</v>
          </cell>
          <cell r="B760">
            <v>1</v>
          </cell>
        </row>
        <row r="761">
          <cell r="A761" t="str">
            <v>A . 6. 8.02.</v>
          </cell>
          <cell r="B761">
            <v>1</v>
          </cell>
        </row>
        <row r="762">
          <cell r="A762" t="str">
            <v>A . 6. 8.03.</v>
          </cell>
          <cell r="B762">
            <v>1</v>
          </cell>
        </row>
        <row r="763">
          <cell r="A763" t="str">
            <v>A . 6. 8.04.</v>
          </cell>
          <cell r="B763">
            <v>1</v>
          </cell>
        </row>
        <row r="764">
          <cell r="A764" t="str">
            <v>A . 6. 8.05.</v>
          </cell>
          <cell r="B764">
            <v>1</v>
          </cell>
        </row>
        <row r="765">
          <cell r="A765" t="str">
            <v>A . 6. 8.06.</v>
          </cell>
          <cell r="B765">
            <v>1</v>
          </cell>
        </row>
        <row r="766">
          <cell r="A766" t="str">
            <v>A . 6. 8.07.</v>
          </cell>
          <cell r="B766">
            <v>1</v>
          </cell>
        </row>
        <row r="767">
          <cell r="A767" t="str">
            <v>A . 6. 8.08.</v>
          </cell>
          <cell r="B767">
            <v>1</v>
          </cell>
        </row>
        <row r="768">
          <cell r="A768" t="str">
            <v>A . 6. 8.09.</v>
          </cell>
          <cell r="B768">
            <v>1</v>
          </cell>
        </row>
        <row r="769">
          <cell r="A769" t="str">
            <v>A . 6. 8.10.</v>
          </cell>
          <cell r="B769">
            <v>1</v>
          </cell>
        </row>
        <row r="770">
          <cell r="A770" t="str">
            <v>A . 6. 8.11.</v>
          </cell>
          <cell r="B770">
            <v>1</v>
          </cell>
        </row>
        <row r="771">
          <cell r="A771" t="str">
            <v>A . 6. 8.12.</v>
          </cell>
          <cell r="B771">
            <v>1</v>
          </cell>
        </row>
        <row r="772">
          <cell r="A772" t="str">
            <v>A . 6. 8.13.</v>
          </cell>
          <cell r="B772">
            <v>1</v>
          </cell>
        </row>
        <row r="773">
          <cell r="A773" t="str">
            <v>A . 6. 8.14.</v>
          </cell>
          <cell r="B773">
            <v>1</v>
          </cell>
        </row>
        <row r="774">
          <cell r="A774" t="str">
            <v>A . 6. 8.15.</v>
          </cell>
          <cell r="B774">
            <v>1</v>
          </cell>
        </row>
        <row r="775">
          <cell r="A775" t="str">
            <v>A . 6. 8.16.</v>
          </cell>
          <cell r="B775">
            <v>1</v>
          </cell>
        </row>
        <row r="776">
          <cell r="A776" t="str">
            <v>A . 6. 8.17.</v>
          </cell>
          <cell r="B776">
            <v>1</v>
          </cell>
        </row>
        <row r="777">
          <cell r="A777" t="str">
            <v>A . 6. 8.18.</v>
          </cell>
          <cell r="B777">
            <v>1</v>
          </cell>
        </row>
        <row r="778">
          <cell r="A778" t="str">
            <v>A . 6. 8.19.</v>
          </cell>
          <cell r="B778">
            <v>1</v>
          </cell>
        </row>
        <row r="779">
          <cell r="A779" t="str">
            <v>A . 6. 8.20.</v>
          </cell>
          <cell r="B779">
            <v>1</v>
          </cell>
        </row>
        <row r="780">
          <cell r="A780" t="str">
            <v>A . 6. 8.21.</v>
          </cell>
          <cell r="B780">
            <v>1</v>
          </cell>
        </row>
        <row r="781">
          <cell r="A781" t="str">
            <v>A . 6. 8.22.</v>
          </cell>
          <cell r="B781">
            <v>1</v>
          </cell>
        </row>
        <row r="782">
          <cell r="A782" t="str">
            <v>A . 6. 8.23.</v>
          </cell>
          <cell r="B782">
            <v>1</v>
          </cell>
        </row>
        <row r="783">
          <cell r="A783" t="str">
            <v>A . 6. 8.24.</v>
          </cell>
          <cell r="B783">
            <v>1</v>
          </cell>
        </row>
        <row r="784">
          <cell r="A784" t="str">
            <v>A . 6. 8.25.</v>
          </cell>
          <cell r="B784">
            <v>1</v>
          </cell>
        </row>
        <row r="785">
          <cell r="A785" t="str">
            <v>A . 6. 8.26.</v>
          </cell>
          <cell r="B785">
            <v>1</v>
          </cell>
        </row>
        <row r="786">
          <cell r="A786" t="str">
            <v>A . 6. 8.27.</v>
          </cell>
          <cell r="B786">
            <v>1</v>
          </cell>
        </row>
        <row r="787">
          <cell r="A787" t="str">
            <v>A . 6. 8.28.</v>
          </cell>
          <cell r="B787">
            <v>1</v>
          </cell>
        </row>
        <row r="788">
          <cell r="A788" t="str">
            <v>A . 6. 8.29.</v>
          </cell>
          <cell r="B788">
            <v>1</v>
          </cell>
        </row>
        <row r="789">
          <cell r="A789" t="str">
            <v>A . 6. 8.30.</v>
          </cell>
          <cell r="B789">
            <v>1</v>
          </cell>
        </row>
        <row r="790">
          <cell r="A790" t="str">
            <v>A . 6. 8.31.</v>
          </cell>
          <cell r="B790">
            <v>1</v>
          </cell>
        </row>
        <row r="791">
          <cell r="A791" t="str">
            <v>A . 6. 8.32.</v>
          </cell>
          <cell r="B791">
            <v>1</v>
          </cell>
        </row>
        <row r="792">
          <cell r="A792" t="str">
            <v>A . 6. 8.33.</v>
          </cell>
          <cell r="B792">
            <v>1</v>
          </cell>
        </row>
        <row r="793">
          <cell r="A793" t="str">
            <v>A . 6. 8.34.</v>
          </cell>
          <cell r="B793">
            <v>1</v>
          </cell>
        </row>
        <row r="794">
          <cell r="A794" t="str">
            <v>A . 6. 8.35.</v>
          </cell>
          <cell r="B794">
            <v>1</v>
          </cell>
        </row>
        <row r="795">
          <cell r="A795" t="str">
            <v>A . 6. 8.36.</v>
          </cell>
          <cell r="B795">
            <v>1</v>
          </cell>
        </row>
        <row r="796">
          <cell r="A796" t="str">
            <v>A . 6. 8.37.</v>
          </cell>
          <cell r="B796">
            <v>1</v>
          </cell>
        </row>
        <row r="797">
          <cell r="A797" t="str">
            <v>A . 6. 8.38.</v>
          </cell>
          <cell r="B797">
            <v>1</v>
          </cell>
        </row>
        <row r="798">
          <cell r="A798" t="str">
            <v>A . 6. 8.39.</v>
          </cell>
          <cell r="B798">
            <v>1</v>
          </cell>
        </row>
        <row r="799">
          <cell r="A799" t="str">
            <v>A . 6. 8.40.</v>
          </cell>
          <cell r="B799">
            <v>1</v>
          </cell>
        </row>
        <row r="800">
          <cell r="A800" t="str">
            <v>A . 6. 8.41.</v>
          </cell>
          <cell r="B800">
            <v>1</v>
          </cell>
        </row>
        <row r="801">
          <cell r="A801" t="str">
            <v>A . 6. 8.42.</v>
          </cell>
          <cell r="B801">
            <v>1</v>
          </cell>
        </row>
        <row r="802">
          <cell r="A802" t="str">
            <v>A . 6. 8.43.</v>
          </cell>
          <cell r="B802">
            <v>1</v>
          </cell>
        </row>
        <row r="803">
          <cell r="A803" t="str">
            <v>A . 6. 8.44.</v>
          </cell>
          <cell r="B803">
            <v>1</v>
          </cell>
        </row>
        <row r="804">
          <cell r="A804" t="str">
            <v>A . 6. 8.45.</v>
          </cell>
          <cell r="B804">
            <v>1</v>
          </cell>
        </row>
        <row r="805">
          <cell r="A805" t="str">
            <v>A . 6. 8.46.</v>
          </cell>
          <cell r="B805">
            <v>1</v>
          </cell>
        </row>
        <row r="806">
          <cell r="A806" t="str">
            <v>A . 6. 8.47.</v>
          </cell>
          <cell r="B806">
            <v>1</v>
          </cell>
        </row>
        <row r="807">
          <cell r="A807" t="str">
            <v>A . 6. 8.48.</v>
          </cell>
          <cell r="B807">
            <v>1</v>
          </cell>
        </row>
        <row r="808">
          <cell r="A808" t="str">
            <v>A . 6. 8.49.</v>
          </cell>
          <cell r="B808">
            <v>1</v>
          </cell>
        </row>
        <row r="809">
          <cell r="A809" t="str">
            <v>A . 6. 8.50.</v>
          </cell>
          <cell r="B809">
            <v>1</v>
          </cell>
        </row>
        <row r="810">
          <cell r="A810" t="str">
            <v>A . 6. 8.51.</v>
          </cell>
          <cell r="B810">
            <v>1</v>
          </cell>
        </row>
        <row r="811">
          <cell r="A811" t="str">
            <v>A . 6. 8.52.</v>
          </cell>
          <cell r="B811">
            <v>1</v>
          </cell>
        </row>
        <row r="812">
          <cell r="A812" t="str">
            <v>A . 6. 8.53.</v>
          </cell>
          <cell r="B812">
            <v>1</v>
          </cell>
        </row>
        <row r="813">
          <cell r="A813" t="str">
            <v>A . 6. 8.54.</v>
          </cell>
          <cell r="B813">
            <v>1</v>
          </cell>
        </row>
        <row r="814">
          <cell r="A814" t="str">
            <v>A . 6. 8.55.</v>
          </cell>
          <cell r="B814">
            <v>1</v>
          </cell>
        </row>
        <row r="815">
          <cell r="A815" t="str">
            <v>A . 6. 8.56.</v>
          </cell>
          <cell r="B815">
            <v>1</v>
          </cell>
        </row>
        <row r="816">
          <cell r="A816" t="str">
            <v>A . 6. 8.57.</v>
          </cell>
          <cell r="B816">
            <v>1</v>
          </cell>
        </row>
        <row r="817">
          <cell r="A817" t="str">
            <v>A . 6. 8.58.</v>
          </cell>
          <cell r="B817">
            <v>1</v>
          </cell>
        </row>
        <row r="818">
          <cell r="A818" t="str">
            <v>A . 6. 8.59.</v>
          </cell>
          <cell r="B818">
            <v>1</v>
          </cell>
        </row>
        <row r="819">
          <cell r="A819" t="str">
            <v>A . 6. 8.60.</v>
          </cell>
          <cell r="B819">
            <v>1</v>
          </cell>
        </row>
        <row r="820">
          <cell r="A820" t="str">
            <v>A . 6. 8.61.</v>
          </cell>
          <cell r="B820">
            <v>1</v>
          </cell>
        </row>
        <row r="821">
          <cell r="A821" t="str">
            <v>A . 6. 8.62.</v>
          </cell>
          <cell r="B821">
            <v>1</v>
          </cell>
        </row>
        <row r="822">
          <cell r="A822" t="str">
            <v>A . 6. 8.63.</v>
          </cell>
          <cell r="B822">
            <v>1</v>
          </cell>
        </row>
        <row r="823">
          <cell r="A823" t="str">
            <v>A . 6. 8.64.</v>
          </cell>
          <cell r="B823">
            <v>1</v>
          </cell>
        </row>
        <row r="824">
          <cell r="A824" t="str">
            <v>A . 6. 8.65.</v>
          </cell>
          <cell r="B824">
            <v>1</v>
          </cell>
        </row>
        <row r="825">
          <cell r="A825" t="str">
            <v>A . 6. 8.66.</v>
          </cell>
          <cell r="B825">
            <v>1</v>
          </cell>
        </row>
        <row r="826">
          <cell r="A826" t="str">
            <v>A . 6. 8.67.</v>
          </cell>
          <cell r="B826">
            <v>1</v>
          </cell>
        </row>
        <row r="827">
          <cell r="A827" t="str">
            <v>A . 6. 8.68.</v>
          </cell>
          <cell r="B827">
            <v>1</v>
          </cell>
        </row>
        <row r="828">
          <cell r="A828" t="str">
            <v>A . 6. 8.69.</v>
          </cell>
          <cell r="B828">
            <v>1</v>
          </cell>
        </row>
        <row r="829">
          <cell r="A829" t="str">
            <v>A . 6. 8.70.</v>
          </cell>
          <cell r="B829">
            <v>1</v>
          </cell>
        </row>
        <row r="830">
          <cell r="A830" t="str">
            <v>A . 6. 8.71.</v>
          </cell>
          <cell r="B830">
            <v>1</v>
          </cell>
        </row>
        <row r="831">
          <cell r="A831" t="str">
            <v>A . 6. 8.72.</v>
          </cell>
          <cell r="B831">
            <v>1</v>
          </cell>
        </row>
        <row r="832">
          <cell r="A832" t="str">
            <v>A . 6. 8.73.</v>
          </cell>
          <cell r="B832">
            <v>1</v>
          </cell>
        </row>
        <row r="833">
          <cell r="A833" t="str">
            <v>A . 6. 8.74.</v>
          </cell>
          <cell r="B833">
            <v>1</v>
          </cell>
        </row>
        <row r="834">
          <cell r="A834" t="str">
            <v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>A . 7. 0.  .</v>
          </cell>
          <cell r="B836">
            <v>0</v>
          </cell>
        </row>
        <row r="837">
          <cell r="A837" t="str">
            <v>A . 7. 1.00.</v>
          </cell>
          <cell r="B837">
            <v>0</v>
          </cell>
        </row>
        <row r="838">
          <cell r="A838" t="str">
            <v>A . 7. 1.01.</v>
          </cell>
          <cell r="B838">
            <v>0</v>
          </cell>
        </row>
        <row r="839">
          <cell r="A839" t="str">
            <v>A . 7. 1.02.</v>
          </cell>
          <cell r="B839">
            <v>0</v>
          </cell>
        </row>
        <row r="840">
          <cell r="A840" t="str">
            <v>A . 7. 1.03.</v>
          </cell>
          <cell r="B840">
            <v>0</v>
          </cell>
        </row>
        <row r="841">
          <cell r="A841" t="str">
            <v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>A . 7. 2.  .</v>
          </cell>
          <cell r="B843">
            <v>0</v>
          </cell>
        </row>
        <row r="844">
          <cell r="A844" t="str">
            <v>A . 7. 2. 1.</v>
          </cell>
          <cell r="B844">
            <v>0</v>
          </cell>
        </row>
        <row r="845">
          <cell r="A845" t="str">
            <v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>A . 7. 4.  .</v>
          </cell>
          <cell r="B847">
            <v>0</v>
          </cell>
        </row>
        <row r="848">
          <cell r="A848" t="str">
            <v>A . 7. 4.01.</v>
          </cell>
          <cell r="B848">
            <v>0</v>
          </cell>
        </row>
        <row r="849">
          <cell r="A849" t="str">
            <v>A . 7. 4.02.</v>
          </cell>
          <cell r="B849">
            <v>0</v>
          </cell>
        </row>
        <row r="850">
          <cell r="A850" t="str">
            <v>A . 7. 4.03.</v>
          </cell>
          <cell r="B850">
            <v>0</v>
          </cell>
        </row>
        <row r="851">
          <cell r="A851" t="str">
            <v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>A . 7. 5.  .</v>
          </cell>
          <cell r="B853">
            <v>0</v>
          </cell>
        </row>
        <row r="854">
          <cell r="A854" t="str">
            <v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>A . 7. 7.  .</v>
          </cell>
          <cell r="B856">
            <v>0</v>
          </cell>
        </row>
        <row r="857">
          <cell r="A857" t="str">
            <v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>A . 8. 0.  .</v>
          </cell>
          <cell r="B859">
            <v>0</v>
          </cell>
        </row>
        <row r="860">
          <cell r="A860" t="str">
            <v>A . 8. 1.00.</v>
          </cell>
          <cell r="B860">
            <v>0</v>
          </cell>
        </row>
        <row r="861">
          <cell r="A861" t="str">
            <v>A . 8. 1.01.</v>
          </cell>
          <cell r="B861">
            <v>105.1</v>
          </cell>
        </row>
        <row r="862">
          <cell r="A862" t="str">
            <v>A . 8. 1.02.</v>
          </cell>
          <cell r="B862">
            <v>4.25</v>
          </cell>
        </row>
        <row r="863">
          <cell r="A863" t="str">
            <v>A . 8. 1.03.</v>
          </cell>
          <cell r="B863">
            <v>160.9</v>
          </cell>
        </row>
        <row r="864">
          <cell r="A864" t="str">
            <v>A . 8. 1.04.</v>
          </cell>
          <cell r="B864">
            <v>380.83</v>
          </cell>
        </row>
        <row r="865">
          <cell r="A865" t="str">
            <v>A . 8. 1.04.01</v>
          </cell>
          <cell r="B865">
            <v>39.770000000000003</v>
          </cell>
        </row>
        <row r="866">
          <cell r="A866" t="str">
            <v>A . 8. 1.05.</v>
          </cell>
          <cell r="B866">
            <v>165.95</v>
          </cell>
        </row>
        <row r="867">
          <cell r="A867" t="str">
            <v>A . 8. 1.06.</v>
          </cell>
          <cell r="B867">
            <v>37.35</v>
          </cell>
        </row>
        <row r="868">
          <cell r="A868" t="str">
            <v>A . 8. 1.07.</v>
          </cell>
          <cell r="B868">
            <v>53.17</v>
          </cell>
        </row>
        <row r="869">
          <cell r="A869" t="str">
            <v>A . 8. 1.08.</v>
          </cell>
          <cell r="B869">
            <v>30.48</v>
          </cell>
        </row>
        <row r="870">
          <cell r="A870" t="str">
            <v>A . 8. 1.09.</v>
          </cell>
          <cell r="B870">
            <v>15.09</v>
          </cell>
        </row>
        <row r="871">
          <cell r="A871" t="str">
            <v>A . 8. 1.10.</v>
          </cell>
          <cell r="B871">
            <v>17.64</v>
          </cell>
        </row>
        <row r="872">
          <cell r="A872" t="str">
            <v>A . 8. 1.11.</v>
          </cell>
          <cell r="B872">
            <v>164.78</v>
          </cell>
        </row>
        <row r="873">
          <cell r="A873" t="str">
            <v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>A . 8. 2.  .</v>
          </cell>
          <cell r="B875">
            <v>0</v>
          </cell>
        </row>
        <row r="876">
          <cell r="A876" t="str">
            <v>A . 8. 2. 1.</v>
          </cell>
          <cell r="B876">
            <v>98.71</v>
          </cell>
        </row>
        <row r="877">
          <cell r="A877" t="str">
            <v>A . 8. 2. 2.</v>
          </cell>
          <cell r="B877">
            <v>21.48</v>
          </cell>
        </row>
        <row r="878">
          <cell r="A878" t="str">
            <v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>A . 8. 3.00.</v>
          </cell>
          <cell r="B880">
            <v>0</v>
          </cell>
        </row>
        <row r="881">
          <cell r="A881" t="str">
            <v>A . 8. 3.01.</v>
          </cell>
          <cell r="B881">
            <v>501.54</v>
          </cell>
        </row>
        <row r="882">
          <cell r="A882" t="str">
            <v>A . 8. 3.02.</v>
          </cell>
          <cell r="B882">
            <v>160.11000000000001</v>
          </cell>
        </row>
        <row r="883">
          <cell r="A883" t="str">
            <v>A . 8. 3.03.</v>
          </cell>
          <cell r="B883">
            <v>44.01</v>
          </cell>
        </row>
        <row r="884">
          <cell r="A884" t="str">
            <v>A . 8. 3.04.</v>
          </cell>
          <cell r="B884">
            <v>1</v>
          </cell>
        </row>
        <row r="885">
          <cell r="A885" t="str">
            <v>A . 8. 3.05.</v>
          </cell>
          <cell r="B885">
            <v>7</v>
          </cell>
        </row>
        <row r="886">
          <cell r="A886" t="str">
            <v>A . 8. 3.06.</v>
          </cell>
          <cell r="B886">
            <v>0</v>
          </cell>
        </row>
        <row r="887">
          <cell r="A887" t="str">
            <v>A . 8. 3.07.</v>
          </cell>
          <cell r="B887">
            <v>1</v>
          </cell>
        </row>
        <row r="888">
          <cell r="A888" t="str">
            <v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>A . 8. 4.  .</v>
          </cell>
          <cell r="B890">
            <v>0</v>
          </cell>
        </row>
        <row r="891">
          <cell r="A891" t="str">
            <v>A . 8. 4.01.</v>
          </cell>
          <cell r="B891">
            <v>8.4</v>
          </cell>
        </row>
        <row r="892">
          <cell r="A892" t="str">
            <v>A . 8. 4.02.</v>
          </cell>
          <cell r="B892">
            <v>10.76</v>
          </cell>
        </row>
        <row r="893">
          <cell r="A893" t="str">
            <v>A . 8. 4.03.</v>
          </cell>
          <cell r="B893">
            <v>0</v>
          </cell>
        </row>
        <row r="894">
          <cell r="A894" t="str">
            <v>A . 8. 4.04.</v>
          </cell>
          <cell r="B894">
            <v>1</v>
          </cell>
        </row>
        <row r="895">
          <cell r="A895" t="str">
            <v>A . 8. 4.05.</v>
          </cell>
          <cell r="B895">
            <v>2</v>
          </cell>
        </row>
        <row r="896">
          <cell r="A896" t="str">
            <v>A . 8. 4.06.</v>
          </cell>
          <cell r="B896">
            <v>2</v>
          </cell>
        </row>
        <row r="897">
          <cell r="A897" t="str">
            <v>A . 8. 4.07.</v>
          </cell>
          <cell r="B897">
            <v>1</v>
          </cell>
        </row>
        <row r="898">
          <cell r="A898" t="str">
            <v>A . 8. 4.08.</v>
          </cell>
          <cell r="B898">
            <v>10.85</v>
          </cell>
        </row>
        <row r="899">
          <cell r="A899" t="str">
            <v>A . 8. 4.09.</v>
          </cell>
          <cell r="B899">
            <v>1</v>
          </cell>
        </row>
        <row r="900">
          <cell r="A900" t="str">
            <v>A . 8. 4.10.</v>
          </cell>
          <cell r="B900">
            <v>9</v>
          </cell>
        </row>
        <row r="901">
          <cell r="A901" t="str">
            <v>A . 8. 4.11.</v>
          </cell>
          <cell r="B901">
            <v>1</v>
          </cell>
        </row>
        <row r="902">
          <cell r="A902" t="str">
            <v>A . 8. 4.12.</v>
          </cell>
          <cell r="B902">
            <v>0</v>
          </cell>
        </row>
        <row r="903">
          <cell r="A903" t="str">
            <v>A . 8. 4.13.</v>
          </cell>
          <cell r="B903">
            <v>2</v>
          </cell>
        </row>
        <row r="904">
          <cell r="A904" t="str">
            <v>A . 8. 4.14.</v>
          </cell>
          <cell r="B904">
            <v>1</v>
          </cell>
        </row>
        <row r="905">
          <cell r="A905" t="str">
            <v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>A . 8. 5.  .</v>
          </cell>
          <cell r="B907">
            <v>0</v>
          </cell>
        </row>
        <row r="908">
          <cell r="A908" t="str">
            <v>A . 8. 5.01.</v>
          </cell>
          <cell r="B908">
            <v>199.18</v>
          </cell>
        </row>
        <row r="909">
          <cell r="A909" t="str">
            <v>A . 8. 5.02.</v>
          </cell>
          <cell r="B909">
            <v>372.79</v>
          </cell>
        </row>
        <row r="910">
          <cell r="A910" t="str">
            <v>A . 8. 5.03.</v>
          </cell>
          <cell r="B910">
            <v>237.75</v>
          </cell>
        </row>
        <row r="911">
          <cell r="A911" t="str">
            <v>A . 8. 5.04.</v>
          </cell>
          <cell r="B911">
            <v>7.48</v>
          </cell>
        </row>
        <row r="912">
          <cell r="A912" t="str">
            <v>A . 8. 5.05.</v>
          </cell>
          <cell r="B912">
            <v>0.7</v>
          </cell>
        </row>
        <row r="913">
          <cell r="A913" t="str">
            <v>A . 8. 5.06.</v>
          </cell>
          <cell r="B913">
            <v>112.03</v>
          </cell>
        </row>
        <row r="914">
          <cell r="A914" t="str">
            <v>A . 8. 5.07.</v>
          </cell>
          <cell r="B914">
            <v>0</v>
          </cell>
        </row>
        <row r="915">
          <cell r="A915" t="str">
            <v>A . 8. 5.08.</v>
          </cell>
          <cell r="B915">
            <v>0</v>
          </cell>
        </row>
        <row r="916">
          <cell r="A916" t="str">
            <v>A . 8. 5.09.</v>
          </cell>
          <cell r="B916">
            <v>0</v>
          </cell>
        </row>
        <row r="917">
          <cell r="A917" t="str">
            <v>A . 8. 5.10.</v>
          </cell>
          <cell r="B917">
            <v>0</v>
          </cell>
        </row>
        <row r="918">
          <cell r="A918" t="str">
            <v>A . 8. 5.11.</v>
          </cell>
          <cell r="B918">
            <v>3366.77</v>
          </cell>
        </row>
        <row r="919">
          <cell r="A919" t="str">
            <v>A . 8. 5.12.</v>
          </cell>
          <cell r="B919">
            <v>0</v>
          </cell>
        </row>
        <row r="920">
          <cell r="A920" t="str">
            <v>A . 8. 5.13.</v>
          </cell>
          <cell r="B920">
            <v>1020.76</v>
          </cell>
        </row>
        <row r="921">
          <cell r="A921" t="str">
            <v>A . 8. 5.14.</v>
          </cell>
          <cell r="B921">
            <v>7</v>
          </cell>
        </row>
        <row r="922">
          <cell r="A922" t="str">
            <v>A . 8. 5.15.</v>
          </cell>
          <cell r="B922">
            <v>4</v>
          </cell>
        </row>
        <row r="923">
          <cell r="A923" t="str">
            <v>A . 8. 5.16.</v>
          </cell>
          <cell r="B923">
            <v>43</v>
          </cell>
        </row>
        <row r="924">
          <cell r="A924" t="str">
            <v>A . 8. 5.17.</v>
          </cell>
          <cell r="B924">
            <v>52</v>
          </cell>
        </row>
        <row r="925">
          <cell r="A925" t="str">
            <v>A . 8. 5.18.</v>
          </cell>
          <cell r="B925">
            <v>19</v>
          </cell>
        </row>
        <row r="926">
          <cell r="A926" t="str">
            <v>A . 8. 5.19.</v>
          </cell>
          <cell r="B926">
            <v>36</v>
          </cell>
        </row>
        <row r="927">
          <cell r="A927" t="str">
            <v>A . 8. 5.20.</v>
          </cell>
          <cell r="B927">
            <v>1020.76</v>
          </cell>
        </row>
        <row r="928">
          <cell r="A928" t="str">
            <v>A . 8. 5.21.</v>
          </cell>
          <cell r="B928">
            <v>64.28</v>
          </cell>
        </row>
        <row r="929">
          <cell r="A929" t="str">
            <v>A . 8. 5.22.</v>
          </cell>
          <cell r="B929">
            <v>12.59</v>
          </cell>
        </row>
        <row r="930">
          <cell r="A930" t="str">
            <v>A . 8. 5.23.</v>
          </cell>
          <cell r="B930">
            <v>2.42</v>
          </cell>
        </row>
        <row r="931">
          <cell r="A931" t="str">
            <v>A . 8. 5.24.</v>
          </cell>
          <cell r="B931">
            <v>11.55</v>
          </cell>
        </row>
        <row r="932">
          <cell r="A932" t="str">
            <v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>A . 8. 6.  .</v>
          </cell>
          <cell r="B934">
            <v>0</v>
          </cell>
        </row>
        <row r="935">
          <cell r="A935" t="str">
            <v>A . 8. 6.01.</v>
          </cell>
          <cell r="B935">
            <v>4</v>
          </cell>
        </row>
        <row r="936">
          <cell r="A936" t="str">
            <v>A . 8. 6.02.</v>
          </cell>
          <cell r="B936">
            <v>1</v>
          </cell>
        </row>
        <row r="937">
          <cell r="A937" t="str">
            <v>A . 8. 6.03.</v>
          </cell>
          <cell r="B937">
            <v>2</v>
          </cell>
        </row>
        <row r="938">
          <cell r="A938" t="str">
            <v>A . 8. 6.04.</v>
          </cell>
          <cell r="B938">
            <v>2</v>
          </cell>
        </row>
        <row r="939">
          <cell r="A939" t="str">
            <v>A . 8. 6.05.</v>
          </cell>
          <cell r="B939">
            <v>2</v>
          </cell>
        </row>
        <row r="940">
          <cell r="A940" t="str">
            <v>A . 8. 6.06.</v>
          </cell>
          <cell r="B940">
            <v>22</v>
          </cell>
        </row>
        <row r="941">
          <cell r="A941" t="str">
            <v>A . 8. 6.07.</v>
          </cell>
          <cell r="B941">
            <v>4</v>
          </cell>
        </row>
        <row r="942">
          <cell r="A942" t="str">
            <v>A . 8. 6.08.</v>
          </cell>
          <cell r="B942">
            <v>55</v>
          </cell>
        </row>
        <row r="943">
          <cell r="A943" t="str">
            <v>A . 8. 6.09.</v>
          </cell>
          <cell r="B943">
            <v>1</v>
          </cell>
        </row>
        <row r="944">
          <cell r="A944" t="str">
            <v>A . 8. 6.10.</v>
          </cell>
          <cell r="B944">
            <v>217.6</v>
          </cell>
        </row>
        <row r="945">
          <cell r="A945" t="str">
            <v>A . 8. 6.10.01</v>
          </cell>
          <cell r="B945">
            <v>168.7</v>
          </cell>
        </row>
        <row r="946">
          <cell r="A946" t="str">
            <v>A . 8. 6.11.</v>
          </cell>
          <cell r="B946">
            <v>117.4</v>
          </cell>
        </row>
        <row r="947">
          <cell r="A947" t="str">
            <v>A . 8. 6.12.</v>
          </cell>
          <cell r="B947">
            <v>219.6</v>
          </cell>
        </row>
        <row r="948">
          <cell r="A948" t="str">
            <v>A . 8. 6.13.</v>
          </cell>
          <cell r="B948">
            <v>490.72</v>
          </cell>
        </row>
        <row r="949">
          <cell r="A949" t="str">
            <v>A . 8. 6.14.</v>
          </cell>
          <cell r="B949">
            <v>19.399999999999999</v>
          </cell>
        </row>
        <row r="950">
          <cell r="A950" t="str">
            <v>A . 8. 6.15.</v>
          </cell>
          <cell r="B950">
            <v>46.7</v>
          </cell>
        </row>
        <row r="951">
          <cell r="A951" t="str">
            <v>A . 8. 6.16.</v>
          </cell>
          <cell r="B951">
            <v>314.5</v>
          </cell>
        </row>
        <row r="952">
          <cell r="A952" t="str">
            <v>A . 8. 6.17.</v>
          </cell>
          <cell r="B952">
            <v>2574</v>
          </cell>
        </row>
        <row r="953">
          <cell r="A953" t="str">
            <v>A . 8. 6.18.</v>
          </cell>
          <cell r="B953">
            <v>2727</v>
          </cell>
        </row>
        <row r="954">
          <cell r="A954" t="str">
            <v>A . 8. 6.19.</v>
          </cell>
          <cell r="B954">
            <v>230</v>
          </cell>
        </row>
        <row r="955">
          <cell r="A955" t="str">
            <v>A . 8. 6.20.</v>
          </cell>
          <cell r="B955">
            <v>1551.66</v>
          </cell>
        </row>
        <row r="956">
          <cell r="A956" t="str">
            <v>A . 8. 6.21.</v>
          </cell>
          <cell r="B956">
            <v>853.4</v>
          </cell>
        </row>
        <row r="957">
          <cell r="A957" t="str">
            <v>A . 8. 6.22.</v>
          </cell>
          <cell r="B957">
            <v>1264</v>
          </cell>
        </row>
        <row r="958">
          <cell r="A958" t="str">
            <v>A . 8. 6.23.</v>
          </cell>
          <cell r="B958">
            <v>9</v>
          </cell>
        </row>
        <row r="959">
          <cell r="A959" t="str">
            <v>A . 8. 6.24.</v>
          </cell>
          <cell r="B959">
            <v>0</v>
          </cell>
        </row>
        <row r="960">
          <cell r="A960" t="str">
            <v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>A . 8. 7.  .</v>
          </cell>
          <cell r="B962">
            <v>0</v>
          </cell>
        </row>
        <row r="963">
          <cell r="A963" t="str">
            <v>A . 8. 7.01.</v>
          </cell>
          <cell r="B963">
            <v>25</v>
          </cell>
        </row>
        <row r="964">
          <cell r="A964" t="str">
            <v>A . 8. 7.02.</v>
          </cell>
          <cell r="B964">
            <v>0</v>
          </cell>
        </row>
        <row r="965">
          <cell r="A965" t="str">
            <v>A . 8. 7.03.</v>
          </cell>
          <cell r="B965">
            <v>0</v>
          </cell>
        </row>
        <row r="966">
          <cell r="A966" t="str">
            <v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>A . 8. 8.  .</v>
          </cell>
          <cell r="B968">
            <v>0</v>
          </cell>
        </row>
        <row r="969">
          <cell r="A969" t="str">
            <v>A . 8. 8.01.</v>
          </cell>
          <cell r="B969">
            <v>1</v>
          </cell>
        </row>
        <row r="970">
          <cell r="A970" t="str">
            <v>A . 8. 8.02.</v>
          </cell>
          <cell r="B970">
            <v>1</v>
          </cell>
        </row>
        <row r="971">
          <cell r="A971" t="str">
            <v>A . 8. 8.03.</v>
          </cell>
          <cell r="B971">
            <v>1</v>
          </cell>
        </row>
        <row r="972">
          <cell r="A972" t="str">
            <v>A . 8. 8.04.</v>
          </cell>
          <cell r="B972">
            <v>1</v>
          </cell>
        </row>
        <row r="973">
          <cell r="A973" t="str">
            <v>A . 8. 8.05.</v>
          </cell>
          <cell r="B973">
            <v>1</v>
          </cell>
        </row>
        <row r="974">
          <cell r="A974" t="str">
            <v>A . 8. 8.06.</v>
          </cell>
          <cell r="B974">
            <v>1</v>
          </cell>
        </row>
        <row r="975">
          <cell r="A975" t="str">
            <v>A . 8. 8.07.</v>
          </cell>
          <cell r="B975">
            <v>1</v>
          </cell>
        </row>
        <row r="976">
          <cell r="A976" t="str">
            <v>A . 8. 8.08.</v>
          </cell>
          <cell r="B976">
            <v>1</v>
          </cell>
        </row>
        <row r="977">
          <cell r="A977" t="str">
            <v>A . 8. 8.09.</v>
          </cell>
          <cell r="B977">
            <v>1</v>
          </cell>
        </row>
        <row r="978">
          <cell r="A978" t="str">
            <v>A . 8. 8.10.</v>
          </cell>
          <cell r="B978">
            <v>1</v>
          </cell>
        </row>
        <row r="979">
          <cell r="A979" t="str">
            <v>A . 8. 8.11.</v>
          </cell>
          <cell r="B979">
            <v>1</v>
          </cell>
        </row>
        <row r="980">
          <cell r="A980" t="str">
            <v>A . 8. 8.12.</v>
          </cell>
          <cell r="B980">
            <v>1</v>
          </cell>
        </row>
        <row r="981">
          <cell r="A981" t="str">
            <v>A . 8. 8.13.</v>
          </cell>
          <cell r="B981">
            <v>1</v>
          </cell>
        </row>
        <row r="982">
          <cell r="A982" t="str">
            <v>A . 8. 8.14.</v>
          </cell>
          <cell r="B982">
            <v>1</v>
          </cell>
        </row>
        <row r="983">
          <cell r="A983" t="str">
            <v>A . 8. 8.15.</v>
          </cell>
          <cell r="B983">
            <v>1</v>
          </cell>
        </row>
        <row r="984">
          <cell r="A984" t="str">
            <v>A . 8. 8.16.</v>
          </cell>
          <cell r="B984">
            <v>1</v>
          </cell>
        </row>
        <row r="985">
          <cell r="A985" t="str">
            <v>A . 8. 8.17.</v>
          </cell>
          <cell r="B985">
            <v>1</v>
          </cell>
        </row>
        <row r="986">
          <cell r="A986" t="str">
            <v>A . 8. 8.18.</v>
          </cell>
          <cell r="B986">
            <v>1</v>
          </cell>
        </row>
        <row r="987">
          <cell r="A987" t="str">
            <v>A . 8. 8.19.</v>
          </cell>
          <cell r="B987">
            <v>1</v>
          </cell>
        </row>
        <row r="988">
          <cell r="A988" t="str">
            <v>A . 8. 8.20.</v>
          </cell>
          <cell r="B988">
            <v>1</v>
          </cell>
        </row>
        <row r="989">
          <cell r="A989" t="str">
            <v>A . 8. 8.21.</v>
          </cell>
          <cell r="B989">
            <v>1</v>
          </cell>
        </row>
        <row r="990">
          <cell r="A990" t="str">
            <v>A . 8. 8.22.</v>
          </cell>
          <cell r="B990">
            <v>1</v>
          </cell>
        </row>
        <row r="991">
          <cell r="A991" t="str">
            <v>A . 8. 8.23.</v>
          </cell>
          <cell r="B991">
            <v>1</v>
          </cell>
        </row>
        <row r="992">
          <cell r="A992" t="str">
            <v>A . 8. 8.24.</v>
          </cell>
          <cell r="B992">
            <v>1</v>
          </cell>
        </row>
        <row r="993">
          <cell r="A993" t="str">
            <v>A . 8. 8.25.</v>
          </cell>
          <cell r="B993">
            <v>1</v>
          </cell>
        </row>
        <row r="994">
          <cell r="A994" t="str">
            <v>A . 8. 8.26.</v>
          </cell>
          <cell r="B994">
            <v>1</v>
          </cell>
        </row>
        <row r="995">
          <cell r="A995" t="str">
            <v>A . 8. 8.27.</v>
          </cell>
          <cell r="B995">
            <v>1</v>
          </cell>
        </row>
        <row r="996">
          <cell r="A996" t="str">
            <v>A . 8. 8.28.</v>
          </cell>
          <cell r="B996">
            <v>1</v>
          </cell>
        </row>
        <row r="997">
          <cell r="A997" t="str">
            <v>A . 8. 8.29.</v>
          </cell>
          <cell r="B997">
            <v>1</v>
          </cell>
        </row>
        <row r="998">
          <cell r="A998" t="str">
            <v>A . 8. 8.30.</v>
          </cell>
          <cell r="B998">
            <v>1</v>
          </cell>
        </row>
        <row r="999">
          <cell r="A999" t="str">
            <v>A . 8. 8.31.</v>
          </cell>
          <cell r="B999">
            <v>1</v>
          </cell>
        </row>
        <row r="1000">
          <cell r="A1000" t="str">
            <v>A . 8. 8.32.</v>
          </cell>
          <cell r="B1000">
            <v>1</v>
          </cell>
        </row>
        <row r="1001">
          <cell r="A1001" t="str">
            <v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>A . 9. 0.  .</v>
          </cell>
          <cell r="B1003">
            <v>0</v>
          </cell>
        </row>
        <row r="1004">
          <cell r="A1004" t="str">
            <v>A . 9. 1.00.</v>
          </cell>
          <cell r="B1004">
            <v>0</v>
          </cell>
        </row>
        <row r="1005">
          <cell r="A1005" t="str">
            <v>A . 9. 1.01.</v>
          </cell>
          <cell r="B1005">
            <v>64.2</v>
          </cell>
        </row>
        <row r="1006">
          <cell r="A1006" t="str">
            <v>A . 9. 1.02.</v>
          </cell>
          <cell r="B1006">
            <v>183.37</v>
          </cell>
        </row>
        <row r="1007">
          <cell r="A1007" t="str">
            <v>A . 9. 1.03.</v>
          </cell>
          <cell r="B1007">
            <v>1</v>
          </cell>
        </row>
        <row r="1008">
          <cell r="A1008" t="str">
            <v>A . 9. 1.04.</v>
          </cell>
          <cell r="B1008">
            <v>376.5</v>
          </cell>
        </row>
        <row r="1009">
          <cell r="A1009" t="str">
            <v>A . 9. 1.05.</v>
          </cell>
          <cell r="B1009">
            <v>322.66000000000003</v>
          </cell>
        </row>
        <row r="1010">
          <cell r="A1010" t="str">
            <v>A . 9. 1.06.</v>
          </cell>
          <cell r="B1010">
            <v>29449.49</v>
          </cell>
        </row>
        <row r="1011">
          <cell r="A1011" t="str">
            <v>A . 9. 1.06.01</v>
          </cell>
          <cell r="B1011">
            <v>131.66</v>
          </cell>
        </row>
        <row r="1012">
          <cell r="A1012" t="str">
            <v>A . 9. 1.07.</v>
          </cell>
          <cell r="B1012">
            <v>10362.15</v>
          </cell>
        </row>
        <row r="1013">
          <cell r="A1013" t="str">
            <v>A . 9. 1.08.</v>
          </cell>
          <cell r="B1013">
            <v>651.13</v>
          </cell>
        </row>
        <row r="1014">
          <cell r="A1014" t="str">
            <v>A . 9. 1.09.</v>
          </cell>
          <cell r="B1014">
            <v>1479.11</v>
          </cell>
        </row>
        <row r="1015">
          <cell r="A1015" t="str">
            <v>A . 9. 1.10.</v>
          </cell>
          <cell r="B1015">
            <v>88.79</v>
          </cell>
        </row>
        <row r="1016">
          <cell r="A1016" t="str">
            <v>A . 9. 1.11.</v>
          </cell>
          <cell r="B1016">
            <v>27.42</v>
          </cell>
        </row>
        <row r="1017">
          <cell r="A1017" t="str">
            <v>A . 9. 1.12.</v>
          </cell>
          <cell r="B1017">
            <v>469.62</v>
          </cell>
        </row>
        <row r="1018">
          <cell r="A1018" t="str">
            <v>A . 9. 1.13.</v>
          </cell>
          <cell r="B1018">
            <v>251.43</v>
          </cell>
        </row>
        <row r="1019">
          <cell r="A1019" t="str">
            <v>A . 9. 1.14.</v>
          </cell>
          <cell r="B1019">
            <v>94.6</v>
          </cell>
        </row>
        <row r="1020">
          <cell r="A1020" t="str">
            <v>A . 9. 1.15.</v>
          </cell>
          <cell r="B1020">
            <v>53.63</v>
          </cell>
        </row>
        <row r="1021">
          <cell r="A1021" t="str">
            <v>A . 9. 1.16.</v>
          </cell>
          <cell r="B1021">
            <v>194.2</v>
          </cell>
        </row>
        <row r="1022">
          <cell r="A1022" t="str">
            <v>A . 9. 1.17</v>
          </cell>
          <cell r="B1022">
            <v>47.31</v>
          </cell>
        </row>
        <row r="1023">
          <cell r="A1023" t="str">
            <v>A . 9. 1.18</v>
          </cell>
          <cell r="B1023">
            <v>0</v>
          </cell>
        </row>
        <row r="1024">
          <cell r="A1024" t="str">
            <v>A . 9. 1.19</v>
          </cell>
          <cell r="B1024">
            <v>37.06</v>
          </cell>
        </row>
        <row r="1025">
          <cell r="A1025" t="str">
            <v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>A . 9. 2.  .</v>
          </cell>
          <cell r="B1027">
            <v>0</v>
          </cell>
        </row>
        <row r="1028">
          <cell r="A1028" t="str">
            <v>A . 9. 2. 1.</v>
          </cell>
          <cell r="B1028">
            <v>81.86</v>
          </cell>
        </row>
        <row r="1029">
          <cell r="A1029" t="str">
            <v>A . 9. 2. 2.</v>
          </cell>
          <cell r="B1029">
            <v>81.05</v>
          </cell>
        </row>
        <row r="1030">
          <cell r="A1030" t="str">
            <v>A . 9. 2. 3.</v>
          </cell>
          <cell r="B1030">
            <v>0</v>
          </cell>
        </row>
        <row r="1031">
          <cell r="A1031" t="str">
            <v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>A . 9. 3.00.</v>
          </cell>
          <cell r="B1033">
            <v>0</v>
          </cell>
        </row>
        <row r="1034">
          <cell r="A1034" t="str">
            <v>A . 9. 3.01.</v>
          </cell>
          <cell r="B1034">
            <v>87.01</v>
          </cell>
        </row>
        <row r="1035">
          <cell r="A1035" t="str">
            <v>A . 9. 3.02.</v>
          </cell>
          <cell r="B1035">
            <v>82.95</v>
          </cell>
        </row>
        <row r="1036">
          <cell r="A1036" t="str">
            <v>A . 9. 3.03.</v>
          </cell>
          <cell r="B1036">
            <v>36.6</v>
          </cell>
        </row>
        <row r="1037">
          <cell r="A1037" t="str">
            <v>A . 9. 3.04.</v>
          </cell>
          <cell r="B1037">
            <v>1</v>
          </cell>
        </row>
        <row r="1038">
          <cell r="A1038" t="str">
            <v>A . 9. 3.05.</v>
          </cell>
          <cell r="B1038">
            <v>4</v>
          </cell>
        </row>
        <row r="1039">
          <cell r="A1039" t="str">
            <v>A . 9. 3.06.</v>
          </cell>
          <cell r="B1039">
            <v>0</v>
          </cell>
        </row>
        <row r="1040">
          <cell r="A1040" t="str">
            <v>A . 9. 3.07.</v>
          </cell>
          <cell r="B1040">
            <v>1</v>
          </cell>
        </row>
        <row r="1041">
          <cell r="A1041" t="str">
            <v>A . 9. 3.08.</v>
          </cell>
          <cell r="B1041">
            <v>16.98</v>
          </cell>
        </row>
        <row r="1042">
          <cell r="A1042" t="str">
            <v>A . 9. 3.09.</v>
          </cell>
          <cell r="B1042">
            <v>5.42</v>
          </cell>
        </row>
        <row r="1043">
          <cell r="A1043" t="str">
            <v>A . 9. 3.10.</v>
          </cell>
          <cell r="B1043">
            <v>4.41</v>
          </cell>
        </row>
        <row r="1044">
          <cell r="A1044" t="str">
            <v>A . 9. 3.11.</v>
          </cell>
          <cell r="B1044">
            <v>4.08</v>
          </cell>
        </row>
        <row r="1045">
          <cell r="A1045" t="str">
            <v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>A . 9. 4.  .</v>
          </cell>
          <cell r="B1047">
            <v>0</v>
          </cell>
        </row>
        <row r="1048">
          <cell r="A1048" t="str">
            <v>A . 9. 4.01.</v>
          </cell>
          <cell r="B1048">
            <v>375.48</v>
          </cell>
        </row>
        <row r="1049">
          <cell r="A1049" t="str">
            <v>A . 9. 4.02.</v>
          </cell>
          <cell r="B1049">
            <v>37.75</v>
          </cell>
        </row>
        <row r="1050">
          <cell r="A1050" t="str">
            <v>A . 9. 4.03.</v>
          </cell>
          <cell r="B1050">
            <v>25.01</v>
          </cell>
        </row>
        <row r="1051">
          <cell r="A1051" t="str">
            <v>A . 9. 4.04.</v>
          </cell>
          <cell r="B1051">
            <v>3</v>
          </cell>
        </row>
        <row r="1052">
          <cell r="A1052" t="str">
            <v>A . 9. 4.05.</v>
          </cell>
          <cell r="B1052">
            <v>0</v>
          </cell>
        </row>
        <row r="1053">
          <cell r="A1053" t="str">
            <v>A . 9. 4.06.</v>
          </cell>
          <cell r="B1053">
            <v>1</v>
          </cell>
        </row>
        <row r="1054">
          <cell r="A1054" t="str">
            <v>A . 9. 4.07.</v>
          </cell>
          <cell r="B1054">
            <v>6</v>
          </cell>
        </row>
        <row r="1055">
          <cell r="A1055" t="str">
            <v>A . 9. 4.08.</v>
          </cell>
          <cell r="B1055">
            <v>1</v>
          </cell>
        </row>
        <row r="1056">
          <cell r="A1056" t="str">
            <v>A . 9. 4.09.</v>
          </cell>
          <cell r="B1056">
            <v>0</v>
          </cell>
        </row>
        <row r="1057">
          <cell r="A1057" t="str">
            <v>A . 9. 4.10.</v>
          </cell>
          <cell r="B1057">
            <v>0</v>
          </cell>
        </row>
        <row r="1058">
          <cell r="A1058" t="str">
            <v>A . 9. 4.11</v>
          </cell>
          <cell r="B1058">
            <v>1</v>
          </cell>
        </row>
        <row r="1059">
          <cell r="A1059" t="str">
            <v>A . 9. 4.12</v>
          </cell>
          <cell r="B1059">
            <v>0.15</v>
          </cell>
        </row>
        <row r="1060">
          <cell r="A1060" t="str">
            <v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>A . 9. 5.  .</v>
          </cell>
          <cell r="B1062">
            <v>0</v>
          </cell>
        </row>
        <row r="1063">
          <cell r="A1063" t="str">
            <v>A . 9. 5.01.</v>
          </cell>
          <cell r="B1063">
            <v>606.96</v>
          </cell>
        </row>
        <row r="1064">
          <cell r="A1064" t="str">
            <v>A . 9. 5.02.</v>
          </cell>
          <cell r="B1064">
            <v>563.97</v>
          </cell>
        </row>
        <row r="1065">
          <cell r="A1065" t="str">
            <v>A . 9. 5.03.</v>
          </cell>
          <cell r="B1065">
            <v>316.36</v>
          </cell>
        </row>
        <row r="1066">
          <cell r="A1066" t="str">
            <v>A . 9. 5.04.</v>
          </cell>
          <cell r="B1066">
            <v>5.09</v>
          </cell>
        </row>
        <row r="1067">
          <cell r="A1067" t="str">
            <v>A . 9. 5.05.</v>
          </cell>
          <cell r="B1067">
            <v>253.5</v>
          </cell>
        </row>
        <row r="1068">
          <cell r="A1068" t="str">
            <v>A . 9. 5.06.</v>
          </cell>
          <cell r="B1068">
            <v>3.82</v>
          </cell>
        </row>
        <row r="1069">
          <cell r="A1069" t="str">
            <v>A . 9. 5.07.</v>
          </cell>
          <cell r="B1069">
            <v>0</v>
          </cell>
        </row>
        <row r="1070">
          <cell r="A1070" t="str">
            <v>A . 9. 5.08.</v>
          </cell>
          <cell r="B1070">
            <v>138.47</v>
          </cell>
        </row>
        <row r="1071">
          <cell r="A1071" t="str">
            <v>A . 9. 5.09.</v>
          </cell>
          <cell r="B1071">
            <v>2.5499999999999998</v>
          </cell>
        </row>
        <row r="1072">
          <cell r="A1072" t="str">
            <v>A . 9. 5.10.</v>
          </cell>
          <cell r="B1072">
            <v>199.47</v>
          </cell>
        </row>
        <row r="1073">
          <cell r="A1073" t="str">
            <v>A . 9. 5.11.</v>
          </cell>
          <cell r="B1073">
            <v>28.13</v>
          </cell>
        </row>
        <row r="1074">
          <cell r="A1074" t="str">
            <v>A . 9. 5.12.</v>
          </cell>
          <cell r="B1074">
            <v>138.11000000000001</v>
          </cell>
        </row>
        <row r="1075">
          <cell r="A1075" t="str">
            <v>A . 9. 5.13.</v>
          </cell>
          <cell r="B1075">
            <v>36314.53</v>
          </cell>
        </row>
        <row r="1076">
          <cell r="A1076" t="str">
            <v>A . 9. 5.14.</v>
          </cell>
          <cell r="B1076">
            <v>0</v>
          </cell>
        </row>
        <row r="1077">
          <cell r="A1077" t="str">
            <v>A . 9. 5.15.</v>
          </cell>
          <cell r="B1077">
            <v>1</v>
          </cell>
        </row>
        <row r="1078">
          <cell r="A1078" t="str">
            <v>A . 9. 5.16.</v>
          </cell>
          <cell r="B1078">
            <v>2177.5100000000002</v>
          </cell>
        </row>
        <row r="1079">
          <cell r="A1079" t="str">
            <v>A . 9. 5.17.</v>
          </cell>
          <cell r="B1079">
            <v>29</v>
          </cell>
        </row>
        <row r="1080">
          <cell r="A1080" t="str">
            <v>A . 9. 5.18.</v>
          </cell>
          <cell r="B1080">
            <v>29</v>
          </cell>
        </row>
        <row r="1081">
          <cell r="A1081" t="str">
            <v>A . 9. 5.19.</v>
          </cell>
          <cell r="B1081">
            <v>42</v>
          </cell>
        </row>
        <row r="1082">
          <cell r="A1082" t="str">
            <v>A . 9. 5.20.</v>
          </cell>
          <cell r="B1082">
            <v>35</v>
          </cell>
        </row>
        <row r="1083">
          <cell r="A1083" t="str">
            <v>A . 9. 5.21.</v>
          </cell>
          <cell r="B1083">
            <v>39</v>
          </cell>
        </row>
        <row r="1084">
          <cell r="A1084" t="str">
            <v>A . 9. 5.22.</v>
          </cell>
          <cell r="B1084">
            <v>31</v>
          </cell>
        </row>
        <row r="1085">
          <cell r="A1085" t="str">
            <v>A . 9. 5.23.</v>
          </cell>
          <cell r="B1085">
            <v>2177.5100000000002</v>
          </cell>
        </row>
        <row r="1086">
          <cell r="A1086" t="str">
            <v>A . 9. 5.24.</v>
          </cell>
          <cell r="B1086">
            <v>1.1499999999999999</v>
          </cell>
        </row>
        <row r="1087">
          <cell r="A1087" t="str">
            <v>A . 9. 5.25.</v>
          </cell>
          <cell r="B1087">
            <v>11.17</v>
          </cell>
        </row>
        <row r="1088">
          <cell r="A1088" t="str">
            <v>A . 9. 5.26.</v>
          </cell>
          <cell r="B1088">
            <v>111.05</v>
          </cell>
        </row>
        <row r="1089">
          <cell r="A1089" t="str">
            <v>A . 9. 5.27.</v>
          </cell>
          <cell r="B1089">
            <v>8.8800000000000008</v>
          </cell>
        </row>
        <row r="1090">
          <cell r="A1090" t="str">
            <v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>A . 9. 6.  .</v>
          </cell>
          <cell r="B1092">
            <v>0</v>
          </cell>
        </row>
        <row r="1093">
          <cell r="A1093" t="str">
            <v>A . 9. 6.01.</v>
          </cell>
          <cell r="B1093">
            <v>1</v>
          </cell>
        </row>
        <row r="1094">
          <cell r="A1094" t="str">
            <v>A . 9. 6.02.</v>
          </cell>
          <cell r="B1094">
            <v>2</v>
          </cell>
        </row>
        <row r="1095">
          <cell r="A1095" t="str">
            <v>A . 9. 6.03.</v>
          </cell>
          <cell r="B1095">
            <v>2</v>
          </cell>
        </row>
        <row r="1096">
          <cell r="A1096" t="str">
            <v>A . 9. 6.04.</v>
          </cell>
          <cell r="B1096">
            <v>10</v>
          </cell>
        </row>
        <row r="1097">
          <cell r="A1097" t="str">
            <v>A . 9. 6.05.</v>
          </cell>
          <cell r="B1097">
            <v>4</v>
          </cell>
        </row>
        <row r="1098">
          <cell r="A1098" t="str">
            <v>A . 9. 6.05.01</v>
          </cell>
          <cell r="B1098">
            <v>0</v>
          </cell>
        </row>
        <row r="1099">
          <cell r="A1099" t="str">
            <v>A . 9. 6.05.02</v>
          </cell>
          <cell r="B1099">
            <v>1</v>
          </cell>
        </row>
        <row r="1100">
          <cell r="A1100" t="str">
            <v>A . 9. 6.06.</v>
          </cell>
          <cell r="B1100">
            <v>59</v>
          </cell>
        </row>
        <row r="1101">
          <cell r="A1101" t="str">
            <v>A . 9. 6.07.</v>
          </cell>
          <cell r="B1101">
            <v>1</v>
          </cell>
        </row>
        <row r="1102">
          <cell r="A1102" t="str">
            <v>A . 9. 6.07.01</v>
          </cell>
          <cell r="B1102">
            <v>620.20000000000005</v>
          </cell>
        </row>
        <row r="1103">
          <cell r="A1103" t="str">
            <v>A . 9. 6.07.02</v>
          </cell>
          <cell r="B1103">
            <v>6</v>
          </cell>
        </row>
        <row r="1104">
          <cell r="A1104" t="str">
            <v>A . 9. 6.08.</v>
          </cell>
          <cell r="B1104">
            <v>0</v>
          </cell>
        </row>
        <row r="1105">
          <cell r="A1105" t="str">
            <v>A . 9. 6.09.</v>
          </cell>
          <cell r="B1105">
            <v>1029.7</v>
          </cell>
        </row>
        <row r="1106">
          <cell r="A1106" t="str">
            <v>A . 9. 6.10.</v>
          </cell>
          <cell r="B1106">
            <v>2937</v>
          </cell>
        </row>
        <row r="1107">
          <cell r="A1107" t="str">
            <v>A . 9. 6.11.</v>
          </cell>
          <cell r="B1107">
            <v>94</v>
          </cell>
        </row>
        <row r="1108">
          <cell r="A1108" t="str">
            <v>A . 9. 6.12.</v>
          </cell>
          <cell r="B1108">
            <v>59.15</v>
          </cell>
        </row>
        <row r="1109">
          <cell r="A1109" t="str">
            <v>A . 9. 6.13.</v>
          </cell>
          <cell r="B1109">
            <v>406.75</v>
          </cell>
        </row>
        <row r="1110">
          <cell r="A1110" t="str">
            <v>A . 9. 6.14.</v>
          </cell>
          <cell r="B1110">
            <v>3219.4</v>
          </cell>
        </row>
        <row r="1111">
          <cell r="A1111" t="str">
            <v>A . 9. 6.15.</v>
          </cell>
          <cell r="B1111">
            <v>5344</v>
          </cell>
        </row>
        <row r="1112">
          <cell r="A1112" t="str">
            <v>A . 9. 6.16.</v>
          </cell>
          <cell r="B1112">
            <v>2453.6999999999998</v>
          </cell>
        </row>
        <row r="1113">
          <cell r="A1113" t="str">
            <v>A . 9. 6.17.</v>
          </cell>
          <cell r="B1113">
            <v>202</v>
          </cell>
        </row>
        <row r="1114">
          <cell r="A1114" t="str">
            <v>A . 9. 6.18.</v>
          </cell>
          <cell r="B1114">
            <v>4167</v>
          </cell>
        </row>
        <row r="1115">
          <cell r="A1115" t="str">
            <v>A . 9. 6.19.</v>
          </cell>
          <cell r="B1115">
            <v>2741.7</v>
          </cell>
        </row>
        <row r="1116">
          <cell r="A1116" t="str">
            <v>A . 9. 6.20.</v>
          </cell>
          <cell r="B1116">
            <v>1440</v>
          </cell>
        </row>
        <row r="1117">
          <cell r="A1117" t="str">
            <v>A . 9. 6.21.</v>
          </cell>
          <cell r="B1117">
            <v>4</v>
          </cell>
        </row>
        <row r="1118">
          <cell r="A1118" t="str">
            <v>A . 9. 6.22.</v>
          </cell>
          <cell r="B1118">
            <v>0</v>
          </cell>
        </row>
        <row r="1119">
          <cell r="A1119" t="str">
            <v>A . 9. 6.23.</v>
          </cell>
          <cell r="B1119">
            <v>223.6</v>
          </cell>
        </row>
        <row r="1120">
          <cell r="A1120" t="str">
            <v>A . 9. 6.24.</v>
          </cell>
          <cell r="B1120">
            <v>766.52</v>
          </cell>
        </row>
        <row r="1121">
          <cell r="A1121" t="str">
            <v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>A . 9. 7.  .</v>
          </cell>
          <cell r="B1123">
            <v>0</v>
          </cell>
        </row>
        <row r="1124">
          <cell r="A1124" t="str">
            <v>A . 9. 7.01.</v>
          </cell>
          <cell r="B1124">
            <v>26</v>
          </cell>
        </row>
        <row r="1125">
          <cell r="A1125" t="str">
            <v>A . 9. 7.02.</v>
          </cell>
          <cell r="B1125">
            <v>1</v>
          </cell>
        </row>
        <row r="1126">
          <cell r="A1126" t="str">
            <v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>A . 9. 8.  .</v>
          </cell>
          <cell r="B1128">
            <v>0</v>
          </cell>
        </row>
        <row r="1129">
          <cell r="A1129" t="str">
            <v>A . 9. 8.01.</v>
          </cell>
          <cell r="B1129">
            <v>1</v>
          </cell>
        </row>
        <row r="1130">
          <cell r="A1130" t="str">
            <v>A . 9. 8.02.</v>
          </cell>
          <cell r="B1130">
            <v>1</v>
          </cell>
        </row>
        <row r="1131">
          <cell r="A1131" t="str">
            <v>A . 9. 8.03.</v>
          </cell>
          <cell r="B1131">
            <v>1</v>
          </cell>
        </row>
        <row r="1132">
          <cell r="A1132" t="str">
            <v>A . 9. 8.04.</v>
          </cell>
          <cell r="B1132">
            <v>1</v>
          </cell>
        </row>
        <row r="1133">
          <cell r="A1133" t="str">
            <v>A . 9. 8.05.</v>
          </cell>
          <cell r="B1133">
            <v>1</v>
          </cell>
        </row>
        <row r="1134">
          <cell r="A1134" t="str">
            <v>A . 9. 8.06.</v>
          </cell>
          <cell r="B1134">
            <v>1</v>
          </cell>
        </row>
        <row r="1135">
          <cell r="A1135" t="str">
            <v>A . 9. 8.07.</v>
          </cell>
          <cell r="B1135">
            <v>1</v>
          </cell>
        </row>
        <row r="1136">
          <cell r="A1136" t="str">
            <v>A . 9. 8.08.</v>
          </cell>
          <cell r="B1136">
            <v>1</v>
          </cell>
        </row>
        <row r="1137">
          <cell r="A1137" t="str">
            <v>A . 9. 8.09.</v>
          </cell>
          <cell r="B1137">
            <v>1</v>
          </cell>
        </row>
        <row r="1138">
          <cell r="A1138" t="str">
            <v>A . 9. 8.10.</v>
          </cell>
          <cell r="B1138">
            <v>1</v>
          </cell>
        </row>
        <row r="1139">
          <cell r="A1139" t="str">
            <v>A . 9. 8.11.</v>
          </cell>
          <cell r="B1139">
            <v>1</v>
          </cell>
        </row>
        <row r="1140">
          <cell r="A1140" t="str">
            <v>A . 9. 8.12.</v>
          </cell>
          <cell r="B1140">
            <v>1</v>
          </cell>
        </row>
        <row r="1141">
          <cell r="A1141" t="str">
            <v>A . 9. 8.13.</v>
          </cell>
          <cell r="B1141">
            <v>1</v>
          </cell>
        </row>
        <row r="1142">
          <cell r="A1142" t="str">
            <v>A . 9. 8.14.</v>
          </cell>
          <cell r="B1142">
            <v>1</v>
          </cell>
        </row>
        <row r="1143">
          <cell r="A1143" t="str">
            <v>A . 9. 8.15.</v>
          </cell>
          <cell r="B1143">
            <v>1</v>
          </cell>
        </row>
        <row r="1144">
          <cell r="A1144" t="str">
            <v>A . 9. 8.16.</v>
          </cell>
          <cell r="B1144">
            <v>1</v>
          </cell>
        </row>
        <row r="1145">
          <cell r="A1145" t="str">
            <v>A . 9. 8.17.</v>
          </cell>
          <cell r="B1145">
            <v>1</v>
          </cell>
        </row>
        <row r="1146">
          <cell r="A1146" t="str">
            <v>A . 9. 8.18.</v>
          </cell>
          <cell r="B1146">
            <v>1</v>
          </cell>
        </row>
        <row r="1147">
          <cell r="A1147" t="str">
            <v>A . 9. 8.19.</v>
          </cell>
          <cell r="B1147">
            <v>1</v>
          </cell>
        </row>
        <row r="1148">
          <cell r="A1148" t="str">
            <v>A . 9. 8.20.</v>
          </cell>
          <cell r="B1148">
            <v>1</v>
          </cell>
        </row>
        <row r="1149">
          <cell r="A1149" t="str">
            <v>A . 9. 8.21.</v>
          </cell>
          <cell r="B1149">
            <v>1</v>
          </cell>
        </row>
        <row r="1150">
          <cell r="A1150" t="str">
            <v>A . 9. 8.22.</v>
          </cell>
          <cell r="B1150">
            <v>1</v>
          </cell>
        </row>
        <row r="1151">
          <cell r="A1151" t="str">
            <v>A . 9. 8.23.</v>
          </cell>
          <cell r="B1151">
            <v>1</v>
          </cell>
        </row>
        <row r="1152">
          <cell r="A1152" t="str">
            <v>A . 9. 8.24.</v>
          </cell>
          <cell r="B1152">
            <v>1</v>
          </cell>
        </row>
        <row r="1153">
          <cell r="A1153" t="str">
            <v>A . 9. 8.25.</v>
          </cell>
          <cell r="B1153">
            <v>1</v>
          </cell>
        </row>
        <row r="1154">
          <cell r="A1154" t="str">
            <v>A . 9. 8.26.</v>
          </cell>
          <cell r="B1154">
            <v>1</v>
          </cell>
        </row>
        <row r="1155">
          <cell r="A1155" t="str">
            <v>A . 9. 8.27.</v>
          </cell>
          <cell r="B1155">
            <v>1</v>
          </cell>
        </row>
        <row r="1156">
          <cell r="A1156" t="str">
            <v>A . 9. 8.28.</v>
          </cell>
          <cell r="B1156">
            <v>1</v>
          </cell>
        </row>
        <row r="1157">
          <cell r="A1157" t="str">
            <v>A . 9. 8.29.</v>
          </cell>
          <cell r="B1157">
            <v>1</v>
          </cell>
        </row>
        <row r="1158">
          <cell r="A1158" t="str">
            <v>A . 9. 8.30.</v>
          </cell>
          <cell r="B1158">
            <v>1</v>
          </cell>
        </row>
        <row r="1159">
          <cell r="A1159" t="str">
            <v>A . 9. 8.31.</v>
          </cell>
          <cell r="B1159">
            <v>1</v>
          </cell>
        </row>
        <row r="1160">
          <cell r="A1160" t="str">
            <v>A . 9. 8.32.</v>
          </cell>
          <cell r="B1160">
            <v>1</v>
          </cell>
        </row>
        <row r="1161">
          <cell r="A1161" t="str">
            <v>A . 9. 8.33.</v>
          </cell>
          <cell r="B1161">
            <v>1</v>
          </cell>
        </row>
        <row r="1162">
          <cell r="A1162" t="str">
            <v>A . 9. 8.34.</v>
          </cell>
          <cell r="B1162">
            <v>1</v>
          </cell>
        </row>
        <row r="1163">
          <cell r="A1163" t="str">
            <v>A . 9. 8.35.</v>
          </cell>
          <cell r="B1163">
            <v>1</v>
          </cell>
        </row>
        <row r="1164">
          <cell r="A1164" t="str">
            <v>A . 9. 8.36.</v>
          </cell>
          <cell r="B1164">
            <v>1</v>
          </cell>
        </row>
        <row r="1165">
          <cell r="A1165" t="str">
            <v>A . 9. 8.37.</v>
          </cell>
          <cell r="B1165">
            <v>1</v>
          </cell>
        </row>
        <row r="1166">
          <cell r="A1166" t="str">
            <v>A . 9. 8.38.</v>
          </cell>
          <cell r="B1166">
            <v>1</v>
          </cell>
        </row>
        <row r="1167">
          <cell r="A1167" t="str">
            <v>A . 9. 8.39.</v>
          </cell>
          <cell r="B1167">
            <v>1</v>
          </cell>
        </row>
        <row r="1168">
          <cell r="A1168" t="str">
            <v>A . 9. 8.40.</v>
          </cell>
          <cell r="B1168">
            <v>1</v>
          </cell>
        </row>
        <row r="1169">
          <cell r="A1169" t="str">
            <v>A . 9. 8.41.</v>
          </cell>
          <cell r="B1169">
            <v>1</v>
          </cell>
        </row>
        <row r="1170">
          <cell r="A1170" t="str">
            <v>A . 9. 8.42.</v>
          </cell>
          <cell r="B1170">
            <v>1</v>
          </cell>
        </row>
        <row r="1171">
          <cell r="A1171" t="str">
            <v>A . 9. 8.43.</v>
          </cell>
          <cell r="B1171">
            <v>1</v>
          </cell>
        </row>
        <row r="1172">
          <cell r="A1172" t="str">
            <v>A . 9. 8.44.</v>
          </cell>
          <cell r="B1172">
            <v>1</v>
          </cell>
        </row>
        <row r="1173">
          <cell r="A1173" t="str">
            <v>A . 9. 8.45.</v>
          </cell>
          <cell r="B1173">
            <v>1</v>
          </cell>
        </row>
        <row r="1174">
          <cell r="A1174" t="str">
            <v>A . 9. 8.46.</v>
          </cell>
          <cell r="B1174">
            <v>1</v>
          </cell>
        </row>
        <row r="1175">
          <cell r="A1175" t="str">
            <v>A . 9. 8.47.</v>
          </cell>
          <cell r="B1175">
            <v>1</v>
          </cell>
        </row>
        <row r="1176">
          <cell r="A1176" t="str">
            <v>A . 9. 8.48.</v>
          </cell>
          <cell r="B1176">
            <v>1</v>
          </cell>
        </row>
        <row r="1177">
          <cell r="A1177" t="str">
            <v>A . 9. 8.49.</v>
          </cell>
          <cell r="B1177">
            <v>1</v>
          </cell>
        </row>
        <row r="1178">
          <cell r="A1178" t="str">
            <v>A . 9. 8.50.</v>
          </cell>
          <cell r="B1178">
            <v>1</v>
          </cell>
        </row>
        <row r="1179">
          <cell r="A1179" t="str">
            <v>A . 9. 8.51.</v>
          </cell>
          <cell r="B1179">
            <v>1</v>
          </cell>
        </row>
        <row r="1180">
          <cell r="A1180" t="str">
            <v>A . 9. 8.52.</v>
          </cell>
          <cell r="B1180">
            <v>1</v>
          </cell>
        </row>
        <row r="1181">
          <cell r="A1181" t="str">
            <v>A . 9. 8.53.</v>
          </cell>
          <cell r="B1181">
            <v>1</v>
          </cell>
        </row>
        <row r="1182">
          <cell r="A1182" t="str">
            <v>A . 9. 8.54.</v>
          </cell>
          <cell r="B1182">
            <v>1</v>
          </cell>
        </row>
        <row r="1183">
          <cell r="A1183" t="str">
            <v>A . 9. 8.55.</v>
          </cell>
          <cell r="B1183">
            <v>1</v>
          </cell>
        </row>
        <row r="1184">
          <cell r="A1184" t="str">
            <v>A . 9. 8.56.</v>
          </cell>
          <cell r="B1184">
            <v>1</v>
          </cell>
        </row>
        <row r="1185">
          <cell r="A1185" t="str">
            <v>A . 9. 8.57.</v>
          </cell>
          <cell r="B1185">
            <v>1</v>
          </cell>
        </row>
        <row r="1186">
          <cell r="A1186" t="str">
            <v>A . 9. 8.58.</v>
          </cell>
          <cell r="B1186">
            <v>1</v>
          </cell>
        </row>
        <row r="1187">
          <cell r="A1187" t="str">
            <v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>A .10. 0.  .</v>
          </cell>
          <cell r="B1189">
            <v>0</v>
          </cell>
        </row>
        <row r="1190">
          <cell r="A1190" t="str">
            <v>A .10. 1.00.</v>
          </cell>
          <cell r="B1190">
            <v>0</v>
          </cell>
        </row>
        <row r="1191">
          <cell r="A1191" t="str">
            <v>A .10. 1.01.</v>
          </cell>
          <cell r="B1191">
            <v>0</v>
          </cell>
        </row>
        <row r="1192">
          <cell r="A1192" t="str">
            <v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>A .11.  .  .</v>
          </cell>
          <cell r="B1194">
            <v>0</v>
          </cell>
        </row>
        <row r="1195">
          <cell r="A1195" t="str">
            <v>A .11. 4.  .</v>
          </cell>
          <cell r="B1195">
            <v>0</v>
          </cell>
        </row>
        <row r="1196">
          <cell r="A1196" t="str">
            <v>A .11. 4.01.</v>
          </cell>
          <cell r="B1196">
            <v>0</v>
          </cell>
        </row>
        <row r="1197">
          <cell r="A1197" t="str">
            <v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>A .11. 5.  .</v>
          </cell>
          <cell r="B1199">
            <v>0</v>
          </cell>
        </row>
        <row r="1200">
          <cell r="A1200" t="str">
            <v>A .11. 5.01.</v>
          </cell>
          <cell r="B1200">
            <v>0</v>
          </cell>
        </row>
        <row r="1201">
          <cell r="A1201" t="str">
            <v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>A .11. 7.  .</v>
          </cell>
          <cell r="B1203">
            <v>0</v>
          </cell>
        </row>
        <row r="1204">
          <cell r="A1204" t="str">
            <v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>A .12. 0.  .</v>
          </cell>
          <cell r="B1206">
            <v>0</v>
          </cell>
        </row>
        <row r="1207">
          <cell r="A1207" t="str">
            <v>A .12. 1.00.</v>
          </cell>
          <cell r="B1207">
            <v>0</v>
          </cell>
        </row>
        <row r="1208">
          <cell r="A1208" t="str">
            <v>A .12. 1.01.</v>
          </cell>
          <cell r="B1208">
            <v>20.89</v>
          </cell>
        </row>
        <row r="1209">
          <cell r="A1209" t="str">
            <v>A .12. 1.02.</v>
          </cell>
          <cell r="B1209">
            <v>366.67</v>
          </cell>
        </row>
        <row r="1210">
          <cell r="A1210" t="str">
            <v>A .12. 1.03.</v>
          </cell>
          <cell r="B1210">
            <v>115.73</v>
          </cell>
        </row>
        <row r="1211">
          <cell r="A1211" t="str">
            <v>A .12. 1.04.</v>
          </cell>
          <cell r="B1211">
            <v>45.91</v>
          </cell>
        </row>
        <row r="1212">
          <cell r="A1212" t="str">
            <v>A .12. 1.05.</v>
          </cell>
          <cell r="B1212">
            <v>47.92</v>
          </cell>
        </row>
        <row r="1213">
          <cell r="A1213" t="str">
            <v>A .12. 1.06.</v>
          </cell>
          <cell r="B1213">
            <v>1.76</v>
          </cell>
        </row>
        <row r="1214">
          <cell r="A1214" t="str">
            <v>A .12. 1.07.</v>
          </cell>
          <cell r="B1214">
            <v>28.61</v>
          </cell>
        </row>
        <row r="1215">
          <cell r="A1215" t="str">
            <v>A .12. 1.08.</v>
          </cell>
          <cell r="B1215">
            <v>23.25</v>
          </cell>
        </row>
        <row r="1216">
          <cell r="A1216" t="str">
            <v>A .12. 1.09.</v>
          </cell>
          <cell r="B1216">
            <v>34.130000000000003</v>
          </cell>
        </row>
        <row r="1217">
          <cell r="A1217" t="str">
            <v>A .12. 1.10.</v>
          </cell>
          <cell r="B1217">
            <v>3.87</v>
          </cell>
        </row>
        <row r="1218">
          <cell r="A1218" t="str">
            <v>A .12. 1.11.</v>
          </cell>
          <cell r="B1218">
            <v>8.64</v>
          </cell>
        </row>
        <row r="1219">
          <cell r="A1219" t="str">
            <v>A .12. 1.12.</v>
          </cell>
          <cell r="B1219">
            <v>6.93</v>
          </cell>
        </row>
        <row r="1220">
          <cell r="A1220" t="str">
            <v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>A .12. 2.  .</v>
          </cell>
          <cell r="B1222">
            <v>0</v>
          </cell>
        </row>
        <row r="1223">
          <cell r="A1223" t="str">
            <v>A .12. 2. 1.</v>
          </cell>
          <cell r="B1223">
            <v>6.58</v>
          </cell>
        </row>
        <row r="1224">
          <cell r="A1224" t="str">
            <v>A .12. 2. 2.</v>
          </cell>
          <cell r="B1224">
            <v>2.5499999999999998</v>
          </cell>
        </row>
        <row r="1225">
          <cell r="A1225" t="str">
            <v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>A .12. 3.00.</v>
          </cell>
          <cell r="B1227">
            <v>0</v>
          </cell>
        </row>
        <row r="1228">
          <cell r="A1228" t="str">
            <v>A .12. 3.01.</v>
          </cell>
          <cell r="B1228">
            <v>0</v>
          </cell>
        </row>
        <row r="1229">
          <cell r="A1229" t="str">
            <v>A .12. 3.02.</v>
          </cell>
          <cell r="B1229">
            <v>82.83</v>
          </cell>
        </row>
        <row r="1230">
          <cell r="A1230" t="str">
            <v>A .12. 3.03.</v>
          </cell>
          <cell r="B1230">
            <v>99.89</v>
          </cell>
        </row>
        <row r="1231">
          <cell r="A1231" t="str">
            <v>A .12. 3.04.</v>
          </cell>
          <cell r="B1231">
            <v>1</v>
          </cell>
        </row>
        <row r="1232">
          <cell r="A1232" t="str">
            <v>A .12. 3.05.</v>
          </cell>
          <cell r="B1232">
            <v>0</v>
          </cell>
        </row>
        <row r="1233">
          <cell r="A1233" t="str">
            <v>A .12. 3.06.</v>
          </cell>
          <cell r="B1233">
            <v>14.19</v>
          </cell>
        </row>
        <row r="1234">
          <cell r="A1234" t="str">
            <v>A .12. 3.07.</v>
          </cell>
          <cell r="B1234">
            <v>2</v>
          </cell>
        </row>
        <row r="1235">
          <cell r="A1235" t="str">
            <v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>A .12. 4.  .</v>
          </cell>
          <cell r="B1237">
            <v>0</v>
          </cell>
        </row>
        <row r="1238">
          <cell r="A1238" t="str">
            <v>A .12. 4.01.</v>
          </cell>
          <cell r="B1238">
            <v>0</v>
          </cell>
        </row>
        <row r="1239">
          <cell r="A1239" t="str">
            <v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>A .12. 6.  .</v>
          </cell>
          <cell r="B1241">
            <v>0</v>
          </cell>
        </row>
        <row r="1242">
          <cell r="A1242" t="str">
            <v>A .12. 6.01.</v>
          </cell>
          <cell r="B1242">
            <v>1</v>
          </cell>
        </row>
        <row r="1243">
          <cell r="A1243" t="str">
            <v>A .12. 6.02.</v>
          </cell>
          <cell r="B1243">
            <v>4</v>
          </cell>
        </row>
        <row r="1244">
          <cell r="A1244" t="str">
            <v>A .12. 6.03.</v>
          </cell>
          <cell r="B1244">
            <v>0</v>
          </cell>
        </row>
        <row r="1245">
          <cell r="A1245" t="str">
            <v>A .12. 6.04.</v>
          </cell>
          <cell r="B1245">
            <v>2</v>
          </cell>
        </row>
        <row r="1246">
          <cell r="A1246" t="str">
            <v>A .12. 6.05.</v>
          </cell>
          <cell r="B1246">
            <v>0</v>
          </cell>
        </row>
        <row r="1247">
          <cell r="A1247" t="str">
            <v>A .12. 6.06.</v>
          </cell>
          <cell r="B1247">
            <v>1</v>
          </cell>
        </row>
        <row r="1248">
          <cell r="A1248" t="str">
            <v>A .12. 6.07.</v>
          </cell>
          <cell r="B1248">
            <v>8</v>
          </cell>
        </row>
        <row r="1249">
          <cell r="A1249" t="str">
            <v>A .12. 6.08.</v>
          </cell>
          <cell r="B1249">
            <v>3</v>
          </cell>
        </row>
        <row r="1250">
          <cell r="A1250" t="str">
            <v>A .12. 6.09.</v>
          </cell>
          <cell r="B1250">
            <v>31</v>
          </cell>
        </row>
        <row r="1251">
          <cell r="A1251" t="str">
            <v>A .12. 6.10.</v>
          </cell>
          <cell r="B1251">
            <v>3</v>
          </cell>
        </row>
        <row r="1252">
          <cell r="A1252" t="str">
            <v>A .12. 6.11.</v>
          </cell>
          <cell r="B1252">
            <v>3</v>
          </cell>
        </row>
        <row r="1253">
          <cell r="A1253" t="str">
            <v>A .12. 6.11.01</v>
          </cell>
          <cell r="B1253">
            <v>112.1</v>
          </cell>
        </row>
        <row r="1254">
          <cell r="A1254" t="str">
            <v>A .12. 6.12.</v>
          </cell>
          <cell r="B1254">
            <v>16.2</v>
          </cell>
        </row>
        <row r="1255">
          <cell r="A1255" t="str">
            <v>A .12. 6.13.</v>
          </cell>
          <cell r="B1255">
            <v>66.099999999999994</v>
          </cell>
        </row>
        <row r="1256">
          <cell r="A1256" t="str">
            <v>A .12. 6.14.</v>
          </cell>
          <cell r="B1256">
            <v>81.900000000000006</v>
          </cell>
        </row>
        <row r="1257">
          <cell r="A1257" t="str">
            <v>A .12. 6.15.</v>
          </cell>
          <cell r="B1257">
            <v>83.87</v>
          </cell>
        </row>
        <row r="1258">
          <cell r="A1258" t="str">
            <v>A .12. 6.16.</v>
          </cell>
          <cell r="B1258">
            <v>107.2</v>
          </cell>
        </row>
        <row r="1259">
          <cell r="A1259" t="str">
            <v>A .12. 6.17.</v>
          </cell>
          <cell r="B1259">
            <v>198.06</v>
          </cell>
        </row>
        <row r="1260">
          <cell r="A1260" t="str">
            <v>A .12. 6.18.</v>
          </cell>
          <cell r="B1260">
            <v>109.2</v>
          </cell>
        </row>
        <row r="1261">
          <cell r="A1261" t="str">
            <v>A .12. 6.19.</v>
          </cell>
          <cell r="B1261">
            <v>798</v>
          </cell>
        </row>
        <row r="1262">
          <cell r="A1262" t="str">
            <v>A .12. 6.20.</v>
          </cell>
          <cell r="B1262">
            <v>664</v>
          </cell>
        </row>
        <row r="1263">
          <cell r="A1263" t="str">
            <v>A .12. 6.21.</v>
          </cell>
          <cell r="B1263">
            <v>736</v>
          </cell>
        </row>
        <row r="1264">
          <cell r="A1264" t="str">
            <v>A .12. 6.22.</v>
          </cell>
          <cell r="B1264">
            <v>1277</v>
          </cell>
        </row>
        <row r="1265">
          <cell r="A1265" t="str">
            <v>A .12. 6.23.</v>
          </cell>
          <cell r="B1265">
            <v>1157.0999999999999</v>
          </cell>
        </row>
        <row r="1266">
          <cell r="A1266" t="str">
            <v>A .12. 6.24.</v>
          </cell>
          <cell r="B1266">
            <v>238</v>
          </cell>
        </row>
        <row r="1267">
          <cell r="A1267" t="str">
            <v>A .12. 6.25.</v>
          </cell>
          <cell r="B1267">
            <v>16</v>
          </cell>
        </row>
        <row r="1268">
          <cell r="A1268" t="str">
            <v>A .12. 6.26.</v>
          </cell>
          <cell r="B1268">
            <v>1364</v>
          </cell>
        </row>
        <row r="1269">
          <cell r="A1269" t="str">
            <v>A .12. 6.27.</v>
          </cell>
          <cell r="B1269">
            <v>58.2</v>
          </cell>
        </row>
        <row r="1270">
          <cell r="A1270" t="str">
            <v>A .12. 6.28.</v>
          </cell>
          <cell r="B1270">
            <v>170</v>
          </cell>
        </row>
        <row r="1271">
          <cell r="A1271" t="str">
            <v>A .12. 6.29.</v>
          </cell>
          <cell r="B1271">
            <v>9</v>
          </cell>
        </row>
        <row r="1272">
          <cell r="A1272" t="str">
            <v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>A . 12. 8.  .</v>
          </cell>
          <cell r="B1274">
            <v>0</v>
          </cell>
        </row>
        <row r="1275">
          <cell r="A1275" t="str">
            <v>A . 12. 8.01.</v>
          </cell>
          <cell r="B1275">
            <v>1</v>
          </cell>
        </row>
        <row r="1276">
          <cell r="A1276" t="str">
            <v>A . 12. 8.02.</v>
          </cell>
          <cell r="B1276">
            <v>1</v>
          </cell>
        </row>
        <row r="1277">
          <cell r="A1277" t="str">
            <v>A . 12. 8.03.</v>
          </cell>
          <cell r="B1277">
            <v>1</v>
          </cell>
        </row>
        <row r="1278">
          <cell r="A1278" t="str">
            <v>A . 12. 8.04.</v>
          </cell>
          <cell r="B1278">
            <v>1</v>
          </cell>
        </row>
        <row r="1279">
          <cell r="A1279" t="str">
            <v>A . 12. 8.05.</v>
          </cell>
          <cell r="B1279">
            <v>1</v>
          </cell>
        </row>
        <row r="1280">
          <cell r="A1280" t="str">
            <v>A . 12. 8.06.</v>
          </cell>
          <cell r="B1280">
            <v>1</v>
          </cell>
        </row>
        <row r="1281">
          <cell r="A1281" t="str">
            <v>A . 12. 8.07.</v>
          </cell>
          <cell r="B1281">
            <v>1</v>
          </cell>
        </row>
        <row r="1282">
          <cell r="A1282" t="str">
            <v>A . 12. 8.08.</v>
          </cell>
          <cell r="B1282">
            <v>1</v>
          </cell>
        </row>
        <row r="1283">
          <cell r="A1283" t="str">
            <v>A . 12. 8.09.</v>
          </cell>
          <cell r="B1283">
            <v>1</v>
          </cell>
        </row>
        <row r="1284">
          <cell r="A1284" t="str">
            <v>A . 12. 8.10.</v>
          </cell>
          <cell r="B1284">
            <v>1</v>
          </cell>
        </row>
        <row r="1285">
          <cell r="A1285" t="str">
            <v>A . 12. 8.11.</v>
          </cell>
          <cell r="B1285">
            <v>1</v>
          </cell>
        </row>
        <row r="1286">
          <cell r="A1286" t="str">
            <v>A . 12. 8.12.</v>
          </cell>
          <cell r="B1286">
            <v>1</v>
          </cell>
        </row>
        <row r="1287">
          <cell r="A1287" t="str">
            <v>A . 12. 8.13.</v>
          </cell>
          <cell r="B1287">
            <v>1</v>
          </cell>
        </row>
        <row r="1288">
          <cell r="A1288" t="str">
            <v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>A .13.  .  .</v>
          </cell>
          <cell r="B1290">
            <v>0</v>
          </cell>
        </row>
        <row r="1291">
          <cell r="A1291" t="str">
            <v>A .13. 1.01.0</v>
          </cell>
          <cell r="B1291">
            <v>3094</v>
          </cell>
        </row>
        <row r="1292">
          <cell r="A1292" t="str">
            <v>A .13. 1.02.0</v>
          </cell>
          <cell r="B1292">
            <v>22590.69</v>
          </cell>
        </row>
        <row r="1293">
          <cell r="A1293" t="str">
            <v>A .13. 1.03.0</v>
          </cell>
          <cell r="B1293">
            <v>59984.38</v>
          </cell>
        </row>
        <row r="1294">
          <cell r="A1294" t="str">
            <v>A .13. 1.04.0</v>
          </cell>
          <cell r="B1294">
            <v>32540.61</v>
          </cell>
        </row>
        <row r="1295">
          <cell r="A1295" t="str">
            <v>A .13. 1.05.0</v>
          </cell>
          <cell r="B1295">
            <v>1950</v>
          </cell>
        </row>
        <row r="1296">
          <cell r="A1296" t="str">
            <v>A .13. 1.06.0</v>
          </cell>
          <cell r="B1296">
            <v>4095</v>
          </cell>
        </row>
        <row r="1297">
          <cell r="A1297" t="str">
            <v>A .13. 1.07.0</v>
          </cell>
          <cell r="B1297">
            <v>19</v>
          </cell>
        </row>
        <row r="1298">
          <cell r="A1298" t="str">
            <v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>A .14.  .  .</v>
          </cell>
          <cell r="B1300">
            <v>0</v>
          </cell>
        </row>
        <row r="1301">
          <cell r="A1301" t="str">
            <v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>A .15. 1 .  .</v>
          </cell>
          <cell r="B1305">
            <v>0</v>
          </cell>
        </row>
        <row r="1306">
          <cell r="A1306" t="str">
            <v>A .15. 1. 1.</v>
          </cell>
          <cell r="B1306">
            <v>10</v>
          </cell>
        </row>
        <row r="1307">
          <cell r="A1307" t="str">
            <v>A .15. 1. 2.</v>
          </cell>
          <cell r="B1307">
            <v>1</v>
          </cell>
        </row>
        <row r="1308">
          <cell r="A1308" t="str">
            <v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>A .15. 2 .  .</v>
          </cell>
          <cell r="B1310">
            <v>0</v>
          </cell>
        </row>
        <row r="1311">
          <cell r="A1311" t="str">
            <v>A .15. 2. 1.</v>
          </cell>
          <cell r="B1311">
            <v>202.88</v>
          </cell>
        </row>
        <row r="1312">
          <cell r="A1312" t="str">
            <v>A .15. 2. 2.</v>
          </cell>
          <cell r="B1312">
            <v>142.19</v>
          </cell>
        </row>
        <row r="1313">
          <cell r="A1313" t="str">
            <v>A .15. 2. 3.</v>
          </cell>
          <cell r="B1313">
            <v>149.03</v>
          </cell>
        </row>
        <row r="1314">
          <cell r="A1314" t="str">
            <v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>A .15. 3 .  .</v>
          </cell>
          <cell r="B1316">
            <v>0</v>
          </cell>
        </row>
        <row r="1317">
          <cell r="A1317" t="str">
            <v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>B . 1. 1.01.</v>
          </cell>
          <cell r="B1365">
            <v>0</v>
          </cell>
        </row>
        <row r="1366">
          <cell r="A1366" t="str">
            <v>B . 1. 1.02.</v>
          </cell>
          <cell r="B1366">
            <v>0</v>
          </cell>
        </row>
        <row r="1367">
          <cell r="A1367" t="str">
            <v>B . 1. 1.03.</v>
          </cell>
          <cell r="B1367">
            <v>0</v>
          </cell>
        </row>
        <row r="1368">
          <cell r="A1368" t="str">
            <v>B . 1. 1.04.</v>
          </cell>
          <cell r="B1368">
            <v>2.79</v>
          </cell>
        </row>
        <row r="1369">
          <cell r="A1369" t="str">
            <v>B . 1. 1.05.</v>
          </cell>
          <cell r="B1369">
            <v>10.76</v>
          </cell>
        </row>
        <row r="1370">
          <cell r="A1370" t="str">
            <v>B . 1. 1.06.</v>
          </cell>
          <cell r="B1370">
            <v>29.24</v>
          </cell>
        </row>
        <row r="1371">
          <cell r="A1371" t="str">
            <v>B . 1. 1.07.</v>
          </cell>
          <cell r="B1371">
            <v>5.88</v>
          </cell>
        </row>
        <row r="1372">
          <cell r="A1372" t="str">
            <v>B . 1. 1.08.</v>
          </cell>
          <cell r="B1372">
            <v>3.54</v>
          </cell>
        </row>
        <row r="1373">
          <cell r="A1373" t="str">
            <v>B . 1. 1.09.</v>
          </cell>
          <cell r="B1373">
            <v>10.58</v>
          </cell>
        </row>
        <row r="1374">
          <cell r="A1374" t="str">
            <v>B . 1. 1.10.</v>
          </cell>
          <cell r="B1374">
            <v>3.3</v>
          </cell>
        </row>
        <row r="1375">
          <cell r="A1375" t="str">
            <v>B . 1. 1.11.</v>
          </cell>
          <cell r="B1375">
            <v>18.14</v>
          </cell>
        </row>
        <row r="1376">
          <cell r="A1376" t="str">
            <v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>B . 1. 2.  .</v>
          </cell>
          <cell r="B1378">
            <v>0</v>
          </cell>
        </row>
        <row r="1379">
          <cell r="A1379" t="str">
            <v>B . 1. 2.01.</v>
          </cell>
          <cell r="B1379">
            <v>2639</v>
          </cell>
        </row>
        <row r="1380">
          <cell r="A1380" t="str">
            <v>B . 1. 2.02.</v>
          </cell>
          <cell r="B1380">
            <v>1166</v>
          </cell>
        </row>
        <row r="1381">
          <cell r="A1381" t="str">
            <v>B . 1. 2.03.</v>
          </cell>
          <cell r="B1381">
            <v>1072</v>
          </cell>
        </row>
        <row r="1382">
          <cell r="A1382" t="str">
            <v>B . 1. 2.04.</v>
          </cell>
          <cell r="B1382">
            <v>507</v>
          </cell>
        </row>
        <row r="1383">
          <cell r="A1383" t="str">
            <v>B . 1. 2.05.</v>
          </cell>
          <cell r="B1383">
            <v>548</v>
          </cell>
        </row>
        <row r="1384">
          <cell r="A1384" t="str">
            <v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>B . 1. 4.  .</v>
          </cell>
          <cell r="B1386">
            <v>0</v>
          </cell>
        </row>
        <row r="1387">
          <cell r="A1387" t="str">
            <v>B . 1. 4.01.</v>
          </cell>
          <cell r="B1387">
            <v>6</v>
          </cell>
        </row>
        <row r="1388">
          <cell r="A1388" t="str">
            <v>B . 1. 4.02.</v>
          </cell>
          <cell r="B1388">
            <v>645.6</v>
          </cell>
        </row>
        <row r="1389">
          <cell r="A1389" t="str">
            <v>B . 1. 4.03.</v>
          </cell>
          <cell r="B1389">
            <v>2</v>
          </cell>
        </row>
        <row r="1390">
          <cell r="A1390" t="str">
            <v>B . 1. 4.04.</v>
          </cell>
          <cell r="B1390">
            <v>1</v>
          </cell>
        </row>
        <row r="1391">
          <cell r="A1391" t="str">
            <v>B . 1. 4.05.</v>
          </cell>
          <cell r="B1391">
            <v>204</v>
          </cell>
        </row>
        <row r="1392">
          <cell r="A1392" t="str">
            <v>B . 1. 4.06.</v>
          </cell>
          <cell r="B1392">
            <v>1</v>
          </cell>
        </row>
        <row r="1393">
          <cell r="A1393" t="str">
            <v>B . 1. 4.07.</v>
          </cell>
          <cell r="B1393">
            <v>1</v>
          </cell>
        </row>
        <row r="1394">
          <cell r="A1394" t="str">
            <v>B . 1. 4.08.</v>
          </cell>
          <cell r="B1394">
            <v>1</v>
          </cell>
        </row>
        <row r="1395">
          <cell r="A1395" t="str">
            <v>B . 1. 4.09.</v>
          </cell>
          <cell r="B1395">
            <v>3</v>
          </cell>
        </row>
        <row r="1396">
          <cell r="A1396" t="str">
            <v>B . 1. 4.10.</v>
          </cell>
          <cell r="B1396">
            <v>2</v>
          </cell>
        </row>
        <row r="1397">
          <cell r="A1397" t="str">
            <v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>B . 1. 5.  .</v>
          </cell>
          <cell r="B1399">
            <v>0</v>
          </cell>
        </row>
        <row r="1400">
          <cell r="A1400" t="str">
            <v>B . 1. 5.01.</v>
          </cell>
          <cell r="B1400">
            <v>8.9</v>
          </cell>
        </row>
        <row r="1401">
          <cell r="A1401" t="str">
            <v>B . 1. 5.02.</v>
          </cell>
          <cell r="B1401">
            <v>38.74</v>
          </cell>
        </row>
        <row r="1402">
          <cell r="A1402" t="str">
            <v>B . 1. 5.03.</v>
          </cell>
          <cell r="B1402">
            <v>25.87</v>
          </cell>
        </row>
        <row r="1403">
          <cell r="A1403" t="str">
            <v>B . 1. 5.04.</v>
          </cell>
          <cell r="B1403">
            <v>83.24</v>
          </cell>
        </row>
        <row r="1404">
          <cell r="A1404" t="str">
            <v>B . 1. 5.05.</v>
          </cell>
          <cell r="B1404">
            <v>0</v>
          </cell>
        </row>
        <row r="1405">
          <cell r="A1405" t="str">
            <v>B . 1. 5.06.</v>
          </cell>
          <cell r="B1405">
            <v>0</v>
          </cell>
        </row>
        <row r="1406">
          <cell r="A1406" t="str">
            <v>B . 1. 5.07.</v>
          </cell>
          <cell r="B1406">
            <v>39</v>
          </cell>
        </row>
        <row r="1407">
          <cell r="A1407" t="str">
            <v>B . 1. 5.08.</v>
          </cell>
          <cell r="B1407">
            <v>12.41</v>
          </cell>
        </row>
        <row r="1408">
          <cell r="A1408" t="str">
            <v>B . 1. 5.09.</v>
          </cell>
          <cell r="B1408">
            <v>12.11</v>
          </cell>
        </row>
        <row r="1409">
          <cell r="A1409" t="str">
            <v>B . 1. 5.10.</v>
          </cell>
          <cell r="B1409">
            <v>11</v>
          </cell>
        </row>
        <row r="1410">
          <cell r="A1410" t="str">
            <v>B . 1. 5.11.</v>
          </cell>
          <cell r="B1410">
            <v>44</v>
          </cell>
        </row>
        <row r="1411">
          <cell r="A1411" t="str">
            <v>B . 1. 5.12.</v>
          </cell>
          <cell r="B1411">
            <v>1</v>
          </cell>
        </row>
        <row r="1412">
          <cell r="A1412" t="str">
            <v>B . 1. 5.13.</v>
          </cell>
          <cell r="B1412">
            <v>2</v>
          </cell>
        </row>
        <row r="1413">
          <cell r="A1413" t="str">
            <v>B . 1. 5.14.</v>
          </cell>
          <cell r="B1413">
            <v>27.38</v>
          </cell>
        </row>
        <row r="1414">
          <cell r="A1414" t="str">
            <v>B . 1. 5.15.</v>
          </cell>
          <cell r="B1414">
            <v>26.44</v>
          </cell>
        </row>
        <row r="1415">
          <cell r="A1415" t="str">
            <v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>B . 1. 6.  .</v>
          </cell>
          <cell r="B1417">
            <v>0</v>
          </cell>
        </row>
        <row r="1418">
          <cell r="A1418" t="str">
            <v>B . 1. 6.01.</v>
          </cell>
          <cell r="B1418">
            <v>1</v>
          </cell>
        </row>
        <row r="1419">
          <cell r="A1419" t="str">
            <v>B . 1. 6.02.</v>
          </cell>
          <cell r="B1419">
            <v>6</v>
          </cell>
        </row>
        <row r="1420">
          <cell r="A1420" t="str">
            <v>B . 1. 6.03.</v>
          </cell>
          <cell r="B1420">
            <v>1</v>
          </cell>
        </row>
        <row r="1421">
          <cell r="A1421" t="str">
            <v>B . 1. 6.04.</v>
          </cell>
          <cell r="B1421">
            <v>6</v>
          </cell>
        </row>
        <row r="1422">
          <cell r="A1422" t="str">
            <v>B . 1. 6.05.</v>
          </cell>
          <cell r="B1422">
            <v>1046</v>
          </cell>
        </row>
        <row r="1423">
          <cell r="A1423" t="str">
            <v>B . 1. 6.06.</v>
          </cell>
          <cell r="B1423">
            <v>1048</v>
          </cell>
        </row>
        <row r="1424">
          <cell r="A1424" t="str">
            <v>B . 1. 6.07.</v>
          </cell>
          <cell r="B1424">
            <v>0</v>
          </cell>
        </row>
        <row r="1425">
          <cell r="A1425" t="str">
            <v>B . 1. 6.08.</v>
          </cell>
          <cell r="B1425">
            <v>48</v>
          </cell>
        </row>
        <row r="1426">
          <cell r="A1426" t="str">
            <v>B . 1. 6.09.</v>
          </cell>
          <cell r="B1426">
            <v>5.6</v>
          </cell>
        </row>
        <row r="1427">
          <cell r="A1427" t="str">
            <v>B . 1. 6.10.</v>
          </cell>
          <cell r="B1427">
            <v>74.099999999999994</v>
          </cell>
        </row>
        <row r="1428">
          <cell r="A1428" t="str">
            <v>B . 1. 6.11.</v>
          </cell>
          <cell r="B1428">
            <v>220</v>
          </cell>
        </row>
        <row r="1429">
          <cell r="A1429" t="str">
            <v>B . 1. 6.12.</v>
          </cell>
          <cell r="B1429">
            <v>0</v>
          </cell>
        </row>
        <row r="1430">
          <cell r="A1430" t="str">
            <v>B . 1. 6.13.</v>
          </cell>
          <cell r="B1430">
            <v>21</v>
          </cell>
        </row>
        <row r="1431">
          <cell r="A1431" t="str">
            <v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>B . 1. 7.  .</v>
          </cell>
          <cell r="B1433">
            <v>0</v>
          </cell>
        </row>
        <row r="1434">
          <cell r="A1434" t="str">
            <v>B . 1. 7.01.</v>
          </cell>
          <cell r="B1434">
            <v>1</v>
          </cell>
        </row>
        <row r="1435">
          <cell r="A1435" t="str">
            <v>B . 1. 7.02.</v>
          </cell>
          <cell r="B1435">
            <v>1</v>
          </cell>
        </row>
        <row r="1436">
          <cell r="A1436" t="str">
            <v>B . 1. 7.03.</v>
          </cell>
          <cell r="B1436">
            <v>1</v>
          </cell>
        </row>
        <row r="1437">
          <cell r="A1437" t="str">
            <v>B . 1. 7.04.</v>
          </cell>
          <cell r="B1437">
            <v>1</v>
          </cell>
        </row>
        <row r="1438">
          <cell r="A1438" t="str">
            <v>B . 1. 7.05.</v>
          </cell>
          <cell r="B1438">
            <v>1</v>
          </cell>
        </row>
        <row r="1439">
          <cell r="A1439" t="str">
            <v>B . 1. 7.06.</v>
          </cell>
          <cell r="B1439">
            <v>2</v>
          </cell>
        </row>
        <row r="1440">
          <cell r="A1440" t="str">
            <v>B . 1. 7.07.</v>
          </cell>
          <cell r="B1440">
            <v>2</v>
          </cell>
        </row>
        <row r="1441">
          <cell r="A1441" t="str">
            <v>B . 1. 7.08.</v>
          </cell>
          <cell r="B1441">
            <v>24</v>
          </cell>
        </row>
        <row r="1442">
          <cell r="A1442" t="str">
            <v>B . 1. 7.09.</v>
          </cell>
          <cell r="B1442">
            <v>1</v>
          </cell>
        </row>
        <row r="1443">
          <cell r="A1443" t="str">
            <v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>B . 1. 8.  .</v>
          </cell>
          <cell r="B1445">
            <v>0</v>
          </cell>
        </row>
        <row r="1446">
          <cell r="A1446" t="str">
            <v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>B . 1. 9.  .</v>
          </cell>
          <cell r="B1448">
            <v>0</v>
          </cell>
        </row>
        <row r="1449">
          <cell r="A1449" t="str">
            <v>B . 1. 9.01.</v>
          </cell>
          <cell r="B1449">
            <v>1</v>
          </cell>
        </row>
        <row r="1450">
          <cell r="A1450" t="str">
            <v>B . 1. 9.02.</v>
          </cell>
          <cell r="B1450">
            <v>1</v>
          </cell>
        </row>
        <row r="1451">
          <cell r="A1451" t="str">
            <v>B . 1. 9.03.</v>
          </cell>
          <cell r="B1451">
            <v>1</v>
          </cell>
        </row>
        <row r="1452">
          <cell r="A1452" t="str">
            <v>B . 1. 9.04.</v>
          </cell>
          <cell r="B1452">
            <v>1</v>
          </cell>
        </row>
        <row r="1453">
          <cell r="A1453" t="str">
            <v>B . 1. 9.05.</v>
          </cell>
          <cell r="B1453">
            <v>1</v>
          </cell>
        </row>
        <row r="1454">
          <cell r="A1454" t="str">
            <v>B . 1. 9.06.</v>
          </cell>
          <cell r="B1454">
            <v>1</v>
          </cell>
        </row>
        <row r="1455">
          <cell r="A1455" t="str">
            <v>B . 1. 9.07.</v>
          </cell>
          <cell r="B1455">
            <v>1</v>
          </cell>
        </row>
        <row r="1456">
          <cell r="A1456" t="str">
            <v>B . 1. 9.08.</v>
          </cell>
          <cell r="B1456">
            <v>1</v>
          </cell>
        </row>
        <row r="1457">
          <cell r="A1457" t="str">
            <v>B . 1. 9.09.</v>
          </cell>
          <cell r="B1457">
            <v>1</v>
          </cell>
        </row>
        <row r="1458">
          <cell r="A1458" t="str">
            <v>C . 1. 4.01.</v>
          </cell>
          <cell r="B1458">
            <v>11750</v>
          </cell>
        </row>
        <row r="1459">
          <cell r="A1459" t="str">
            <v>C . 1. 4.02.</v>
          </cell>
          <cell r="B1459">
            <v>0</v>
          </cell>
        </row>
        <row r="1460">
          <cell r="A1460" t="str">
            <v>C . 1. 4.03.</v>
          </cell>
          <cell r="B1460">
            <v>2355</v>
          </cell>
        </row>
        <row r="1461">
          <cell r="A1461" t="str">
            <v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>C . 1. 5.  .</v>
          </cell>
          <cell r="B1463">
            <v>0</v>
          </cell>
        </row>
        <row r="1464">
          <cell r="A1464" t="str">
            <v>C . 1. 5.01.</v>
          </cell>
          <cell r="B1464">
            <v>6.79</v>
          </cell>
        </row>
        <row r="1465">
          <cell r="A1465" t="str">
            <v>C . 1. 5.02.</v>
          </cell>
          <cell r="B1465">
            <v>2.3199999999999998</v>
          </cell>
        </row>
        <row r="1466">
          <cell r="A1466" t="str">
            <v>C . 1. 5.03.</v>
          </cell>
          <cell r="B1466">
            <v>25.07</v>
          </cell>
        </row>
        <row r="1467">
          <cell r="A1467" t="str">
            <v>C . 1. 5.04.</v>
          </cell>
          <cell r="B1467">
            <v>10.54</v>
          </cell>
        </row>
        <row r="1468">
          <cell r="A1468" t="str">
            <v>C . 1. 5.05.</v>
          </cell>
          <cell r="B1468">
            <v>2.4900000000000002</v>
          </cell>
        </row>
        <row r="1469">
          <cell r="A1469" t="str">
            <v>C . 1. 5.06.</v>
          </cell>
          <cell r="B1469">
            <v>32.6</v>
          </cell>
        </row>
        <row r="1470">
          <cell r="A1470" t="str">
            <v>C . 1. 5.07.</v>
          </cell>
          <cell r="B1470">
            <v>3.09</v>
          </cell>
        </row>
        <row r="1471">
          <cell r="A1471" t="str">
            <v>C . 1. 5.08.</v>
          </cell>
          <cell r="B1471">
            <v>3.03</v>
          </cell>
        </row>
        <row r="1472">
          <cell r="A1472" t="str">
            <v>C . 1. 5.09.</v>
          </cell>
          <cell r="B1472">
            <v>2</v>
          </cell>
        </row>
        <row r="1473">
          <cell r="A1473" t="str">
            <v>C . 1. 5.10.</v>
          </cell>
          <cell r="B1473">
            <v>1</v>
          </cell>
        </row>
        <row r="1474">
          <cell r="A1474" t="str">
            <v>C . 1. 5.11.</v>
          </cell>
          <cell r="B1474">
            <v>7</v>
          </cell>
        </row>
        <row r="1475">
          <cell r="A1475" t="str">
            <v>C . 1. 5.12.</v>
          </cell>
          <cell r="B1475">
            <v>3</v>
          </cell>
        </row>
        <row r="1476">
          <cell r="A1476" t="str">
            <v>C . 1. 5.13.</v>
          </cell>
          <cell r="B1476">
            <v>24.01</v>
          </cell>
        </row>
        <row r="1477">
          <cell r="A1477" t="str">
            <v>C . 1. 5.14.</v>
          </cell>
          <cell r="B1477">
            <v>1</v>
          </cell>
        </row>
        <row r="1478">
          <cell r="A1478" t="str">
            <v>C . 1. 5.15.</v>
          </cell>
          <cell r="B1478">
            <v>3</v>
          </cell>
        </row>
        <row r="1479">
          <cell r="A1479" t="str">
            <v>C . 1. 5.17.</v>
          </cell>
          <cell r="B1479">
            <v>5.5</v>
          </cell>
        </row>
        <row r="1480">
          <cell r="A1480" t="str">
            <v>C . 1. 5.18.</v>
          </cell>
          <cell r="B1480">
            <v>133</v>
          </cell>
        </row>
        <row r="1481">
          <cell r="A1481" t="str">
            <v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>C . 1. 6.  .</v>
          </cell>
          <cell r="B1483">
            <v>0</v>
          </cell>
        </row>
        <row r="1484">
          <cell r="A1484" t="str">
            <v>C . 1. 6.01.</v>
          </cell>
          <cell r="B1484">
            <v>0</v>
          </cell>
        </row>
        <row r="1485">
          <cell r="A1485" t="str">
            <v>C . 1. 6.02.</v>
          </cell>
          <cell r="B1485">
            <v>3.4</v>
          </cell>
        </row>
        <row r="1486">
          <cell r="A1486" t="str">
            <v>C . 1. 6.03.</v>
          </cell>
          <cell r="B1486">
            <v>31.2</v>
          </cell>
        </row>
        <row r="1487">
          <cell r="A1487" t="str">
            <v>C . 1. 6.04.</v>
          </cell>
          <cell r="B1487">
            <v>400</v>
          </cell>
        </row>
        <row r="1488">
          <cell r="A1488" t="str">
            <v>C . 1. 6.05.</v>
          </cell>
          <cell r="B1488">
            <v>400</v>
          </cell>
        </row>
        <row r="1489">
          <cell r="A1489" t="str">
            <v>C . 1. 6.06.</v>
          </cell>
          <cell r="B1489">
            <v>400</v>
          </cell>
        </row>
        <row r="1490">
          <cell r="A1490" t="str">
            <v>C . 1. 6.07.</v>
          </cell>
          <cell r="B1490">
            <v>240</v>
          </cell>
        </row>
        <row r="1491">
          <cell r="A1491" t="str">
            <v>C . 1. 6.08.</v>
          </cell>
          <cell r="B1491">
            <v>0</v>
          </cell>
        </row>
        <row r="1492">
          <cell r="A1492" t="str">
            <v>C . 1. 6.09.</v>
          </cell>
          <cell r="B1492">
            <v>2</v>
          </cell>
        </row>
        <row r="1493">
          <cell r="A1493" t="str">
            <v>C . 1. 6.10.</v>
          </cell>
          <cell r="B1493">
            <v>80</v>
          </cell>
        </row>
        <row r="1494">
          <cell r="A1494" t="str">
            <v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>C . 1. 7.  .</v>
          </cell>
          <cell r="B1496">
            <v>0</v>
          </cell>
        </row>
        <row r="1497">
          <cell r="A1497" t="str">
            <v>C . 1. 7.01.</v>
          </cell>
          <cell r="B1497">
            <v>1</v>
          </cell>
        </row>
        <row r="1498">
          <cell r="A1498" t="str">
            <v>C . 1. 7.02.</v>
          </cell>
          <cell r="B1498">
            <v>0</v>
          </cell>
        </row>
        <row r="1499">
          <cell r="A1499" t="str">
            <v>C . 1. 7.03.</v>
          </cell>
          <cell r="B1499">
            <v>0</v>
          </cell>
        </row>
        <row r="1500">
          <cell r="A1500" t="str">
            <v>C . 1. 7.04.</v>
          </cell>
          <cell r="B1500">
            <v>500</v>
          </cell>
        </row>
        <row r="1501">
          <cell r="A1501" t="str">
            <v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>C . 1. 8.  .</v>
          </cell>
          <cell r="B1503">
            <v>0</v>
          </cell>
        </row>
        <row r="1504">
          <cell r="A1504" t="str">
            <v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>C . 1. 9.  .</v>
          </cell>
          <cell r="B1506">
            <v>0</v>
          </cell>
        </row>
        <row r="1507">
          <cell r="A1507" t="str">
            <v>C . 1. 9.01.</v>
          </cell>
          <cell r="B1507">
            <v>1</v>
          </cell>
        </row>
        <row r="1508">
          <cell r="A1508" t="str">
            <v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>ALIMENTADOR D0-01</v>
          </cell>
        </row>
        <row r="16">
          <cell r="A16" t="str">
            <v>Tramo 1</v>
          </cell>
          <cell r="C16" t="str">
            <v>: Alimentador DO-01, Nodos MT 123, 124, 193 - Ruta Cusco Abancay -  PLANO RP-DO01-01-02</v>
          </cell>
          <cell r="EN16" t="str">
            <v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>Tramo 2</v>
          </cell>
          <cell r="C25" t="str">
            <v>: Alimentador DO-01, Nodos MT 196, 117, 195,  4423 - Cerro, SEDs  Antenas de TV - PLANO RP-DO01-02</v>
          </cell>
          <cell r="EN25" t="str">
            <v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>Tramo 3</v>
          </cell>
          <cell r="C37" t="str">
            <v>: Alimentador DO-01, Derivacion a SED AGRICULTORES ARCOCCATA (0010483) - PLANO RP-DO01-03</v>
          </cell>
          <cell r="EN37" t="str">
            <v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>Tramo 4</v>
          </cell>
          <cell r="C47" t="str">
            <v>: Alimentador DO-01, Nodos MT 150, 183, 186 - Ruta Cusco Abancay - PLANO RP-DO01-04</v>
          </cell>
          <cell r="EN47" t="str">
            <v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>ALIMENTADOR DO-02</v>
          </cell>
        </row>
        <row r="55">
          <cell r="A55" t="str">
            <v>Tramo 5</v>
          </cell>
          <cell r="C55" t="str">
            <v>: Alimentador DO-02,  PLANO RP-DO02-01</v>
          </cell>
          <cell r="EN55" t="str">
            <v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>Tramo 6</v>
          </cell>
          <cell r="C88" t="str">
            <v>: Alimentador DO-02,  PLANO RP-DO02-02</v>
          </cell>
          <cell r="EN88" t="str">
            <v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>Tramo 7</v>
          </cell>
          <cell r="C100" t="str">
            <v>: Alimentador DO-02,  PLANO RP-DO02-03</v>
          </cell>
          <cell r="EN100" t="str">
            <v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>Tramo 8</v>
          </cell>
          <cell r="C113" t="str">
            <v>: Alimentador DO-02,  PLANO RP-DO02-04</v>
          </cell>
          <cell r="EN113" t="str">
            <v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>Tramo 9</v>
          </cell>
          <cell r="C126" t="str">
            <v>: Alimentador DO-02,  PLANO RP-DO02-05</v>
          </cell>
          <cell r="EN126" t="str">
            <v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>Tramo 10</v>
          </cell>
          <cell r="C139" t="str">
            <v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>Tramo 11</v>
          </cell>
          <cell r="C148" t="str">
            <v>: Alimentador DO-02,  PLANO RP-DO02-07</v>
          </cell>
          <cell r="EN148" t="str">
            <v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>Tramo 12</v>
          </cell>
          <cell r="C156" t="str">
            <v>: Alimentador DO-02,  Av. TEODOSIO SERRUDO -  PLANO RP-DO02-01</v>
          </cell>
          <cell r="EN156" t="str">
            <v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>Tramo 13</v>
          </cell>
          <cell r="C164" t="str">
            <v>: Alimentador DO-02 y D09,  PLANO RP-DO02-DO09-09</v>
          </cell>
          <cell r="EN164" t="str">
            <v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>ALIMENTADOR DO-04</v>
          </cell>
        </row>
        <row r="182">
          <cell r="A182" t="str">
            <v>Tramo 14</v>
          </cell>
          <cell r="C182" t="str">
            <v>: Alimentador  DO04, PLANO RP-DO04-01</v>
          </cell>
          <cell r="EN182" t="str">
            <v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>ALIMENTADOR DO-05</v>
          </cell>
        </row>
        <row r="202">
          <cell r="A202" t="str">
            <v>Tramo 15</v>
          </cell>
          <cell r="C202" t="str">
            <v>: Alimentador  DO05,  PLANO RP-DO05-01</v>
          </cell>
          <cell r="EN202" t="str">
            <v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>Tramo 16</v>
          </cell>
          <cell r="C213" t="str">
            <v>: Alimentador  DO05,  PLANO RP-DO05-02</v>
          </cell>
          <cell r="EN213" t="str">
            <v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>Tramo 17</v>
          </cell>
          <cell r="C221" t="str">
            <v>: Alimentador  DO05,  PLANO RP-DO05-03</v>
          </cell>
          <cell r="EN221" t="str">
            <v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>ALIMENTADOR DO-06</v>
          </cell>
        </row>
        <row r="235">
          <cell r="A235" t="str">
            <v>Tramo 18</v>
          </cell>
          <cell r="C235" t="str">
            <v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>Tramo 19</v>
          </cell>
          <cell r="C255" t="str">
            <v>: Alimentador: DO-06URB. LOS MARQUESES, COVIPOL - PLANO RP-DO06-02</v>
          </cell>
          <cell r="EN255" t="str">
            <v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>Tramo 20</v>
          </cell>
          <cell r="C273" t="str">
            <v>: Alimentador: DO-06, CCARI GRANDE I, CCARI GRANDE II - PLANO RP-DO06-02</v>
          </cell>
          <cell r="EN273" t="str">
            <v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>Tramo 21</v>
          </cell>
          <cell r="C290" t="str">
            <v>: Alimentador: DO-06 INTERCONEXION DO-07- PLANO RP-DO06-04</v>
          </cell>
          <cell r="EN290" t="str">
            <v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>ALIMENTADOR DO-07</v>
          </cell>
        </row>
        <row r="301">
          <cell r="A301" t="str">
            <v>Tramo 22</v>
          </cell>
          <cell r="C301" t="str">
            <v>: Alimentador DO-07, Nodos MT 808, 983, 987  - JR. ESPINAR - PLANO RP-DO07-03</v>
          </cell>
          <cell r="EN301" t="str">
            <v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>Tramo 23</v>
          </cell>
          <cell r="C311" t="str">
            <v>: Alimentador DO-07, Nodos MT 980, 981 SED 096 - Jr. Bolivar - PLANO RP-DO07-02</v>
          </cell>
          <cell r="EN311" t="str">
            <v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>ALIMENTADOR DO-08</v>
          </cell>
        </row>
        <row r="321">
          <cell r="A321" t="str">
            <v>Tramo 24</v>
          </cell>
          <cell r="C321" t="str">
            <v>: Alimentador: DO-08, PJ. PRIMERO DE ENERO II - PLANO RP-DO08-04</v>
          </cell>
          <cell r="EN321" t="str">
            <v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>Tramo 25</v>
          </cell>
          <cell r="C335" t="str">
            <v>: Alimentador: DO-08, PJ. GENERAL OLLANTA I - PLANO RP-DO08-05</v>
          </cell>
          <cell r="EN335" t="str">
            <v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>Tramo 26</v>
          </cell>
          <cell r="C349" t="str">
            <v>: Alimentador: DO-08, AA.HH. SR. COYLLORITI  -  PLANO RP-DO08-06</v>
          </cell>
          <cell r="EN349" t="str">
            <v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>Tramo 27</v>
          </cell>
          <cell r="C358" t="str">
            <v>: Alimentador: DO-08, P.J. VIVA EL PERU III  -  PLANO RP- DO08-07</v>
          </cell>
          <cell r="EN358" t="str">
            <v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>ALIMENTADOR DO-09</v>
          </cell>
        </row>
        <row r="372">
          <cell r="A372" t="str">
            <v>Tramo 28</v>
          </cell>
          <cell r="C372" t="str">
            <v>: Alimentador  DO09, PARQUE GALICIA  -  PLANO RP-DO09-08</v>
          </cell>
          <cell r="EN372" t="str">
            <v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>ALIMENTADOR QU-01</v>
          </cell>
        </row>
        <row r="387">
          <cell r="A387" t="str">
            <v>Tramo 29</v>
          </cell>
          <cell r="C387" t="str">
            <v>: Alimentador QU-01, Urb. La Joya - PLANO RP-QU01-01</v>
          </cell>
          <cell r="EN387" t="str">
            <v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>Tramo 30</v>
          </cell>
          <cell r="C396" t="str">
            <v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>Tramo 31</v>
          </cell>
          <cell r="C402" t="str">
            <v>: Alimentador QU-01, S.E.D. N°: 0010281 - Urb. Velasco Astete I - PLANO RP-QU01-03</v>
          </cell>
          <cell r="EN402" t="str">
            <v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>Tramo 32</v>
          </cell>
          <cell r="C410" t="str">
            <v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>Tramo 33</v>
          </cell>
          <cell r="C438" t="str">
            <v>: Alimentador QU-01, S.E.D. N°: 0010302 - Urb. Los Alamos - PLANO RP-QU01-05</v>
          </cell>
          <cell r="EN438" t="str">
            <v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>ALIMENTADOR QU-03</v>
          </cell>
        </row>
        <row r="448">
          <cell r="A448" t="str">
            <v>Tramo 34</v>
          </cell>
          <cell r="C448" t="str">
            <v>: Alimentador QU-03, S.E.D. N° 0010284 - URB. SANTA MARIA  -  PLANO RP-QU03-10</v>
          </cell>
          <cell r="EN448" t="str">
            <v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>Tramo 35</v>
          </cell>
          <cell r="C462" t="str">
            <v>: Alimentador QU-03, S.E.D. N°: 0010540 - G.C. Santa Rosa II - PLANO RP-QU03-02</v>
          </cell>
          <cell r="EN462" t="str">
            <v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>Tramo 36</v>
          </cell>
          <cell r="C472" t="str">
            <v>: Alimentador QU-03, S.E.D. N°: 0010283 - Urb. Cachimayo I - PLANO RP-QU03-03</v>
          </cell>
          <cell r="EN472" t="str">
            <v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>Tramo 37</v>
          </cell>
          <cell r="C478" t="str">
            <v>: Alimentador QU-03, LLEGADA A S.E.D. N° 0010374 - A.H. Villa Los Proceres  -  PLANO RP-QU03-11</v>
          </cell>
          <cell r="EN478" t="str">
            <v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>: Alimentador QU-03, Derivacion a S.E.D. N°: 0010400 - COVIDUC - PLANO RP-QU03-05</v>
          </cell>
          <cell r="EN489" t="str">
            <v>COVIDUC</v>
          </cell>
        </row>
        <row r="502">
          <cell r="A502" t="str">
            <v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>: Alimentador QU-03, Derivacion a S.E.D. N°: 0010304 - Asoc. San Miguel - PLANO RP-QU03-06</v>
          </cell>
          <cell r="EN503" t="str">
            <v>URB. SAN MIGUEL</v>
          </cell>
        </row>
        <row r="523">
          <cell r="A523" t="str">
            <v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>: Alimentador QU-03, Derivacion a S.E.D. N°: 0010288 - Av. Francia - PLANO RP-QU03-07</v>
          </cell>
          <cell r="EN524" t="str">
            <v>AV. FRANCIA</v>
          </cell>
        </row>
        <row r="549">
          <cell r="A549" t="str">
            <v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>: Alimentador QU-03, Derivacion a S.E.D.s N°: 0010289, 0010677, 0010463 - PLANO RP-QU03-08</v>
          </cell>
          <cell r="EN550" t="str">
            <v>Ca. DINAMRACA, VILLA MANANTIAL</v>
          </cell>
        </row>
        <row r="572">
          <cell r="A572" t="str">
            <v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>: Alimentador QU-03, S.E.D. N°: 0010290 - Av. Alemania I (Nac. Unidas) - PLANO RP-QU03-09</v>
          </cell>
          <cell r="EN573" t="str">
            <v>AV. ALEMANIA I</v>
          </cell>
        </row>
        <row r="589">
          <cell r="A589" t="str">
            <v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>: Alimentador QU-03, Derivacion a S.E.D. N°: 0010510 - AA.HH. LA UNION - PLANO RP-QU03-10</v>
          </cell>
          <cell r="EN590" t="str">
            <v>AA.HH. LA UNION</v>
          </cell>
        </row>
        <row r="609">
          <cell r="A609" t="str">
            <v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>: Alimentador QU-03, Derivacion a S.E.D. N°: 0010513 - Urb. Los Angeles Miguel Grau - PLANO RP-QU03-11</v>
          </cell>
          <cell r="EN610" t="str">
            <v>URB. LOS ANGELES</v>
          </cell>
        </row>
        <row r="617">
          <cell r="A617" t="str">
            <v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>: Alimentador QU-03, Derivacion a S.E.D. N°: 0010604 - San Agustin Niño de Praga - PLANO RP-QU03-13</v>
          </cell>
          <cell r="EN632" t="str">
            <v>NIÑO DE PRAGA</v>
          </cell>
        </row>
        <row r="648">
          <cell r="A648" t="str">
            <v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>ALIMENTADOR QU-04</v>
          </cell>
        </row>
        <row r="662">
          <cell r="C662" t="str">
            <v>: Alimentador QU-04, S.E.D. N°: 0010542, 0010562 - San Juan de Dios - PLANO RP-QU04-01</v>
          </cell>
          <cell r="EN662" t="str">
            <v>SAN JUAN DE DIOS</v>
          </cell>
        </row>
        <row r="673">
          <cell r="A673" t="str">
            <v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>: Alimentador QU-04, Derivacion a S.E.D. N°: 0010032 - PATAPATA - PLANO RP-QU04-02</v>
          </cell>
          <cell r="EN674" t="str">
            <v>PATAPATA</v>
          </cell>
        </row>
        <row r="696">
          <cell r="A696" t="str">
            <v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>: Alimentador QU-04, Derivacion a S.E.D. N°: 0010071 - Granja Kayra - PLANO RP-QU04-03</v>
          </cell>
          <cell r="EN697" t="str">
            <v>GRANJA KAYRA</v>
          </cell>
        </row>
        <row r="702">
          <cell r="A702" t="str">
            <v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>ALIMENTADOR D0-01</v>
          </cell>
        </row>
        <row r="15">
          <cell r="A15" t="str">
            <v>Tramo 1</v>
          </cell>
          <cell r="B15" t="str">
            <v>Nodos MT 123, 124, 193</v>
          </cell>
          <cell r="AB15" t="str">
            <v>Nodos MT 123, 124, 193</v>
          </cell>
        </row>
        <row r="16">
          <cell r="A16" t="str">
            <v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>Derivacion a Antenas de TV</v>
          </cell>
          <cell r="AC17">
            <v>0</v>
          </cell>
          <cell r="AD17">
            <v>0</v>
          </cell>
        </row>
        <row r="18">
          <cell r="A18" t="str">
            <v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>Tramo 2</v>
          </cell>
          <cell r="B21" t="str">
            <v>Cerro - Antenas de TV</v>
          </cell>
          <cell r="AB21" t="str">
            <v>Cerro - Antenas de TV</v>
          </cell>
        </row>
        <row r="22">
          <cell r="A22" t="str">
            <v>MT 4423</v>
          </cell>
        </row>
        <row r="23">
          <cell r="A23" t="str">
            <v>MT 196</v>
          </cell>
        </row>
        <row r="25">
          <cell r="A25" t="str">
            <v>SED 0010184</v>
          </cell>
        </row>
        <row r="26">
          <cell r="A26" t="str">
            <v>MT 117</v>
          </cell>
        </row>
        <row r="27">
          <cell r="A27" t="str">
            <v>MT 195</v>
          </cell>
        </row>
        <row r="28">
          <cell r="A28" t="str">
            <v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>Tramo 3</v>
          </cell>
          <cell r="B29" t="str">
            <v>AGRICULTORES ARCOCCATA</v>
          </cell>
          <cell r="AB29" t="str">
            <v>AGRICULTORES ARCOCCATA</v>
          </cell>
        </row>
        <row r="30">
          <cell r="A30" t="str">
            <v>MT s/n</v>
          </cell>
        </row>
        <row r="31">
          <cell r="A31" t="str">
            <v>Nodo BT 34877</v>
          </cell>
        </row>
        <row r="32">
          <cell r="A32" t="str">
            <v>SED 0010483</v>
          </cell>
        </row>
        <row r="33">
          <cell r="A33" t="str">
            <v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>Tramo 4</v>
          </cell>
          <cell r="B34" t="str">
            <v>NODOS MT 150, 183, 186</v>
          </cell>
          <cell r="AB34" t="str">
            <v>NODOS MT 150, 183, 186</v>
          </cell>
        </row>
        <row r="35">
          <cell r="A35" t="str">
            <v>MT 3994</v>
          </cell>
        </row>
        <row r="36">
          <cell r="A36" t="str">
            <v>MT 186</v>
          </cell>
        </row>
        <row r="37">
          <cell r="A37" t="str">
            <v>MT 183</v>
          </cell>
        </row>
        <row r="38">
          <cell r="A38" t="str">
            <v>MT 150</v>
          </cell>
        </row>
        <row r="39">
          <cell r="A39" t="str">
            <v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>ALIMENTADOR DO-02</v>
          </cell>
        </row>
        <row r="41">
          <cell r="A41" t="str">
            <v>Tramo 5</v>
          </cell>
          <cell r="B41" t="str">
            <v>AV. GRAU</v>
          </cell>
          <cell r="AB41" t="str">
            <v>AV. GRAU</v>
          </cell>
        </row>
        <row r="42">
          <cell r="A42" t="str">
            <v>MT 404</v>
          </cell>
        </row>
        <row r="43">
          <cell r="A43" t="str">
            <v>MT 403</v>
          </cell>
        </row>
        <row r="44">
          <cell r="A44" t="str">
            <v>SED 0010336</v>
          </cell>
        </row>
        <row r="45">
          <cell r="A45" t="str">
            <v>MT 3111</v>
          </cell>
        </row>
        <row r="46">
          <cell r="A46" t="str">
            <v>MT 3112</v>
          </cell>
        </row>
        <row r="47">
          <cell r="A47" t="str">
            <v>MT 3110</v>
          </cell>
        </row>
        <row r="48">
          <cell r="A48" t="str">
            <v>MT 3109</v>
          </cell>
        </row>
        <row r="49">
          <cell r="A49" t="str">
            <v>MT 342</v>
          </cell>
        </row>
        <row r="51">
          <cell r="A51" t="str">
            <v>MT 340</v>
          </cell>
        </row>
        <row r="52">
          <cell r="A52" t="str">
            <v>MT 343</v>
          </cell>
        </row>
        <row r="54">
          <cell r="A54" t="str">
            <v>MT 344</v>
          </cell>
        </row>
        <row r="55">
          <cell r="A55" t="str">
            <v>MT 346</v>
          </cell>
        </row>
        <row r="56">
          <cell r="A56" t="str">
            <v>SED 451</v>
          </cell>
        </row>
        <row r="57">
          <cell r="A57" t="str">
            <v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>Tramo 6</v>
          </cell>
          <cell r="B60" t="str">
            <v>MANAHUAÑONCCA IV, P. ALTA</v>
          </cell>
          <cell r="AB60" t="str">
            <v>MANAHUAÑONCCA IV, P. ALTA</v>
          </cell>
        </row>
        <row r="61">
          <cell r="A61" t="str">
            <v>MT 309</v>
          </cell>
        </row>
        <row r="62">
          <cell r="A62" t="str">
            <v>MT 3109</v>
          </cell>
        </row>
        <row r="63">
          <cell r="A63" t="str">
            <v>MT 311</v>
          </cell>
        </row>
        <row r="65">
          <cell r="A65" t="str">
            <v>MT 312</v>
          </cell>
        </row>
        <row r="66">
          <cell r="A66" t="str">
            <v>SED 0010478</v>
          </cell>
        </row>
        <row r="67">
          <cell r="A67" t="str">
            <v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>Tramo 7</v>
          </cell>
          <cell r="B68" t="str">
            <v>JOSE OLAYA</v>
          </cell>
          <cell r="AB68" t="str">
            <v>JOSE OLAYA</v>
          </cell>
        </row>
        <row r="69">
          <cell r="A69" t="str">
            <v>MT 3978</v>
          </cell>
        </row>
        <row r="70">
          <cell r="A70" t="str">
            <v>MT 335</v>
          </cell>
        </row>
        <row r="71">
          <cell r="A71" t="str">
            <v>MT 334</v>
          </cell>
        </row>
        <row r="72">
          <cell r="A72" t="str">
            <v>SED 0010270</v>
          </cell>
        </row>
        <row r="73">
          <cell r="A73" t="str">
            <v>MT 330</v>
          </cell>
        </row>
        <row r="74">
          <cell r="A74" t="str">
            <v>MT 329</v>
          </cell>
        </row>
        <row r="75">
          <cell r="A75" t="str">
            <v>MT 327</v>
          </cell>
        </row>
        <row r="76">
          <cell r="A76" t="str">
            <v>MT 326</v>
          </cell>
        </row>
        <row r="77">
          <cell r="A77" t="str">
            <v>MT 325</v>
          </cell>
        </row>
        <row r="78">
          <cell r="A78" t="str">
            <v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>Tramo 8</v>
          </cell>
          <cell r="B79" t="str">
            <v>SIMON BOLIVAR</v>
          </cell>
          <cell r="AB79" t="str">
            <v>SIMON BOLIVAR</v>
          </cell>
        </row>
        <row r="80">
          <cell r="A80" t="str">
            <v>MT 355</v>
          </cell>
        </row>
        <row r="82">
          <cell r="A82" t="str">
            <v>MT 356</v>
          </cell>
        </row>
        <row r="85">
          <cell r="A85" t="str">
            <v>SED 0010265</v>
          </cell>
        </row>
        <row r="86">
          <cell r="A86" t="str">
            <v>MT 334</v>
          </cell>
        </row>
        <row r="87">
          <cell r="A87" t="str">
            <v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>Tramo 9</v>
          </cell>
          <cell r="B88" t="str">
            <v>RAMIRO PRIALE P. ALTA</v>
          </cell>
          <cell r="AB88" t="str">
            <v>RAMIRO PRIALE P. ALTA</v>
          </cell>
        </row>
        <row r="89">
          <cell r="A89" t="str">
            <v>MT 339</v>
          </cell>
        </row>
        <row r="90">
          <cell r="A90" t="str">
            <v>SED 0010081</v>
          </cell>
        </row>
        <row r="91">
          <cell r="A91" t="str">
            <v>MT 3108</v>
          </cell>
        </row>
        <row r="92">
          <cell r="A92" t="str">
            <v>MT 3107</v>
          </cell>
        </row>
        <row r="93">
          <cell r="A93" t="str">
            <v>MT 3140</v>
          </cell>
        </row>
        <row r="94">
          <cell r="A94" t="str">
            <v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>MT 397</v>
          </cell>
        </row>
        <row r="98">
          <cell r="A98" t="str">
            <v>MT 398</v>
          </cell>
        </row>
        <row r="99">
          <cell r="A99" t="str">
            <v>BT</v>
          </cell>
        </row>
        <row r="100">
          <cell r="A100" t="str">
            <v>MT 3159</v>
          </cell>
        </row>
        <row r="101">
          <cell r="A101" t="str">
            <v>SED 0010270</v>
          </cell>
        </row>
        <row r="102">
          <cell r="A102" t="str">
            <v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>Tramo 11</v>
          </cell>
          <cell r="B103" t="str">
            <v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>CALLE 28 DE JULIO - ZARZUELA</v>
          </cell>
        </row>
        <row r="104">
          <cell r="A104" t="str">
            <v>MT 393</v>
          </cell>
        </row>
        <row r="105">
          <cell r="A105" t="str">
            <v>MT 392</v>
          </cell>
        </row>
        <row r="106">
          <cell r="A106" t="str">
            <v>SED 0010272</v>
          </cell>
        </row>
        <row r="109">
          <cell r="A109">
            <v>4</v>
          </cell>
        </row>
        <row r="110">
          <cell r="A110" t="str">
            <v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>Tramo 12</v>
          </cell>
          <cell r="B111" t="str">
            <v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>AV. TEODOCIO SERRUDO</v>
          </cell>
        </row>
        <row r="112">
          <cell r="A112" t="str">
            <v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>Tramo 13</v>
          </cell>
          <cell r="B119" t="str">
            <v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>SED 3 DE OCUTBRE - SED PLAZOLETA BELEN</v>
          </cell>
        </row>
        <row r="120">
          <cell r="A120" t="str">
            <v>MT 402</v>
          </cell>
        </row>
        <row r="123">
          <cell r="A123" t="str">
            <v>MT 401</v>
          </cell>
        </row>
        <row r="124">
          <cell r="A124" t="str">
            <v>MT 381</v>
          </cell>
        </row>
        <row r="126">
          <cell r="A126" t="str">
            <v>MT 391</v>
          </cell>
        </row>
        <row r="127">
          <cell r="A127" t="str">
            <v>MT 380</v>
          </cell>
        </row>
        <row r="128">
          <cell r="A128" t="str">
            <v>MT 3192</v>
          </cell>
        </row>
        <row r="129">
          <cell r="A129" t="str">
            <v>MT 390</v>
          </cell>
        </row>
        <row r="130">
          <cell r="A130" t="str">
            <v>MT 389</v>
          </cell>
        </row>
        <row r="131">
          <cell r="A131" t="str">
            <v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>ALIMENTADOR DO-04</v>
          </cell>
        </row>
        <row r="133">
          <cell r="A133" t="str">
            <v>Tramo 14</v>
          </cell>
          <cell r="B133" t="str">
            <v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>SED ATOQSAYCUCHI - SED SAN MARCOS</v>
          </cell>
        </row>
        <row r="134">
          <cell r="A134" t="str">
            <v>MT 598</v>
          </cell>
        </row>
        <row r="135">
          <cell r="A135" t="str">
            <v>MT 597</v>
          </cell>
        </row>
        <row r="136">
          <cell r="A136" t="str">
            <v>MT 554</v>
          </cell>
        </row>
        <row r="137">
          <cell r="A137" t="str">
            <v>SED 0010090</v>
          </cell>
        </row>
        <row r="138">
          <cell r="A138" t="str">
            <v>MT 3195</v>
          </cell>
        </row>
        <row r="139">
          <cell r="A139" t="str">
            <v>MT 596</v>
          </cell>
        </row>
        <row r="141">
          <cell r="A141" t="str">
            <v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>ALIMENTADOR DO-05</v>
          </cell>
        </row>
        <row r="143">
          <cell r="A143" t="str">
            <v>Tramo 15</v>
          </cell>
          <cell r="B143" t="str">
            <v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>Tramo 16</v>
          </cell>
          <cell r="B153" t="str">
            <v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>Tramo 17</v>
          </cell>
          <cell r="B159" t="str">
            <v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>ALIMENTADOR DO-06</v>
          </cell>
        </row>
        <row r="169">
          <cell r="A169" t="str">
            <v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>SED 0010139</v>
          </cell>
        </row>
        <row r="171">
          <cell r="A171" t="str">
            <v>MT 841</v>
          </cell>
        </row>
        <row r="172">
          <cell r="A172" t="str">
            <v>MT 840</v>
          </cell>
        </row>
        <row r="173">
          <cell r="A173" t="str">
            <v>SED-0010227</v>
          </cell>
        </row>
        <row r="174">
          <cell r="A174" t="str">
            <v>MT 836</v>
          </cell>
        </row>
        <row r="175">
          <cell r="A175" t="str">
            <v>SED 0010496</v>
          </cell>
        </row>
        <row r="176">
          <cell r="A176" t="str">
            <v>MT 801</v>
          </cell>
        </row>
        <row r="178">
          <cell r="A178" t="str">
            <v>MT 750</v>
          </cell>
        </row>
        <row r="179">
          <cell r="A179" t="str">
            <v>MT 751</v>
          </cell>
        </row>
        <row r="180">
          <cell r="A180" t="str">
            <v>SED 0010057</v>
          </cell>
        </row>
        <row r="181">
          <cell r="A181" t="str">
            <v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>Tramo 19</v>
          </cell>
          <cell r="B182" t="str">
            <v>LOS MARQUESES</v>
          </cell>
          <cell r="AB182" t="str">
            <v>LOS MARQUESES</v>
          </cell>
        </row>
        <row r="183">
          <cell r="A183" t="str">
            <v>SAM-0010473</v>
          </cell>
        </row>
        <row r="184">
          <cell r="A184" t="str">
            <v>MT 827</v>
          </cell>
        </row>
        <row r="185">
          <cell r="A185" t="str">
            <v>MT 828</v>
          </cell>
        </row>
        <row r="186">
          <cell r="A186" t="str">
            <v>MT 829</v>
          </cell>
        </row>
        <row r="187">
          <cell r="A187" t="str">
            <v>MT 830</v>
          </cell>
        </row>
        <row r="188">
          <cell r="A188" t="str">
            <v>MT 831</v>
          </cell>
        </row>
        <row r="189">
          <cell r="A189" t="str">
            <v>SAB-0010413</v>
          </cell>
        </row>
        <row r="190">
          <cell r="A190" t="str">
            <v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>Tramo 20</v>
          </cell>
          <cell r="B191" t="str">
            <v>CCARI GRANDE</v>
          </cell>
          <cell r="AB191" t="str">
            <v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>ARMADO A SER REUTILIZADO</v>
          </cell>
          <cell r="AC195">
            <v>0</v>
          </cell>
        </row>
        <row r="196">
          <cell r="A196" t="str">
            <v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>SED Reubicada</v>
          </cell>
          <cell r="AC199">
            <v>0</v>
          </cell>
        </row>
        <row r="200">
          <cell r="A200" t="str">
            <v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>Tramo 21</v>
          </cell>
          <cell r="B201" t="str">
            <v>INTERCONEXION DO07</v>
          </cell>
          <cell r="AB201" t="str">
            <v>INTERCONEXION DO07</v>
          </cell>
        </row>
        <row r="202">
          <cell r="A202" t="str">
            <v>MT 1165</v>
          </cell>
        </row>
        <row r="203">
          <cell r="A203" t="str">
            <v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>ALIMENTADOR DO-07</v>
          </cell>
        </row>
        <row r="207">
          <cell r="A207" t="str">
            <v>Tramo 22</v>
          </cell>
          <cell r="B207" t="str">
            <v>Jr. Espinar</v>
          </cell>
          <cell r="AB207" t="str">
            <v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>Tramo 23</v>
          </cell>
          <cell r="B216" t="str">
            <v>Jr. Bolivar</v>
          </cell>
          <cell r="AB216" t="str">
            <v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>SED 0010377</v>
          </cell>
        </row>
        <row r="220">
          <cell r="A220">
            <v>979</v>
          </cell>
        </row>
        <row r="221">
          <cell r="A221" t="str">
            <v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>ALIMENTADOR DO-08</v>
          </cell>
        </row>
        <row r="223">
          <cell r="A223" t="str">
            <v>Tramo 24</v>
          </cell>
          <cell r="B223" t="str">
            <v>PJ PRIMERO DE ENERO</v>
          </cell>
          <cell r="AB223" t="str">
            <v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>Tramo 25</v>
          </cell>
          <cell r="B237" t="str">
            <v>GENERAL OLLANTA</v>
          </cell>
          <cell r="AB237" t="str">
            <v>GENERAL OLLANTA</v>
          </cell>
        </row>
        <row r="238">
          <cell r="A238" t="str">
            <v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>Tramo 26</v>
          </cell>
          <cell r="B241" t="str">
            <v>SR COYLLORITI</v>
          </cell>
          <cell r="AB241" t="str">
            <v>SR COYLLORITI</v>
          </cell>
        </row>
        <row r="242">
          <cell r="A242" t="str">
            <v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>Tramo 27</v>
          </cell>
          <cell r="B250" t="str">
            <v>VIVA EL PERU</v>
          </cell>
          <cell r="AB250" t="str">
            <v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>ALIMENTADOR DO-09</v>
          </cell>
        </row>
        <row r="259">
          <cell r="A259" t="str">
            <v>Tramo 28</v>
          </cell>
          <cell r="B259" t="str">
            <v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>PARQUE GALICIA</v>
          </cell>
        </row>
        <row r="260">
          <cell r="A260" t="str">
            <v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>ALIMENTADOR QU-01</v>
          </cell>
        </row>
        <row r="266">
          <cell r="A266" t="str">
            <v>Tramo 29</v>
          </cell>
          <cell r="B266" t="str">
            <v>Urb. La Joya</v>
          </cell>
          <cell r="AB266" t="str">
            <v>Urb. La Joya</v>
          </cell>
        </row>
        <row r="267">
          <cell r="A267">
            <v>4075</v>
          </cell>
        </row>
        <row r="268">
          <cell r="A268" t="str">
            <v>SED 0010392</v>
          </cell>
        </row>
        <row r="269">
          <cell r="A269">
            <v>1316</v>
          </cell>
        </row>
        <row r="270">
          <cell r="A270" t="str">
            <v>SED 0010099</v>
          </cell>
        </row>
        <row r="271">
          <cell r="A271">
            <v>2622</v>
          </cell>
        </row>
        <row r="272">
          <cell r="A272" t="str">
            <v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>SED 0010281</v>
          </cell>
        </row>
        <row r="284">
          <cell r="A284" t="str">
            <v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>Tramo 32</v>
          </cell>
          <cell r="B285" t="str">
            <v>URB. LOS NOGALES</v>
          </cell>
          <cell r="AB285" t="str">
            <v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>Tramo 33</v>
          </cell>
          <cell r="B293" t="str">
            <v>URB. LOS ALAMOS</v>
          </cell>
          <cell r="AB293" t="str">
            <v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>SED 0010302</v>
          </cell>
        </row>
        <row r="298">
          <cell r="A298" t="str">
            <v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>ALIMENTADOR QU-03</v>
          </cell>
        </row>
        <row r="300">
          <cell r="A300" t="str">
            <v>Tramo 34</v>
          </cell>
          <cell r="B300" t="str">
            <v>URB. SANTA MARIA</v>
          </cell>
          <cell r="AB300" t="str">
            <v>URB. SANTA MARIA</v>
          </cell>
        </row>
        <row r="301">
          <cell r="A301" t="str">
            <v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>Tramo 35</v>
          </cell>
          <cell r="B308" t="str">
            <v>G.C. SANTA ROSA II</v>
          </cell>
          <cell r="AB308" t="str">
            <v>G.C. SANTA ROSA II</v>
          </cell>
        </row>
        <row r="309">
          <cell r="A309" t="str">
            <v>MT 1587</v>
          </cell>
        </row>
        <row r="310">
          <cell r="A310" t="str">
            <v>MT 1586</v>
          </cell>
        </row>
        <row r="311">
          <cell r="A311" t="str">
            <v>MT 1585</v>
          </cell>
        </row>
        <row r="312">
          <cell r="A312" t="str">
            <v>MT 1584</v>
          </cell>
        </row>
        <row r="313">
          <cell r="A313" t="str">
            <v>SED 0010540</v>
          </cell>
        </row>
        <row r="314">
          <cell r="A314" t="str">
            <v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>Tramo 36</v>
          </cell>
          <cell r="B315" t="str">
            <v>Urb. Cachimayo I</v>
          </cell>
          <cell r="AB315" t="str">
            <v>Urb. Cachimayo I</v>
          </cell>
        </row>
        <row r="316">
          <cell r="A316" t="str">
            <v>MT 1681</v>
          </cell>
        </row>
        <row r="317">
          <cell r="A317" t="str">
            <v>MT 1680</v>
          </cell>
        </row>
        <row r="318">
          <cell r="A318" t="str">
            <v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>Tramo 37</v>
          </cell>
          <cell r="B319" t="str">
            <v>A.H. VILLA LOS PROCERES</v>
          </cell>
          <cell r="AB319" t="str">
            <v>VILLA LOS PROCERES</v>
          </cell>
        </row>
        <row r="320">
          <cell r="A320" t="str">
            <v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>Tramo 38</v>
          </cell>
          <cell r="B327" t="e">
            <v>#N/A</v>
          </cell>
          <cell r="AB327" t="e">
            <v>#N/A</v>
          </cell>
        </row>
        <row r="336">
          <cell r="A336" t="str">
            <v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>Tramo 39</v>
          </cell>
          <cell r="B337" t="e">
            <v>#N/A</v>
          </cell>
          <cell r="AB337" t="e">
            <v>#N/A</v>
          </cell>
        </row>
        <row r="341">
          <cell r="A341" t="str">
            <v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>Tramo 40</v>
          </cell>
          <cell r="B342" t="e">
            <v>#N/A</v>
          </cell>
          <cell r="AB342" t="e">
            <v>#N/A</v>
          </cell>
        </row>
        <row r="352">
          <cell r="A352" t="str">
            <v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>Tramo 41</v>
          </cell>
          <cell r="B353" t="e">
            <v>#N/A</v>
          </cell>
          <cell r="AB353" t="e">
            <v>#N/A</v>
          </cell>
        </row>
        <row r="369">
          <cell r="A369" t="str">
            <v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>Tramo 42</v>
          </cell>
          <cell r="B370" t="e">
            <v>#N/A</v>
          </cell>
          <cell r="AB370" t="e">
            <v>#N/A</v>
          </cell>
        </row>
        <row r="377">
          <cell r="A377" t="str">
            <v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>Tramo 43</v>
          </cell>
          <cell r="B378" t="e">
            <v>#N/A</v>
          </cell>
          <cell r="AB378" t="e">
            <v>#N/A</v>
          </cell>
        </row>
        <row r="383">
          <cell r="A383" t="str">
            <v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>Tramo 44</v>
          </cell>
          <cell r="B384" t="e">
            <v>#N/A</v>
          </cell>
          <cell r="AB384" t="e">
            <v>#N/A</v>
          </cell>
        </row>
        <row r="389">
          <cell r="A389" t="str">
            <v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>Tramo 45</v>
          </cell>
          <cell r="B390" t="e">
            <v>#N/A</v>
          </cell>
          <cell r="AB390" t="e">
            <v>#N/A</v>
          </cell>
        </row>
        <row r="400">
          <cell r="A400" t="str">
            <v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>Tramo 46</v>
          </cell>
          <cell r="B401" t="e">
            <v>#N/A</v>
          </cell>
          <cell r="AB401" t="e">
            <v>#N/A</v>
          </cell>
        </row>
        <row r="409">
          <cell r="A409" t="str">
            <v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>Tramo 47</v>
          </cell>
          <cell r="B410" t="e">
            <v>#N/A</v>
          </cell>
          <cell r="AB410" t="e">
            <v>#N/A</v>
          </cell>
        </row>
        <row r="415">
          <cell r="A415" t="str">
            <v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>ALIMENTADOR QU-04</v>
          </cell>
        </row>
        <row r="417">
          <cell r="A417" t="str">
            <v>Tramo 48</v>
          </cell>
          <cell r="B417" t="e">
            <v>#N/A</v>
          </cell>
          <cell r="AB417" t="e">
            <v>#N/A</v>
          </cell>
        </row>
        <row r="423">
          <cell r="A423" t="str">
            <v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>Tramo 49</v>
          </cell>
          <cell r="B424" t="e">
            <v>#N/A</v>
          </cell>
          <cell r="AB424" t="e">
            <v>#N/A</v>
          </cell>
        </row>
        <row r="439">
          <cell r="A439" t="str">
            <v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Tramo 50</v>
          </cell>
          <cell r="B440" t="e">
            <v>#N/A</v>
          </cell>
          <cell r="AB440" t="e">
            <v>#N/A</v>
          </cell>
        </row>
        <row r="443">
          <cell r="A443" t="str">
            <v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>UBICACIÓN :</v>
          </cell>
        </row>
        <row r="3">
          <cell r="A3" t="str">
            <v>PROYECTO         :  RENOVACION de REDES de MT por DMS ZONA PERIFERICA CUSCO 2009</v>
          </cell>
          <cell r="D3" t="str">
            <v>REGION          :   CUSCO</v>
          </cell>
        </row>
        <row r="4">
          <cell r="A4" t="str">
            <v>PROPIETARIO     :  ELECTRO SUR ESTE S.A.A.</v>
          </cell>
          <cell r="D4" t="str">
            <v>PROVINCIA   :   CUSCO</v>
          </cell>
        </row>
        <row r="5">
          <cell r="A5" t="str">
            <v>CONSULTOR      :  Ing. Noemí Alarcon Garate</v>
          </cell>
          <cell r="D5" t="str">
            <v>DISTRITO      :   Varios</v>
          </cell>
        </row>
        <row r="6">
          <cell r="A6" t="str">
            <v>INTEVENCION     :  Alimentadores DO02, DO06, DO07, DO08, DO09, QU01, QU03</v>
          </cell>
          <cell r="D6" t="str">
            <v>FECHA           :   Marzo-2009</v>
          </cell>
        </row>
        <row r="7">
          <cell r="A7" t="str">
            <v>ZONA                  :  Varias</v>
          </cell>
          <cell r="D7" t="str">
            <v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>Unidad  /Día</v>
          </cell>
          <cell r="G1767" t="str">
            <v>(S/.):</v>
          </cell>
          <cell r="H1767">
            <v>95.68</v>
          </cell>
        </row>
        <row r="1768">
          <cell r="B1768" t="str">
            <v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>COSTO DIRECTO:</v>
          </cell>
          <cell r="H1997">
            <v>64.78</v>
          </cell>
        </row>
        <row r="1998">
          <cell r="B1998" t="str">
            <v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>MONTAJE RED SUBTERANEA</v>
          </cell>
        </row>
        <row r="632">
          <cell r="S632" t="str">
            <v>37.00</v>
          </cell>
          <cell r="V632" t="str">
            <v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>TRABAJOS COMPLEMENTARIOS</v>
          </cell>
        </row>
        <row r="667">
          <cell r="V667" t="str">
            <v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>ACONDICIONAMIENTO DE BT</v>
          </cell>
        </row>
        <row r="677">
          <cell r="S677" t="str">
            <v>51.00</v>
          </cell>
          <cell r="T677">
            <v>53</v>
          </cell>
          <cell r="V677" t="str">
            <v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>Tecnico en Construcción Civil</v>
          </cell>
          <cell r="C30" t="str">
            <v>h-h</v>
          </cell>
          <cell r="D30">
            <v>5.82</v>
          </cell>
        </row>
        <row r="31">
          <cell r="B31" t="str">
            <v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>Cable Guía</v>
          </cell>
          <cell r="C38" t="str">
            <v>h-m</v>
          </cell>
          <cell r="D38">
            <v>28.9</v>
          </cell>
        </row>
        <row r="39">
          <cell r="B39" t="str">
            <v>Winche de 3 Ton.</v>
          </cell>
          <cell r="C39" t="str">
            <v>h-m</v>
          </cell>
          <cell r="D39">
            <v>29.82</v>
          </cell>
        </row>
        <row r="40">
          <cell r="B40" t="str">
            <v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>Hormigón m3</v>
          </cell>
          <cell r="C43" t="str">
            <v>m3</v>
          </cell>
          <cell r="D43">
            <v>21.6</v>
          </cell>
        </row>
        <row r="44">
          <cell r="B44" t="str">
            <v>Calamina pl</v>
          </cell>
          <cell r="C44" t="str">
            <v>und</v>
          </cell>
          <cell r="D44">
            <v>13</v>
          </cell>
        </row>
        <row r="45">
          <cell r="B45" t="str">
            <v>Soga de manila</v>
          </cell>
          <cell r="C45" t="str">
            <v>kg</v>
          </cell>
          <cell r="D45">
            <v>14.28</v>
          </cell>
        </row>
        <row r="46">
          <cell r="B46" t="str">
            <v>Soga de nylon</v>
          </cell>
          <cell r="C46" t="str">
            <v>kg</v>
          </cell>
          <cell r="D46">
            <v>33.32</v>
          </cell>
        </row>
        <row r="47">
          <cell r="B47" t="str">
            <v>Triplay Lupuna 4' x8' x9 mm</v>
          </cell>
          <cell r="C47" t="str">
            <v>pl</v>
          </cell>
          <cell r="D47">
            <v>40</v>
          </cell>
        </row>
        <row r="48">
          <cell r="B48" t="str">
            <v>Madera tornillo cepillado</v>
          </cell>
          <cell r="C48" t="str">
            <v>p2</v>
          </cell>
          <cell r="D48">
            <v>3.6</v>
          </cell>
        </row>
        <row r="49">
          <cell r="B49" t="str">
            <v>Madera tornillo</v>
          </cell>
          <cell r="C49" t="str">
            <v>p2</v>
          </cell>
          <cell r="D49">
            <v>3.6</v>
          </cell>
        </row>
        <row r="50">
          <cell r="B50" t="str">
            <v>Madera corriente de 2"x4"x10"</v>
          </cell>
          <cell r="C50" t="str">
            <v>p2</v>
          </cell>
          <cell r="D50">
            <v>2.5</v>
          </cell>
        </row>
        <row r="51">
          <cell r="B51" t="str">
            <v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>Freno hidráulico 3 Ton.</v>
          </cell>
          <cell r="C52" t="str">
            <v>h-m</v>
          </cell>
          <cell r="D52">
            <v>22.1</v>
          </cell>
        </row>
        <row r="53">
          <cell r="B53" t="str">
            <v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>Acero corrugado 3/8''</v>
          </cell>
          <cell r="C63" t="str">
            <v>kg</v>
          </cell>
          <cell r="D63">
            <v>2.1</v>
          </cell>
        </row>
        <row r="64">
          <cell r="B64" t="str">
            <v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>Termómetro de línea</v>
          </cell>
          <cell r="C69" t="str">
            <v>h-m</v>
          </cell>
          <cell r="D69">
            <v>2.89</v>
          </cell>
        </row>
        <row r="70">
          <cell r="B70" t="str">
            <v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>Equipo de tendido</v>
          </cell>
          <cell r="C72" t="str">
            <v>h-m</v>
          </cell>
          <cell r="D72">
            <v>0</v>
          </cell>
        </row>
        <row r="73">
          <cell r="B73" t="str">
            <v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>Piedra Mediana de cantera</v>
          </cell>
          <cell r="C82" t="str">
            <v>m3</v>
          </cell>
          <cell r="D82">
            <v>26.27</v>
          </cell>
        </row>
        <row r="83">
          <cell r="B83" t="str">
            <v>Agua (Potable)</v>
          </cell>
          <cell r="C83" t="str">
            <v>m3</v>
          </cell>
          <cell r="D83">
            <v>3.06</v>
          </cell>
        </row>
        <row r="84">
          <cell r="B84" t="str">
            <v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>Petróleo Diesel Nø 2</v>
          </cell>
          <cell r="C91" t="str">
            <v>GL</v>
          </cell>
          <cell r="D91">
            <v>0</v>
          </cell>
        </row>
        <row r="92">
          <cell r="B92" t="str">
            <v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>Vibrador De 3/4"-2" Concreto</v>
          </cell>
          <cell r="C94" t="str">
            <v>D</v>
          </cell>
          <cell r="D94">
            <v>0</v>
          </cell>
        </row>
        <row r="95">
          <cell r="B95" t="str">
            <v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>Sal Industrial</v>
          </cell>
          <cell r="C98" t="str">
            <v>Kg.</v>
          </cell>
          <cell r="D98">
            <v>0</v>
          </cell>
        </row>
        <row r="99">
          <cell r="B99" t="str">
            <v>Aceite motor gasolina SAE 30W</v>
          </cell>
          <cell r="C99" t="str">
            <v>gl</v>
          </cell>
          <cell r="D99">
            <v>0</v>
          </cell>
        </row>
        <row r="100">
          <cell r="B100" t="str">
            <v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>Transporte de Cusco a Obra</v>
          </cell>
          <cell r="C105" t="str">
            <v>kg</v>
          </cell>
          <cell r="D105">
            <v>0.4</v>
          </cell>
        </row>
        <row r="106">
          <cell r="B106" t="str">
            <v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>
            <v>0</v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>
            <v>0</v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>
            <v>0</v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>
            <v>0</v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>
            <v>0</v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>
            <v>0</v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>
            <v>0</v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>
            <v>0</v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>
            <v>0</v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>
            <v>0</v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>
            <v>0</v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>
            <v>0</v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>
            <v>0</v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>
            <v>0</v>
          </cell>
          <cell r="P111">
            <v>3.4761789851846636E-2</v>
          </cell>
          <cell r="Q111">
            <v>0.02</v>
          </cell>
          <cell r="R111">
            <v>0</v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>
            <v>0</v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>
            <v>0</v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ENTR_F"/>
      <sheetName val="3_1"/>
      <sheetName val="CAP-120mm2"/>
      <sheetName val="CAP_120mm2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RESUMEN"/>
      <sheetName val="SUMINISTRO"/>
      <sheetName val="MONTAJE"/>
      <sheetName val="TRANSPORTE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Analisis de la T.C. - 2.2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>VALORIZACION N° 01 - ENERO 2014</v>
          </cell>
        </row>
        <row r="3">
          <cell r="C3" t="str">
            <v>REMODELACION Y AMPLIACIÓN DE REDES PRIMARIAS S.E. YARADA - EL CHASQUI - BOCA DEL RIO, REGION TACNA</v>
          </cell>
        </row>
        <row r="4">
          <cell r="C4" t="str">
            <v>DEPARTAMENTO DE TACNA</v>
          </cell>
        </row>
        <row r="5">
          <cell r="C5" t="str">
            <v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>PROMELEC SAC</v>
          </cell>
        </row>
        <row r="8">
          <cell r="C8" t="str">
            <v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CAP-120mm2"/>
      <sheetName val="Fundacion"/>
      <sheetName val="cantidades"/>
      <sheetName val="Identificación Cargas _Anexo 4_"/>
      <sheetName val="Impuestos"/>
      <sheetName val="Sum-LT"/>
      <sheetName val="SE Sum-Tara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F7">
            <v>0</v>
          </cell>
        </row>
      </sheetData>
      <sheetData sheetId="26"/>
      <sheetData sheetId="27">
        <row r="7">
          <cell r="F7">
            <v>0</v>
          </cell>
        </row>
      </sheetData>
      <sheetData sheetId="28"/>
      <sheetData sheetId="29">
        <row r="7">
          <cell r="F7">
            <v>0</v>
          </cell>
        </row>
      </sheetData>
      <sheetData sheetId="30">
        <row r="7">
          <cell r="F7">
            <v>0</v>
          </cell>
        </row>
      </sheetData>
      <sheetData sheetId="31"/>
      <sheetData sheetId="32">
        <row r="7">
          <cell r="F7">
            <v>0</v>
          </cell>
        </row>
      </sheetData>
      <sheetData sheetId="33"/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>
        <row r="7">
          <cell r="F7">
            <v>0</v>
          </cell>
        </row>
      </sheetData>
      <sheetData sheetId="39">
        <row r="7">
          <cell r="F7">
            <v>0</v>
          </cell>
        </row>
      </sheetData>
      <sheetData sheetId="40"/>
      <sheetData sheetId="41">
        <row r="7">
          <cell r="F7">
            <v>0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>
        <row r="1">
          <cell r="A1" t="str">
            <v>ANEXO I</v>
          </cell>
        </row>
        <row r="2">
          <cell r="A2" t="str">
            <v xml:space="preserve">REPORTE DE MERCADO </v>
          </cell>
        </row>
        <row r="3">
          <cell r="A3" t="str">
            <v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>Total (kWh)</v>
          </cell>
          <cell r="H6" t="str">
            <v>Residencial</v>
          </cell>
          <cell r="I6" t="str">
            <v>Comercial</v>
          </cell>
          <cell r="J6" t="str">
            <v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>Fuente: ADINELSA/PMEL - Reporte de Mercado</v>
          </cell>
        </row>
      </sheetData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GRAL"/>
      <sheetName val="GG"/>
      <sheetName val="Crong-Valoriz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eI_DGER 30mayo2017"/>
      <sheetName val="FPOL-RS"/>
      <sheetName val="Equipo"/>
      <sheetName val="MO"/>
      <sheetName val="Materiales"/>
      <sheetName val="Maquinaria"/>
      <sheetName val="Expediente de Replanteo"/>
    </sheetNames>
    <sheetDataSet>
      <sheetData sheetId="0">
        <row r="22">
          <cell r="F22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23">
          <cell r="F23" t="str">
            <v>PIURA</v>
          </cell>
          <cell r="J23" t="str">
            <v>FECHA: 30-Ene-2021</v>
          </cell>
        </row>
        <row r="24">
          <cell r="J24" t="str">
            <v>T.C. (S//US$): 3,642</v>
          </cell>
          <cell r="M24">
            <v>3.6419999999999999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18" refreshError="1"/>
      <sheetData sheetId="19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0">
        <row r="5">
          <cell r="B5" t="str">
            <v>Obras Preliminares</v>
          </cell>
          <cell r="F5">
            <v>0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0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0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0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0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0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0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0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0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0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0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0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0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0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0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0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0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0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0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0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0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0</v>
          </cell>
        </row>
        <row r="117">
          <cell r="B117" t="str">
            <v>Montaje de Armados</v>
          </cell>
          <cell r="F117">
            <v>0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0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0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0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0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0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0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0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0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0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0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0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0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0</v>
          </cell>
        </row>
        <row r="274">
          <cell r="B274" t="str">
            <v>Montaje de Conductores</v>
          </cell>
          <cell r="F274">
            <v>0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0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0</v>
          </cell>
        </row>
        <row r="283">
          <cell r="B283" t="str">
            <v>Instalación de Puestas a Tierra</v>
          </cell>
          <cell r="F283">
            <v>0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0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0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0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0</v>
          </cell>
        </row>
        <row r="292">
          <cell r="F292">
            <v>0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0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0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0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0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0</v>
          </cell>
        </row>
        <row r="312">
          <cell r="F312">
            <v>0</v>
          </cell>
        </row>
        <row r="313">
          <cell r="B313" t="str">
            <v>Nuevos Apus</v>
          </cell>
          <cell r="F313">
            <v>0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0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0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0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0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0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0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0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0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0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>FECHA: 30-Ene-2021</v>
          </cell>
        </row>
        <row r="6">
          <cell r="J6" t="str">
            <v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23" refreshError="1"/>
      <sheetData sheetId="24" refreshError="1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>Obras Preliminares</v>
          </cell>
          <cell r="F5">
            <v>1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1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>Montaje de Armados</v>
          </cell>
          <cell r="F117">
            <v>1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>Montaje de Conductores</v>
          </cell>
          <cell r="F274">
            <v>1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>Instalación de Puestas a Tierra</v>
          </cell>
          <cell r="F283">
            <v>1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1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>Nuevos Apus</v>
          </cell>
          <cell r="F313">
            <v>1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</row>
        <row r="10">
          <cell r="B10" t="str">
            <v>Excavación en Terreno Tipo II (Rocoso)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>Transporte de Poste de 8 m/200 daN de Almacen a Punto de Izaje, en Terreno Llano sin Acceso Carrozable</v>
          </cell>
        </row>
        <row r="18">
          <cell r="B18" t="str">
            <v>Transporte de Poste de 8 m/300 daN de Almacen a Punto de Izaje, en Terreno Llano sin Acceso Carrozable</v>
          </cell>
        </row>
        <row r="19">
          <cell r="B19" t="str">
            <v>Transporte de Poste de 9 m/200 daN de Almacen a Punto de Izaje, en Terreno Llano sin Acceso Carrozable</v>
          </cell>
        </row>
        <row r="20">
          <cell r="B20" t="str">
            <v>Transporte de Poste de 9 m/300 daN de Almacen a Punto de Izaje, en Terreno Llano sin Acceso Carrozable</v>
          </cell>
        </row>
        <row r="21">
          <cell r="B21" t="str">
            <v>Transporte de Poste de 11 m/200 daN de Almacen a Punto de Izaje, en Terreno Llano sin Acceso Carrozable</v>
          </cell>
        </row>
        <row r="22">
          <cell r="B22" t="str">
            <v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>Transporte de Poste de 8 m/200 daN Seccionado de Almacen a Punto de Izaje, en Terreno Llano sin Acceso Carrozable</v>
          </cell>
        </row>
        <row r="28">
          <cell r="B28" t="str">
            <v>Transporte de Poste de 8 m/300 daN Seccionado de Almacen a Punto de Izaje, en Terreno Llano sin Acceso Carrozable</v>
          </cell>
        </row>
        <row r="29">
          <cell r="B29" t="str">
            <v>Transporte de Poste de 9 m/200 daN Seccionado de Almacen a Punto de Izaje, en Terreno Llano sin Acceso Carrozable</v>
          </cell>
        </row>
        <row r="30">
          <cell r="B30" t="str">
            <v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>Transporte de Poste de madera importado de 8 m, Clase 7 de Almacen a Punto de Izaje, en Terreno Llano sin Acceso Carrozable</v>
          </cell>
        </row>
        <row r="34">
          <cell r="B34" t="str">
            <v>Transporte de Poste de madera importado de 8 m, Clase 6 de Almacen a Punto de Izaje, en Terreno Llano sin Acceso Carrozable</v>
          </cell>
        </row>
        <row r="35">
          <cell r="B35" t="str">
            <v>Transporte de Poste de madera importado de 8 m, Clase 7 de Almacen a Punto de Izaje, en Terreno Accidentado sin Acceso Carrozable</v>
          </cell>
        </row>
        <row r="36">
          <cell r="B36" t="str">
            <v>Transporte de Poste de madera importado de 8 m, Clase 6 de Almacen a Punto de Izaje, en Terreno Accidentado sin Acceso Carrozable</v>
          </cell>
        </row>
        <row r="37">
          <cell r="B37" t="str">
            <v>Izaje, Identificación y/o codificación, y Señalización de Poste de 8 m/200 daN (*)</v>
          </cell>
        </row>
        <row r="38">
          <cell r="B38" t="str">
            <v>Izaje, Identificación y/o codificación, y Señalización de Poste de 8 m/300 daN (*)</v>
          </cell>
        </row>
        <row r="39">
          <cell r="B39" t="str">
            <v>Izaje, Identificación y/o codificación, y Señalización de Poste de 9 m/200 daN (*)</v>
          </cell>
        </row>
        <row r="40">
          <cell r="B40" t="str">
            <v>Izaje, Identificación y/o codificación, y Señalización de Poste de 9 m/300 daN (*)</v>
          </cell>
        </row>
        <row r="41">
          <cell r="B41" t="str">
            <v>Izaje, Identificación y/o codificación, y Señalización de Poste de 11 m/200 daN (*)</v>
          </cell>
        </row>
        <row r="42">
          <cell r="B42" t="str">
            <v>Izaje, Identificación y/o codificación, y Señalización de Poste de madera importado de 8 m, Clase 7</v>
          </cell>
        </row>
        <row r="43">
          <cell r="B43" t="str">
            <v>Izaje, Identificación y/o codificación, y Señalización de Poste de madera importado de 8 m, Clase 6</v>
          </cell>
        </row>
        <row r="44">
          <cell r="B44" t="str">
            <v>Relleno y Compactación para cimentación de Poste 8m, en Terreno Tipo I (Arcilloso y Conglomerado)</v>
          </cell>
        </row>
        <row r="45">
          <cell r="B45" t="str">
            <v>Relleno y Compactación para cimentación de Poste 8m, en Terreno Tipo II (Rocoso)</v>
          </cell>
        </row>
        <row r="46">
          <cell r="B46" t="str">
            <v>Relleno y Compactación para cimentación de Poste 9m, en Terreno Tipo I (Arcilloso y Conglomerado)</v>
          </cell>
        </row>
        <row r="47">
          <cell r="B47" t="str">
            <v>Relleno y Compactación para cimentación de Poste 9m, en Terreno Tipo II (Rocoso)</v>
          </cell>
        </row>
        <row r="48">
          <cell r="B48" t="str">
            <v>Relleno y Compactación para cimentación de Poste 11m, en Terreno Tipo I (Arcilloso y Conglomerado)</v>
          </cell>
        </row>
        <row r="49">
          <cell r="B49" t="str">
            <v>Relleno y Compactación para cimentación de Poste 11m, en Terreno Tipo II (Rocoso)</v>
          </cell>
        </row>
        <row r="50">
          <cell r="B50" t="str">
            <v>Relleno y Compactación para cimentación de Poste 12m, en Terreno Tipo I (Arcilloso y Conglomerado)</v>
          </cell>
        </row>
        <row r="51">
          <cell r="B51" t="str">
            <v>Relleno y Compactación para cimentación de Poste 12m, en Terreno Tipo II (Rocoso)</v>
          </cell>
        </row>
        <row r="52">
          <cell r="B52" t="str">
            <v>Solado para poste de concreto</v>
          </cell>
        </row>
        <row r="53">
          <cell r="B53" t="str">
            <v>Relleno y compactación para cimentación de poste</v>
          </cell>
        </row>
        <row r="54">
          <cell r="B54" t="str">
            <v>Cimentación con Concreto Ciclópeo de Poste de 8m en Terreno Tipo I (Arcilloso y Conglomerado)</v>
          </cell>
        </row>
        <row r="55">
          <cell r="B55" t="str">
            <v>Cimentación con Concreto Ciclópeo de Poste de 8m en Terreno Tipo II (Rocoso)</v>
          </cell>
        </row>
        <row r="56">
          <cell r="B56" t="str">
            <v>Cimentación con Concreto Ciclópeo de Poste de 8m en Terreno Tipo III (Húmedo)</v>
          </cell>
        </row>
        <row r="57">
          <cell r="B57" t="str">
            <v>Cimentación con Concreto Ciclópeo de Poste de 11m en Terreno Tipo I (Arcilloso y Conglomerado)</v>
          </cell>
        </row>
        <row r="58">
          <cell r="B58" t="str">
            <v>Cimentación con Concreto Ciclópeo de Poste de 11m en Terreno Tipo II (Rocoso)</v>
          </cell>
        </row>
        <row r="59">
          <cell r="B59" t="str">
            <v>Cimentación con Concreto Ciclópeo de Poste de 12m en Terreno Tipo I (Arcilloso y Conglomerado)</v>
          </cell>
        </row>
        <row r="60">
          <cell r="B60" t="str">
            <v>Cimentación con Concreto Ciclópeo de Poste de 12 en Terreno Tipo II (Rocoso)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</row>
        <row r="64">
          <cell r="B64" t="str">
            <v>Excavación en Terreno Tipo II (Rocoso)</v>
          </cell>
        </row>
        <row r="65">
          <cell r="B65" t="str">
            <v>Instalación de Retenida Inclinada</v>
          </cell>
        </row>
        <row r="66">
          <cell r="B66" t="str">
            <v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</row>
        <row r="73">
          <cell r="B73" t="str">
            <v>Armado Tipo E1/S, Alineamiento y Angulo - Conductor Autoportante sin Caja de Derivación para Acometida</v>
          </cell>
        </row>
        <row r="74">
          <cell r="B74" t="str">
            <v>Armado Tipo E2, Anclaje y Cambio de Sección - Conductor Autoportante con Caja de Derivación para Acometida</v>
          </cell>
        </row>
        <row r="75">
          <cell r="B75" t="str">
            <v>Armado Tipo E2/S, Anclaje y Cambio de Sección - Conductor Autoportante sin Caja de Derivación para Acometida</v>
          </cell>
        </row>
        <row r="76">
          <cell r="B76" t="str">
            <v>Armado Tipo E3, Extremo de Línea - Conductor Autoportante con Caja de Derivación para Acometida</v>
          </cell>
        </row>
        <row r="77">
          <cell r="B77" t="str">
            <v>Armado Tipo E3/S, Extremo de Línea - Conductor Autoportante sin Caja de Derivación para Acometida</v>
          </cell>
        </row>
        <row r="78">
          <cell r="B78" t="str">
            <v>Armado Tipo E4, Extremo de Línea con Derivación - Conductor Autoportante con Caja de Derivación para Acometida</v>
          </cell>
        </row>
        <row r="79">
          <cell r="B79" t="str">
            <v>Armado Tipo E4/S, Extremo de Línea con Derivación - Conductor Autoportante sin Caja de Derivación para Acometida</v>
          </cell>
        </row>
        <row r="80">
          <cell r="B80" t="str">
            <v>Armado Tipo E5, Alineamiento con Derivación - Conductor Autoportante con Caja de Derivación para Acometida</v>
          </cell>
        </row>
        <row r="81">
          <cell r="B81" t="str">
            <v>Armado Tipo E5/S, Alineamiento con Derivación - Conductor Autoportante sin Caja de Derivación para Acometida</v>
          </cell>
        </row>
        <row r="82">
          <cell r="B82" t="str">
            <v>Armado Tipo E6, Anclaje con Derivación - Conductor Autoportante con Caja de Derivación para Acometida</v>
          </cell>
        </row>
        <row r="83">
          <cell r="B83" t="str">
            <v>Armado Tipo E6/S, Anclaje con Derivación - Conductor Autoportante sin Caja de Derivación para Acometida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</row>
        <row r="87">
          <cell r="B87" t="str">
            <v>Tendido y Puesta en Flecha de Conductor Autoportante de Aluminio de 3x25+16/25 mm²</v>
          </cell>
        </row>
        <row r="88">
          <cell r="B88" t="str">
            <v>Tendido y Puesta en Flecha de Conductor Autoportante de Aluminio de 3x16+16/25 mm²</v>
          </cell>
        </row>
        <row r="89">
          <cell r="B89" t="str">
            <v>Tendido y Puesta en Flecha de Conductor Autoportante de Aluminio de 3x35/25 mm²</v>
          </cell>
        </row>
        <row r="90">
          <cell r="B90" t="str">
            <v>Tendido y Puesta en Flecha de Conductor Autoportante de Aluminio de 3x25/25 mm²</v>
          </cell>
        </row>
        <row r="91">
          <cell r="B91" t="str">
            <v>Tendido y Puesta en Flecha de Conductor Autoportante de Aluminio de 3x16/25 mm²</v>
          </cell>
        </row>
        <row r="92">
          <cell r="B92" t="str">
            <v>Tendido y Puesta en Flecha de Conductor Autoportante de Aluminio de 2x35+16/25 mm²</v>
          </cell>
        </row>
        <row r="93">
          <cell r="B93" t="str">
            <v>Tendido y Puesta en Flecha de Conductor Autoportante de Aluminio de 2x25+16/25 mm²</v>
          </cell>
        </row>
        <row r="94">
          <cell r="B94" t="str">
            <v>Tendido y Puesta en Flecha de Conductor Autoportante de Aluminio de 2x16+16/25 mm²</v>
          </cell>
        </row>
        <row r="95">
          <cell r="B95" t="str">
            <v>Tendido y Puesta en Flecha de Conductor Autoportante de Aluminio de 2x35/25 mm²</v>
          </cell>
        </row>
        <row r="96">
          <cell r="B96" t="str">
            <v>Tendido y Puesta en Flecha de Conductor Autoportante de Aluminio de 2x25/25 mm²</v>
          </cell>
        </row>
        <row r="97">
          <cell r="B97" t="str">
            <v>Tendido y Puesta en Flecha de Conductor Autoportante de Aluminio de 2x16/25 mm²</v>
          </cell>
        </row>
        <row r="98">
          <cell r="B98" t="str">
            <v>Tendido y Puesta en Flecha de Conductor Autoportante de Aluminio de 1x16+16/25 mm²</v>
          </cell>
        </row>
        <row r="99">
          <cell r="B99" t="str">
            <v>Tendido y Puesta en Flecha de Conductor Autoportante de Aluminio de 1x16/25 mm²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</row>
        <row r="103">
          <cell r="B103" t="str">
            <v>Relleno y Compactación de Puesta a Tierra con Material Adecuado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</row>
        <row r="107">
          <cell r="B107" t="str">
            <v>Instalación de Luminaria, Lámpara y Accesorios</v>
          </cell>
        </row>
        <row r="108">
          <cell r="B108" t="str">
            <v>Instalación de Celula Fotoélectrica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</row>
        <row r="112">
          <cell r="B112" t="str">
            <v>Conexión de Acometidas Domiciliarias, Configuración: Larga en Murete (no incluye medidor de energía activa)</v>
          </cell>
        </row>
        <row r="113">
          <cell r="B113" t="str">
            <v>Conexión de Acometidas Domiciliarias, Configuración: Corta (no incluye medidor de energía activa)</v>
          </cell>
        </row>
        <row r="114">
          <cell r="B114" t="str">
            <v>Conexión de Acometidas Domiciliarias, Configuración: Larga (no incluye medidor de energía activa)</v>
          </cell>
        </row>
        <row r="115">
          <cell r="B115" t="str">
            <v>Instalación de Medidor Monofásico de Energia Activa y Caja Portamedidor (incluye conexión a cable de acometida)</v>
          </cell>
        </row>
        <row r="116">
          <cell r="B116" t="str">
            <v>Contraste de Medidor Monofásico de Energía Activa - Electrónico</v>
          </cell>
        </row>
        <row r="117">
          <cell r="B117" t="str">
            <v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</row>
        <row r="121">
          <cell r="B121" t="str">
            <v>Desmontaje de Conductor Unifilar (Incluye Transporte Hacia almacen de Propietario)</v>
          </cell>
        </row>
        <row r="122">
          <cell r="B122" t="str">
            <v>Desmontaje de Medidor de Energia y Conexión Domiciliaria (Incluye Transporte Hacia almacen de Propietario)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>Izaje, Identificación y/o codificación, y Señalización de Poste de madera de 30 pies, Clase 7</v>
          </cell>
        </row>
        <row r="132">
          <cell r="B132" t="str">
            <v>Relleno y Compactación para cimentación de Poste 30 pies, en Terreno Tipo I (Arcilloso y Conglomerado)</v>
          </cell>
        </row>
        <row r="133">
          <cell r="B133" t="str">
            <v>Relleno y Compactación para cimentación de Poste 30 pies, en Terreno Tipo II (Rocoso)</v>
          </cell>
        </row>
        <row r="134">
          <cell r="B134" t="str">
            <v>Desmontaje de Armados (Incluye Transporte Hacia almacen de Propietario)</v>
          </cell>
        </row>
        <row r="135">
          <cell r="B135" t="str">
            <v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>Transporte de Poste de 30 pies, Clase 7, de Almacen a Punto de Izaje,  en Terreno Accidentado sin Acceso Carrozable</v>
          </cell>
        </row>
        <row r="138">
          <cell r="B138" t="str">
            <v>Eliminación de Material Excedente en Terreno Tipo I (Arcilloso y Conglomerado)</v>
          </cell>
        </row>
        <row r="139">
          <cell r="B139" t="str">
            <v>Eliminación de Material Excedente en Terreno Tipo II (Rocoso)</v>
          </cell>
        </row>
        <row r="140">
          <cell r="B140" t="str">
            <v>Traslado de Tierra de Préstamo para Puesta a Tierra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</row>
        <row r="143">
          <cell r="B143" t="str">
            <v>Transporte de Bloque de Concreto de 0,40 x 0,40 x 0,15 m, de Almacen a Punto de Instalaciòn en Terreno con Acceso Carrozable</v>
          </cell>
        </row>
        <row r="144">
          <cell r="B144" t="str">
            <v>Transporte de Bloque de Concreto de 0,40 x 0,40 x 0,15 m, de Almacen a Punto de Instalaciòn en Terreno sin Acceso Carrozable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</row>
        <row r="146">
          <cell r="B146" t="str">
            <v>Transporte de Conductor Autoportante de Aluminio, de Almacen a Punto de Izaje en Terreno con Acceso Carrozable</v>
          </cell>
        </row>
        <row r="147">
          <cell r="B147" t="str">
            <v>Transporte de Conductor Autoportante de Aluminio, de Almacen a Punto de Izaje en Terreno sin Acceso Carrozable</v>
          </cell>
        </row>
        <row r="148">
          <cell r="B148" t="str">
            <v>Transporte de Poste de madera importado de 30 pies, Clase 7 de Almacen a Punto de Izaje, en Terreno Llano sin Acceso Carrozable</v>
          </cell>
        </row>
        <row r="149">
          <cell r="B149" t="str">
            <v>Tendido y Puesta en Flecha de Conductor Autoportante de Aluminio 2x25+16+ NA25 mm²</v>
          </cell>
        </row>
        <row r="150">
          <cell r="B150" t="str">
            <v>Tendido y Puesta en Flecha de Conductor Autoportante de Aluminio 2x25+ NA25 mm²</v>
          </cell>
        </row>
        <row r="151">
          <cell r="B151" t="str">
            <v>Tendido y Puesta en Flecha de Conductor Autoportante de Aluminio 2x16+16+ NA25 mm²</v>
          </cell>
        </row>
        <row r="152">
          <cell r="B152" t="str">
            <v>Tendido y Puesta en Flecha de Conductor Autoportante de Aluminio 2x16+ NA25 mm²</v>
          </cell>
        </row>
        <row r="153">
          <cell r="B153" t="str">
            <v>Tendido y Puesta en Flecha de Conductor Autoportante de Aluminio 1x16+16+ NA25 mm²</v>
          </cell>
        </row>
        <row r="154">
          <cell r="B154" t="str">
            <v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>Izaje, Identificación y/o codificación, y Señalización de Poste de madera importada de 11 m, Clase 6 (*)</v>
          </cell>
        </row>
        <row r="157">
          <cell r="B157" t="str">
            <v>Excavación en Terreno Tipo III (Humedo)</v>
          </cell>
        </row>
        <row r="158">
          <cell r="B158" t="str">
            <v>Transporte de agregado desde cantera a punto de acopio</v>
          </cell>
        </row>
        <row r="159">
          <cell r="B159" t="str">
            <v>Verificacion y Replanteo de Redes Secundarias Existentes</v>
          </cell>
        </row>
        <row r="160">
          <cell r="B160" t="str">
            <v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ONFIGURACIÓN"/>
      <sheetName val="ING. DATOS"/>
      <sheetName val="CuadroIyII"/>
      <sheetName val="Hoja1"/>
      <sheetName val="Costos Alt2"/>
      <sheetName val="AnexoVI"/>
      <sheetName val="#¡REF"/>
      <sheetName val="DATOS TECNICOS SE SANTUARIO"/>
      <sheetName val="PROC MANT LT 1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Montaje."/>
      <sheetName val="PTTOREDES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E_0"/>
      <sheetName val="M_0"/>
      <sheetName val="Heaths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  <cell r="P8">
            <v>0.97853309481216455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  <cell r="P9">
            <v>0.97773654916512054</v>
          </cell>
        </row>
        <row r="24">
          <cell r="I24" t="str">
            <v>1N</v>
          </cell>
          <cell r="J24">
            <v>84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</row>
        <row r="37">
          <cell r="I37" t="str">
            <v>5R</v>
          </cell>
        </row>
        <row r="38">
          <cell r="I38" t="str">
            <v>5H</v>
          </cell>
        </row>
      </sheetData>
      <sheetData sheetId="1">
        <row r="1">
          <cell r="E1" t="str">
            <v>PS1-0</v>
          </cell>
          <cell r="F1" t="str">
            <v>PS1-2</v>
          </cell>
          <cell r="G1" t="str">
            <v>PS1-3</v>
          </cell>
          <cell r="H1" t="str">
            <v>PA1-0</v>
          </cell>
          <cell r="I1" t="str">
            <v>PA1-0MAD</v>
          </cell>
          <cell r="J1" t="str">
            <v>PA1-2</v>
          </cell>
          <cell r="K1" t="str">
            <v>PA1-3</v>
          </cell>
          <cell r="L1" t="str">
            <v>PA2-0</v>
          </cell>
          <cell r="M1" t="str">
            <v>PA2-2</v>
          </cell>
          <cell r="N1" t="str">
            <v>PA2-3</v>
          </cell>
          <cell r="O1" t="str">
            <v>PA3-0</v>
          </cell>
          <cell r="P1" t="str">
            <v>PA3-2</v>
          </cell>
          <cell r="Q1" t="str">
            <v>PA3-3</v>
          </cell>
          <cell r="R1" t="str">
            <v>PR3-0</v>
          </cell>
          <cell r="S1" t="str">
            <v>PR3-2</v>
          </cell>
          <cell r="T1" t="str">
            <v>PR3-3</v>
          </cell>
          <cell r="U1" t="str">
            <v>PTH-2</v>
          </cell>
          <cell r="V1" t="str">
            <v>PTH-3</v>
          </cell>
          <cell r="W1" t="str">
            <v>PTV-0</v>
          </cell>
          <cell r="X1" t="str">
            <v>PTV-2</v>
          </cell>
          <cell r="Y1" t="str">
            <v>PTV-3</v>
          </cell>
          <cell r="Z1" t="str">
            <v>PSH-3</v>
          </cell>
          <cell r="AA1" t="str">
            <v>TS-0</v>
          </cell>
          <cell r="AB1" t="str">
            <v>TS-2</v>
          </cell>
          <cell r="AC1" t="str">
            <v>TS-3</v>
          </cell>
          <cell r="AD1" t="str">
            <v>DT-0</v>
          </cell>
          <cell r="AE1" t="str">
            <v>DT-2</v>
          </cell>
          <cell r="AF1" t="str">
            <v>DT-3</v>
          </cell>
          <cell r="AG1" t="str">
            <v>DS-0</v>
          </cell>
          <cell r="AH1" t="str">
            <v>DS-2</v>
          </cell>
          <cell r="AI1" t="str">
            <v>DS-3</v>
          </cell>
          <cell r="AJ1" t="str">
            <v>PSEC-0</v>
          </cell>
          <cell r="AK1" t="str">
            <v>PSEC-0P</v>
          </cell>
          <cell r="AL1" t="str">
            <v>PSEC-2</v>
          </cell>
          <cell r="AM1" t="str">
            <v>PSEC-2P</v>
          </cell>
          <cell r="AN1" t="str">
            <v>PSEC-3</v>
          </cell>
          <cell r="AO1" t="str">
            <v>PSEC-3P</v>
          </cell>
          <cell r="AP1" t="str">
            <v>TSV-2</v>
          </cell>
          <cell r="AQ1" t="str">
            <v>TSV-3</v>
          </cell>
          <cell r="AR1" t="str">
            <v>DSRP-3</v>
          </cell>
          <cell r="AS1" t="str">
            <v>DTRP-3</v>
          </cell>
          <cell r="AT1" t="str">
            <v>DST-3</v>
          </cell>
          <cell r="AU1" t="str">
            <v>TSRP-3</v>
          </cell>
          <cell r="AV1" t="str">
            <v>PA1VE-3</v>
          </cell>
          <cell r="AW1" t="str">
            <v>PSV1-2</v>
          </cell>
          <cell r="AX1" t="str">
            <v>PSV1-3</v>
          </cell>
          <cell r="AY1" t="str">
            <v>PSVE-2</v>
          </cell>
          <cell r="AZ1" t="str">
            <v>PSVE-3</v>
          </cell>
          <cell r="BA1" t="str">
            <v>PA1H-3</v>
          </cell>
          <cell r="BB1" t="str">
            <v>PRH-3</v>
          </cell>
          <cell r="BC1" t="str">
            <v>PA2H-3</v>
          </cell>
          <cell r="BD1" t="str">
            <v>P3A2-3</v>
          </cell>
          <cell r="BE1" t="str">
            <v>RGT</v>
          </cell>
          <cell r="BF1" t="str">
            <v xml:space="preserve">PSH-2 </v>
          </cell>
          <cell r="BG1" t="str">
            <v>PRH-2</v>
          </cell>
          <cell r="BH1" t="str">
            <v>P3A2-2</v>
          </cell>
          <cell r="BI1" t="str">
            <v>2PR3-0</v>
          </cell>
          <cell r="BJ1" t="str">
            <v>PRV1-2</v>
          </cell>
          <cell r="BK1" t="str">
            <v>PTSV1-2</v>
          </cell>
          <cell r="BL1" t="str">
            <v>PSV1B-2</v>
          </cell>
          <cell r="BM1" t="str">
            <v>2TS-0</v>
          </cell>
          <cell r="BN1" t="str">
            <v>PSECV1A-2</v>
          </cell>
          <cell r="BO1" t="str">
            <v>TSEC-0P</v>
          </cell>
          <cell r="BP1" t="str">
            <v>TSEC-2P</v>
          </cell>
          <cell r="BQ1" t="str">
            <v>TSEC-3P</v>
          </cell>
          <cell r="BR1" t="str">
            <v>PRC-2P</v>
          </cell>
          <cell r="BS1" t="str">
            <v>PRC-3P</v>
          </cell>
          <cell r="BT1" t="str">
            <v>SE-EL</v>
          </cell>
          <cell r="BU1" t="str">
            <v>0</v>
          </cell>
          <cell r="BV1" t="str">
            <v>-</v>
          </cell>
          <cell r="BW1">
            <v>0</v>
          </cell>
          <cell r="BX1" t="str">
            <v>RI11MAD</v>
          </cell>
          <cell r="BY1" t="str">
            <v>RI12MAD</v>
          </cell>
          <cell r="BZ1" t="str">
            <v>RI11CAC</v>
          </cell>
          <cell r="CA1" t="str">
            <v>RI12CAC</v>
          </cell>
          <cell r="CB1" t="str">
            <v>RI13CAC</v>
          </cell>
          <cell r="CC1" t="str">
            <v>RV11MAD</v>
          </cell>
          <cell r="CD1" t="str">
            <v>RV12MAD</v>
          </cell>
          <cell r="CE1" t="str">
            <v>RV11CAC</v>
          </cell>
          <cell r="CF1" t="str">
            <v>RV12CAC</v>
          </cell>
          <cell r="CG1" t="str">
            <v>RV13CAC</v>
          </cell>
          <cell r="CH1" t="str">
            <v>RY11MAD</v>
          </cell>
          <cell r="CI1" t="str">
            <v>RY12MAD</v>
          </cell>
          <cell r="CJ1" t="str">
            <v>RY11CAC</v>
          </cell>
          <cell r="CK1" t="str">
            <v>RY12CAC</v>
          </cell>
          <cell r="CL1" t="str">
            <v>RY13CAC</v>
          </cell>
          <cell r="CM1" t="str">
            <v>PAT-111MAD</v>
          </cell>
          <cell r="CN1" t="str">
            <v>PAT-111CAC</v>
          </cell>
          <cell r="CO1" t="str">
            <v>PAT-112MAD</v>
          </cell>
          <cell r="CP1" t="str">
            <v>PAT-112CAC</v>
          </cell>
          <cell r="CQ1" t="str">
            <v>PAT-113MAD</v>
          </cell>
          <cell r="CR1" t="str">
            <v>PAT-113CAC</v>
          </cell>
          <cell r="CS1" t="str">
            <v>PAT-1C11MAD</v>
          </cell>
          <cell r="CT1" t="str">
            <v>PAT-1C11CAC</v>
          </cell>
          <cell r="CU1" t="str">
            <v>PAT-1C12MAD</v>
          </cell>
          <cell r="CV1" t="str">
            <v>PAT-1C12CAC</v>
          </cell>
          <cell r="CW1" t="str">
            <v>PAT-1C13MAD</v>
          </cell>
          <cell r="CX1" t="str">
            <v>PAT-1C13CAC</v>
          </cell>
          <cell r="CY1" t="str">
            <v>011CAC</v>
          </cell>
          <cell r="CZ1" t="str">
            <v>-11CAC</v>
          </cell>
          <cell r="DA1" t="str">
            <v>012CAC</v>
          </cell>
          <cell r="DB1" t="str">
            <v>-11MAD</v>
          </cell>
        </row>
        <row r="4">
          <cell r="BO4">
            <v>1</v>
          </cell>
        </row>
        <row r="6">
          <cell r="F6">
            <v>1</v>
          </cell>
          <cell r="G6">
            <v>1</v>
          </cell>
          <cell r="J6">
            <v>2</v>
          </cell>
          <cell r="K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Z6">
            <v>1</v>
          </cell>
          <cell r="AB6">
            <v>2</v>
          </cell>
          <cell r="AC6">
            <v>2</v>
          </cell>
          <cell r="AE6">
            <v>2</v>
          </cell>
          <cell r="AH6">
            <v>1</v>
          </cell>
          <cell r="AI6">
            <v>1</v>
          </cell>
          <cell r="AK6">
            <v>1</v>
          </cell>
          <cell r="AO6">
            <v>3</v>
          </cell>
          <cell r="AP6">
            <v>1</v>
          </cell>
          <cell r="AW6">
            <v>1</v>
          </cell>
          <cell r="BA6">
            <v>2</v>
          </cell>
          <cell r="BB6">
            <v>2</v>
          </cell>
          <cell r="BC6">
            <v>1</v>
          </cell>
          <cell r="BP6">
            <v>6</v>
          </cell>
          <cell r="BQ6">
            <v>3</v>
          </cell>
        </row>
        <row r="7">
          <cell r="BR7">
            <v>2</v>
          </cell>
        </row>
        <row r="10">
          <cell r="Z10">
            <v>1</v>
          </cell>
          <cell r="BA10">
            <v>2</v>
          </cell>
          <cell r="BB10">
            <v>2</v>
          </cell>
          <cell r="BC10">
            <v>1</v>
          </cell>
          <cell r="BF10">
            <v>1</v>
          </cell>
          <cell r="BG10">
            <v>2</v>
          </cell>
        </row>
        <row r="11">
          <cell r="BJ11">
            <v>4</v>
          </cell>
          <cell r="BK11">
            <v>4</v>
          </cell>
          <cell r="BL11">
            <v>2</v>
          </cell>
          <cell r="BN11">
            <v>4</v>
          </cell>
        </row>
        <row r="12">
          <cell r="AX12">
            <v>3</v>
          </cell>
        </row>
        <row r="50">
          <cell r="E50">
            <v>1</v>
          </cell>
          <cell r="F50">
            <v>2</v>
          </cell>
          <cell r="G50">
            <v>3</v>
          </cell>
          <cell r="H50">
            <v>2</v>
          </cell>
          <cell r="I50">
            <v>2</v>
          </cell>
          <cell r="J50">
            <v>4</v>
          </cell>
          <cell r="K50">
            <v>6</v>
          </cell>
          <cell r="R50">
            <v>1</v>
          </cell>
          <cell r="T50">
            <v>1</v>
          </cell>
          <cell r="Z50">
            <v>3</v>
          </cell>
          <cell r="AA50">
            <v>1</v>
          </cell>
          <cell r="AB50">
            <v>2</v>
          </cell>
          <cell r="AC50">
            <v>3</v>
          </cell>
          <cell r="AE50">
            <v>2</v>
          </cell>
          <cell r="AH50">
            <v>2</v>
          </cell>
          <cell r="AI50">
            <v>3</v>
          </cell>
          <cell r="AP50">
            <v>2</v>
          </cell>
          <cell r="AW50">
            <v>2</v>
          </cell>
          <cell r="BA50">
            <v>6</v>
          </cell>
          <cell r="BD50">
            <v>3</v>
          </cell>
          <cell r="BF50">
            <v>2</v>
          </cell>
          <cell r="BH50">
            <v>2</v>
          </cell>
          <cell r="BI50">
            <v>2</v>
          </cell>
          <cell r="BJ50">
            <v>2</v>
          </cell>
          <cell r="BK50">
            <v>2</v>
          </cell>
          <cell r="BL50">
            <v>2</v>
          </cell>
          <cell r="BN50">
            <v>2</v>
          </cell>
          <cell r="BO50">
            <v>1</v>
          </cell>
          <cell r="BP50">
            <v>2</v>
          </cell>
          <cell r="BQ50">
            <v>3</v>
          </cell>
          <cell r="BR50">
            <v>2</v>
          </cell>
        </row>
        <row r="51">
          <cell r="E51">
            <v>1</v>
          </cell>
          <cell r="G51">
            <v>1</v>
          </cell>
          <cell r="H51">
            <v>2</v>
          </cell>
          <cell r="I51">
            <v>2</v>
          </cell>
          <cell r="K51">
            <v>2</v>
          </cell>
          <cell r="R51">
            <v>1</v>
          </cell>
          <cell r="T51">
            <v>1</v>
          </cell>
          <cell r="AA51">
            <v>1</v>
          </cell>
          <cell r="AC51">
            <v>1</v>
          </cell>
          <cell r="AP51">
            <v>1</v>
          </cell>
          <cell r="AW51">
            <v>1</v>
          </cell>
          <cell r="BD51">
            <v>3</v>
          </cell>
          <cell r="BH51">
            <v>2</v>
          </cell>
          <cell r="BI51">
            <v>2</v>
          </cell>
          <cell r="BO51">
            <v>1</v>
          </cell>
          <cell r="BQ51">
            <v>1</v>
          </cell>
        </row>
        <row r="52">
          <cell r="F52">
            <v>2</v>
          </cell>
          <cell r="G52">
            <v>2</v>
          </cell>
          <cell r="J52">
            <v>4</v>
          </cell>
          <cell r="K52">
            <v>4</v>
          </cell>
          <cell r="Z52">
            <v>3</v>
          </cell>
          <cell r="AB52">
            <v>2</v>
          </cell>
          <cell r="AC52">
            <v>2</v>
          </cell>
          <cell r="AE52">
            <v>2</v>
          </cell>
          <cell r="AH52">
            <v>2</v>
          </cell>
          <cell r="AI52">
            <v>3</v>
          </cell>
          <cell r="AP52">
            <v>1</v>
          </cell>
          <cell r="AW52">
            <v>1</v>
          </cell>
          <cell r="BA52">
            <v>6</v>
          </cell>
          <cell r="BF52">
            <v>2</v>
          </cell>
          <cell r="BJ52">
            <v>2</v>
          </cell>
          <cell r="BK52">
            <v>2</v>
          </cell>
          <cell r="BL52">
            <v>2</v>
          </cell>
          <cell r="BN52">
            <v>2</v>
          </cell>
          <cell r="BP52">
            <v>2</v>
          </cell>
          <cell r="BQ52">
            <v>2</v>
          </cell>
          <cell r="BR52">
            <v>2</v>
          </cell>
        </row>
        <row r="54">
          <cell r="AX54">
            <v>3</v>
          </cell>
        </row>
        <row r="55">
          <cell r="E55">
            <v>1</v>
          </cell>
          <cell r="F55">
            <v>2</v>
          </cell>
          <cell r="G55">
            <v>3</v>
          </cell>
          <cell r="H55">
            <v>2</v>
          </cell>
          <cell r="I55">
            <v>2</v>
          </cell>
          <cell r="J55">
            <v>4</v>
          </cell>
          <cell r="K55">
            <v>6</v>
          </cell>
          <cell r="R55">
            <v>1</v>
          </cell>
          <cell r="T55">
            <v>1</v>
          </cell>
          <cell r="Z55">
            <v>3</v>
          </cell>
          <cell r="AA55">
            <v>1</v>
          </cell>
          <cell r="AB55">
            <v>2</v>
          </cell>
          <cell r="AC55">
            <v>3</v>
          </cell>
          <cell r="AE55">
            <v>2</v>
          </cell>
          <cell r="AH55">
            <v>2</v>
          </cell>
          <cell r="AI55">
            <v>3</v>
          </cell>
          <cell r="AP55">
            <v>2</v>
          </cell>
          <cell r="AW55">
            <v>2</v>
          </cell>
          <cell r="BA55">
            <v>6</v>
          </cell>
          <cell r="BD55">
            <v>3</v>
          </cell>
          <cell r="BF55">
            <v>2</v>
          </cell>
          <cell r="BH55">
            <v>2</v>
          </cell>
          <cell r="BI55">
            <v>2</v>
          </cell>
          <cell r="BJ55">
            <v>2</v>
          </cell>
          <cell r="BK55">
            <v>2</v>
          </cell>
          <cell r="BL55">
            <v>2</v>
          </cell>
          <cell r="BN55">
            <v>2</v>
          </cell>
          <cell r="BO55">
            <v>1</v>
          </cell>
          <cell r="BP55">
            <v>2</v>
          </cell>
          <cell r="BQ55">
            <v>3</v>
          </cell>
          <cell r="BR55">
            <v>2</v>
          </cell>
        </row>
        <row r="56">
          <cell r="E56">
            <v>1</v>
          </cell>
          <cell r="G56">
            <v>1</v>
          </cell>
          <cell r="H56">
            <v>2</v>
          </cell>
          <cell r="I56">
            <v>2</v>
          </cell>
          <cell r="K56">
            <v>2</v>
          </cell>
          <cell r="R56">
            <v>1</v>
          </cell>
          <cell r="T56">
            <v>1</v>
          </cell>
          <cell r="AA56">
            <v>1</v>
          </cell>
          <cell r="AC56">
            <v>1</v>
          </cell>
          <cell r="AP56">
            <v>1</v>
          </cell>
          <cell r="AW56">
            <v>1</v>
          </cell>
          <cell r="BD56">
            <v>3</v>
          </cell>
          <cell r="BH56">
            <v>2</v>
          </cell>
          <cell r="BI56">
            <v>2</v>
          </cell>
          <cell r="BO56">
            <v>1</v>
          </cell>
          <cell r="BQ56">
            <v>1</v>
          </cell>
        </row>
        <row r="57">
          <cell r="F57">
            <v>2</v>
          </cell>
          <cell r="G57">
            <v>2</v>
          </cell>
          <cell r="J57">
            <v>4</v>
          </cell>
          <cell r="K57">
            <v>4</v>
          </cell>
          <cell r="Z57">
            <v>3</v>
          </cell>
          <cell r="AB57">
            <v>2</v>
          </cell>
          <cell r="AC57">
            <v>2</v>
          </cell>
          <cell r="AE57">
            <v>2</v>
          </cell>
          <cell r="AH57">
            <v>2</v>
          </cell>
          <cell r="AI57">
            <v>3</v>
          </cell>
          <cell r="AP57">
            <v>1</v>
          </cell>
          <cell r="AW57">
            <v>1</v>
          </cell>
          <cell r="BA57">
            <v>6</v>
          </cell>
          <cell r="BF57">
            <v>2</v>
          </cell>
          <cell r="BJ57">
            <v>2</v>
          </cell>
          <cell r="BK57">
            <v>2</v>
          </cell>
          <cell r="BL57">
            <v>2</v>
          </cell>
          <cell r="BN57">
            <v>2</v>
          </cell>
          <cell r="BP57">
            <v>2</v>
          </cell>
          <cell r="BQ57">
            <v>2</v>
          </cell>
          <cell r="BR57">
            <v>2</v>
          </cell>
        </row>
        <row r="60">
          <cell r="L60">
            <v>1</v>
          </cell>
          <cell r="M60">
            <v>2</v>
          </cell>
          <cell r="N60">
            <v>3</v>
          </cell>
          <cell r="O60">
            <v>2</v>
          </cell>
          <cell r="P60">
            <v>4</v>
          </cell>
          <cell r="Q60">
            <v>6</v>
          </cell>
          <cell r="R60">
            <v>2</v>
          </cell>
          <cell r="S60">
            <v>4</v>
          </cell>
          <cell r="T60">
            <v>6</v>
          </cell>
          <cell r="U60">
            <v>2</v>
          </cell>
          <cell r="V60">
            <v>3</v>
          </cell>
          <cell r="W60">
            <v>1</v>
          </cell>
          <cell r="X60">
            <v>2</v>
          </cell>
          <cell r="Y60">
            <v>3</v>
          </cell>
          <cell r="AA60">
            <v>1</v>
          </cell>
          <cell r="AB60">
            <v>2</v>
          </cell>
          <cell r="AC60">
            <v>3</v>
          </cell>
          <cell r="AD60">
            <v>1</v>
          </cell>
          <cell r="AE60">
            <v>2</v>
          </cell>
          <cell r="AK60">
            <v>2</v>
          </cell>
          <cell r="AO60">
            <v>6</v>
          </cell>
          <cell r="AP60">
            <v>2</v>
          </cell>
          <cell r="BB60">
            <v>6</v>
          </cell>
          <cell r="BC60">
            <v>3</v>
          </cell>
          <cell r="BD60">
            <v>6</v>
          </cell>
          <cell r="BG60">
            <v>4</v>
          </cell>
          <cell r="BH60">
            <v>4</v>
          </cell>
          <cell r="BI60">
            <v>4</v>
          </cell>
          <cell r="BJ60">
            <v>4</v>
          </cell>
          <cell r="BK60">
            <v>2</v>
          </cell>
          <cell r="BN60">
            <v>2</v>
          </cell>
          <cell r="BO60">
            <v>1</v>
          </cell>
          <cell r="BP60">
            <v>2</v>
          </cell>
          <cell r="BQ60">
            <v>3</v>
          </cell>
          <cell r="BR60">
            <v>2</v>
          </cell>
        </row>
        <row r="61">
          <cell r="L61">
            <v>1</v>
          </cell>
          <cell r="M61">
            <v>2</v>
          </cell>
          <cell r="N61">
            <v>3</v>
          </cell>
          <cell r="O61">
            <v>2</v>
          </cell>
          <cell r="P61">
            <v>4</v>
          </cell>
          <cell r="Q61">
            <v>6</v>
          </cell>
          <cell r="R61">
            <v>2</v>
          </cell>
          <cell r="S61">
            <v>4</v>
          </cell>
          <cell r="T61">
            <v>6</v>
          </cell>
          <cell r="U61">
            <v>2</v>
          </cell>
          <cell r="V61">
            <v>3</v>
          </cell>
          <cell r="W61">
            <v>1</v>
          </cell>
          <cell r="X61">
            <v>2</v>
          </cell>
          <cell r="Y61">
            <v>3</v>
          </cell>
          <cell r="AA61">
            <v>1</v>
          </cell>
          <cell r="AB61">
            <v>2</v>
          </cell>
          <cell r="AC61">
            <v>3</v>
          </cell>
          <cell r="AD61">
            <v>1</v>
          </cell>
          <cell r="AE61">
            <v>2</v>
          </cell>
          <cell r="AK61">
            <v>2</v>
          </cell>
          <cell r="AO61">
            <v>6</v>
          </cell>
          <cell r="AP61">
            <v>2</v>
          </cell>
          <cell r="BB61">
            <v>6</v>
          </cell>
          <cell r="BC61">
            <v>3</v>
          </cell>
          <cell r="BD61">
            <v>6</v>
          </cell>
          <cell r="BG61">
            <v>4</v>
          </cell>
          <cell r="BH61">
            <v>4</v>
          </cell>
          <cell r="BI61">
            <v>4</v>
          </cell>
          <cell r="BJ61">
            <v>4</v>
          </cell>
          <cell r="BK61">
            <v>2</v>
          </cell>
          <cell r="BN61">
            <v>2</v>
          </cell>
          <cell r="BO61">
            <v>1</v>
          </cell>
          <cell r="BP61">
            <v>2</v>
          </cell>
          <cell r="BQ61">
            <v>3</v>
          </cell>
          <cell r="BR61">
            <v>2</v>
          </cell>
        </row>
        <row r="70">
          <cell r="E70">
            <v>1</v>
          </cell>
          <cell r="F70">
            <v>2</v>
          </cell>
          <cell r="G70">
            <v>3</v>
          </cell>
          <cell r="H70">
            <v>1</v>
          </cell>
          <cell r="I70">
            <v>1</v>
          </cell>
          <cell r="L70">
            <v>1</v>
          </cell>
          <cell r="M70">
            <v>2</v>
          </cell>
          <cell r="N70">
            <v>3</v>
          </cell>
          <cell r="Z70">
            <v>3</v>
          </cell>
          <cell r="AW70">
            <v>2</v>
          </cell>
          <cell r="AX70">
            <v>3</v>
          </cell>
          <cell r="BC70">
            <v>3</v>
          </cell>
          <cell r="BF70">
            <v>2</v>
          </cell>
          <cell r="BL70">
            <v>2</v>
          </cell>
        </row>
        <row r="71">
          <cell r="E71">
            <v>1</v>
          </cell>
          <cell r="F71">
            <v>2</v>
          </cell>
          <cell r="G71">
            <v>3</v>
          </cell>
          <cell r="H71">
            <v>1</v>
          </cell>
          <cell r="I71">
            <v>1</v>
          </cell>
          <cell r="L71">
            <v>1</v>
          </cell>
          <cell r="M71">
            <v>2</v>
          </cell>
          <cell r="N71">
            <v>3</v>
          </cell>
          <cell r="Z71">
            <v>3</v>
          </cell>
          <cell r="AW71">
            <v>2</v>
          </cell>
          <cell r="AX71">
            <v>3</v>
          </cell>
          <cell r="BC71">
            <v>3</v>
          </cell>
          <cell r="BF71">
            <v>2</v>
          </cell>
          <cell r="BL71">
            <v>2</v>
          </cell>
        </row>
        <row r="72">
          <cell r="E72">
            <v>1</v>
          </cell>
          <cell r="F72">
            <v>2</v>
          </cell>
          <cell r="G72">
            <v>3</v>
          </cell>
          <cell r="H72">
            <v>1</v>
          </cell>
          <cell r="I72">
            <v>1</v>
          </cell>
          <cell r="L72">
            <v>1</v>
          </cell>
          <cell r="M72">
            <v>2</v>
          </cell>
          <cell r="N72">
            <v>3</v>
          </cell>
          <cell r="Z72">
            <v>3</v>
          </cell>
          <cell r="AW72">
            <v>2</v>
          </cell>
          <cell r="AX72">
            <v>3</v>
          </cell>
          <cell r="BC72">
            <v>3</v>
          </cell>
          <cell r="BF72">
            <v>2</v>
          </cell>
          <cell r="BL72">
            <v>2</v>
          </cell>
        </row>
        <row r="73">
          <cell r="E73">
            <v>1</v>
          </cell>
          <cell r="F73">
            <v>2</v>
          </cell>
          <cell r="G73">
            <v>3</v>
          </cell>
          <cell r="H73">
            <v>1</v>
          </cell>
          <cell r="I73">
            <v>1</v>
          </cell>
          <cell r="L73">
            <v>1</v>
          </cell>
          <cell r="M73">
            <v>2</v>
          </cell>
          <cell r="N73">
            <v>3</v>
          </cell>
          <cell r="Z73">
            <v>3</v>
          </cell>
          <cell r="AW73">
            <v>2</v>
          </cell>
          <cell r="AX73">
            <v>3</v>
          </cell>
          <cell r="BC73">
            <v>3</v>
          </cell>
          <cell r="BF73">
            <v>2</v>
          </cell>
          <cell r="BL73">
            <v>2</v>
          </cell>
        </row>
        <row r="74">
          <cell r="J74">
            <v>2</v>
          </cell>
          <cell r="K74">
            <v>3</v>
          </cell>
          <cell r="BA74">
            <v>3</v>
          </cell>
        </row>
        <row r="75">
          <cell r="J75">
            <v>2</v>
          </cell>
          <cell r="K75">
            <v>3</v>
          </cell>
          <cell r="BA75">
            <v>3</v>
          </cell>
        </row>
        <row r="81">
          <cell r="O81">
            <v>1</v>
          </cell>
          <cell r="P81">
            <v>2</v>
          </cell>
          <cell r="Q81">
            <v>3</v>
          </cell>
          <cell r="R81">
            <v>1</v>
          </cell>
          <cell r="S81">
            <v>2</v>
          </cell>
          <cell r="T81">
            <v>3</v>
          </cell>
          <cell r="U81">
            <v>2</v>
          </cell>
          <cell r="AA81">
            <v>1</v>
          </cell>
          <cell r="AB81">
            <v>2</v>
          </cell>
          <cell r="AC81">
            <v>3</v>
          </cell>
          <cell r="AD81">
            <v>1</v>
          </cell>
          <cell r="AE81">
            <v>2</v>
          </cell>
          <cell r="AG81">
            <v>1</v>
          </cell>
          <cell r="AH81">
            <v>2</v>
          </cell>
          <cell r="AI81">
            <v>3</v>
          </cell>
          <cell r="AP81">
            <v>2</v>
          </cell>
          <cell r="BB81">
            <v>3</v>
          </cell>
          <cell r="BD81">
            <v>3</v>
          </cell>
          <cell r="BG81">
            <v>2</v>
          </cell>
          <cell r="BH81">
            <v>2</v>
          </cell>
          <cell r="BI81">
            <v>2</v>
          </cell>
          <cell r="BJ81">
            <v>2</v>
          </cell>
          <cell r="BK81">
            <v>2</v>
          </cell>
          <cell r="BN81">
            <v>4</v>
          </cell>
        </row>
        <row r="82">
          <cell r="O82">
            <v>1</v>
          </cell>
          <cell r="P82">
            <v>2</v>
          </cell>
          <cell r="Q82">
            <v>3</v>
          </cell>
          <cell r="R82">
            <v>1</v>
          </cell>
          <cell r="S82">
            <v>2</v>
          </cell>
          <cell r="T82">
            <v>3</v>
          </cell>
          <cell r="U82">
            <v>2</v>
          </cell>
          <cell r="AA82">
            <v>1</v>
          </cell>
          <cell r="AB82">
            <v>2</v>
          </cell>
          <cell r="AC82">
            <v>3</v>
          </cell>
          <cell r="AD82">
            <v>1</v>
          </cell>
          <cell r="AE82">
            <v>2</v>
          </cell>
          <cell r="AG82">
            <v>1</v>
          </cell>
          <cell r="AH82">
            <v>2</v>
          </cell>
          <cell r="AI82">
            <v>3</v>
          </cell>
          <cell r="AP82">
            <v>2</v>
          </cell>
          <cell r="BB82">
            <v>3</v>
          </cell>
          <cell r="BD82">
            <v>3</v>
          </cell>
          <cell r="BG82">
            <v>2</v>
          </cell>
          <cell r="BH82">
            <v>2</v>
          </cell>
          <cell r="BI82">
            <v>2</v>
          </cell>
          <cell r="BJ82">
            <v>2</v>
          </cell>
          <cell r="BK82">
            <v>2</v>
          </cell>
          <cell r="BN82">
            <v>4</v>
          </cell>
        </row>
        <row r="83">
          <cell r="O83">
            <v>1</v>
          </cell>
          <cell r="P83">
            <v>2</v>
          </cell>
          <cell r="Q83">
            <v>3</v>
          </cell>
          <cell r="R83">
            <v>1</v>
          </cell>
          <cell r="S83">
            <v>2</v>
          </cell>
          <cell r="T83">
            <v>3</v>
          </cell>
          <cell r="U83">
            <v>2</v>
          </cell>
          <cell r="AA83">
            <v>1</v>
          </cell>
          <cell r="AB83">
            <v>2</v>
          </cell>
          <cell r="AC83">
            <v>3</v>
          </cell>
          <cell r="AD83">
            <v>1</v>
          </cell>
          <cell r="AE83">
            <v>2</v>
          </cell>
          <cell r="AG83">
            <v>1</v>
          </cell>
          <cell r="AH83">
            <v>2</v>
          </cell>
          <cell r="AI83">
            <v>3</v>
          </cell>
          <cell r="AP83">
            <v>2</v>
          </cell>
          <cell r="BB83">
            <v>3</v>
          </cell>
          <cell r="BD83">
            <v>3</v>
          </cell>
          <cell r="BG83">
            <v>2</v>
          </cell>
          <cell r="BH83">
            <v>2</v>
          </cell>
          <cell r="BI83">
            <v>2</v>
          </cell>
          <cell r="BJ83">
            <v>2</v>
          </cell>
          <cell r="BK83">
            <v>2</v>
          </cell>
          <cell r="BN83">
            <v>4</v>
          </cell>
        </row>
        <row r="84">
          <cell r="O84">
            <v>1</v>
          </cell>
          <cell r="P84">
            <v>2</v>
          </cell>
          <cell r="Q84">
            <v>3</v>
          </cell>
          <cell r="R84">
            <v>1</v>
          </cell>
          <cell r="S84">
            <v>2</v>
          </cell>
          <cell r="T84">
            <v>3</v>
          </cell>
          <cell r="U84">
            <v>2</v>
          </cell>
          <cell r="AA84">
            <v>1</v>
          </cell>
          <cell r="AB84">
            <v>2</v>
          </cell>
          <cell r="AC84">
            <v>3</v>
          </cell>
          <cell r="AD84">
            <v>1</v>
          </cell>
          <cell r="AE84">
            <v>2</v>
          </cell>
          <cell r="AG84">
            <v>1</v>
          </cell>
          <cell r="AH84">
            <v>2</v>
          </cell>
          <cell r="AI84">
            <v>3</v>
          </cell>
          <cell r="AP84">
            <v>2</v>
          </cell>
          <cell r="BB84">
            <v>3</v>
          </cell>
          <cell r="BD84">
            <v>3</v>
          </cell>
          <cell r="BG84">
            <v>2</v>
          </cell>
          <cell r="BH84">
            <v>2</v>
          </cell>
          <cell r="BI84">
            <v>2</v>
          </cell>
          <cell r="BJ84">
            <v>2</v>
          </cell>
          <cell r="BK84">
            <v>2</v>
          </cell>
          <cell r="BN84">
            <v>4</v>
          </cell>
        </row>
        <row r="85">
          <cell r="E85">
            <v>2.5</v>
          </cell>
          <cell r="F85">
            <v>5</v>
          </cell>
          <cell r="G85">
            <v>7.5</v>
          </cell>
          <cell r="H85">
            <v>5</v>
          </cell>
          <cell r="I85">
            <v>5</v>
          </cell>
          <cell r="J85">
            <v>10</v>
          </cell>
          <cell r="K85">
            <v>15</v>
          </cell>
          <cell r="R85">
            <v>2.5</v>
          </cell>
          <cell r="T85">
            <v>2.5</v>
          </cell>
          <cell r="Z85">
            <v>7.5</v>
          </cell>
          <cell r="AA85">
            <v>1.5</v>
          </cell>
          <cell r="AB85">
            <v>5</v>
          </cell>
          <cell r="AC85">
            <v>7.5</v>
          </cell>
          <cell r="AD85">
            <v>1</v>
          </cell>
          <cell r="AE85">
            <v>5</v>
          </cell>
          <cell r="AG85">
            <v>1.5</v>
          </cell>
          <cell r="AH85">
            <v>5</v>
          </cell>
          <cell r="AI85">
            <v>7.5</v>
          </cell>
          <cell r="AP85">
            <v>5</v>
          </cell>
          <cell r="AW85">
            <v>5</v>
          </cell>
          <cell r="AX85">
            <v>7.5</v>
          </cell>
          <cell r="BA85">
            <v>15</v>
          </cell>
          <cell r="BD85">
            <v>7.5</v>
          </cell>
          <cell r="BF85">
            <v>5</v>
          </cell>
          <cell r="BH85">
            <v>5</v>
          </cell>
          <cell r="BI85">
            <v>5</v>
          </cell>
          <cell r="BJ85">
            <v>5</v>
          </cell>
          <cell r="BK85">
            <v>5</v>
          </cell>
          <cell r="BL85">
            <v>5</v>
          </cell>
          <cell r="BN85">
            <v>5</v>
          </cell>
          <cell r="BO85">
            <v>1.5</v>
          </cell>
          <cell r="BP85">
            <v>5</v>
          </cell>
          <cell r="BR85">
            <v>5</v>
          </cell>
        </row>
        <row r="90">
          <cell r="L90">
            <v>1</v>
          </cell>
          <cell r="M90">
            <v>2</v>
          </cell>
          <cell r="N90">
            <v>3</v>
          </cell>
          <cell r="BC90">
            <v>3</v>
          </cell>
        </row>
        <row r="91">
          <cell r="L91">
            <v>1</v>
          </cell>
          <cell r="M91">
            <v>2</v>
          </cell>
          <cell r="N91">
            <v>3</v>
          </cell>
          <cell r="BC91">
            <v>3</v>
          </cell>
        </row>
        <row r="92">
          <cell r="L92">
            <v>1</v>
          </cell>
          <cell r="M92">
            <v>2</v>
          </cell>
          <cell r="N92">
            <v>3</v>
          </cell>
          <cell r="BC92">
            <v>3</v>
          </cell>
        </row>
        <row r="93">
          <cell r="L93">
            <v>1</v>
          </cell>
          <cell r="M93">
            <v>2</v>
          </cell>
          <cell r="N93">
            <v>3</v>
          </cell>
          <cell r="BC93">
            <v>3</v>
          </cell>
        </row>
        <row r="94">
          <cell r="O94">
            <v>2</v>
          </cell>
          <cell r="P94">
            <v>4</v>
          </cell>
          <cell r="Q94">
            <v>6</v>
          </cell>
          <cell r="R94">
            <v>2</v>
          </cell>
          <cell r="S94">
            <v>4</v>
          </cell>
          <cell r="T94">
            <v>6</v>
          </cell>
          <cell r="U94">
            <v>2</v>
          </cell>
          <cell r="V94">
            <v>3</v>
          </cell>
          <cell r="W94">
            <v>1</v>
          </cell>
          <cell r="X94">
            <v>2</v>
          </cell>
          <cell r="Y94">
            <v>3</v>
          </cell>
          <cell r="AA94">
            <v>1</v>
          </cell>
          <cell r="AB94">
            <v>2</v>
          </cell>
          <cell r="AC94">
            <v>3</v>
          </cell>
          <cell r="AD94">
            <v>1</v>
          </cell>
          <cell r="AE94">
            <v>2</v>
          </cell>
          <cell r="AK94">
            <v>2</v>
          </cell>
          <cell r="AO94">
            <v>6</v>
          </cell>
          <cell r="AP94">
            <v>2</v>
          </cell>
          <cell r="BB94">
            <v>6</v>
          </cell>
          <cell r="BD94">
            <v>6</v>
          </cell>
          <cell r="BG94">
            <v>4</v>
          </cell>
          <cell r="BH94">
            <v>4</v>
          </cell>
          <cell r="BI94">
            <v>4</v>
          </cell>
          <cell r="BJ94">
            <v>4</v>
          </cell>
          <cell r="BK94">
            <v>2</v>
          </cell>
          <cell r="BN94">
            <v>4</v>
          </cell>
          <cell r="BO94">
            <v>1</v>
          </cell>
          <cell r="BP94">
            <v>2</v>
          </cell>
          <cell r="BQ94">
            <v>3</v>
          </cell>
          <cell r="BR94">
            <v>2</v>
          </cell>
        </row>
        <row r="95">
          <cell r="O95">
            <v>2</v>
          </cell>
          <cell r="P95">
            <v>4</v>
          </cell>
          <cell r="Q95">
            <v>6</v>
          </cell>
          <cell r="R95">
            <v>2</v>
          </cell>
          <cell r="S95">
            <v>4</v>
          </cell>
          <cell r="T95">
            <v>6</v>
          </cell>
          <cell r="U95">
            <v>2</v>
          </cell>
          <cell r="V95">
            <v>3</v>
          </cell>
          <cell r="W95">
            <v>1</v>
          </cell>
          <cell r="X95">
            <v>2</v>
          </cell>
          <cell r="Y95">
            <v>3</v>
          </cell>
          <cell r="AA95">
            <v>1</v>
          </cell>
          <cell r="AB95">
            <v>2</v>
          </cell>
          <cell r="AC95">
            <v>3</v>
          </cell>
          <cell r="AD95">
            <v>1</v>
          </cell>
          <cell r="AE95">
            <v>2</v>
          </cell>
          <cell r="AK95">
            <v>2</v>
          </cell>
          <cell r="AO95">
            <v>6</v>
          </cell>
          <cell r="AP95">
            <v>2</v>
          </cell>
          <cell r="BB95">
            <v>6</v>
          </cell>
          <cell r="BD95">
            <v>6</v>
          </cell>
          <cell r="BG95">
            <v>4</v>
          </cell>
          <cell r="BH95">
            <v>4</v>
          </cell>
          <cell r="BI95">
            <v>4</v>
          </cell>
          <cell r="BJ95">
            <v>4</v>
          </cell>
          <cell r="BK95">
            <v>2</v>
          </cell>
          <cell r="BN95">
            <v>4</v>
          </cell>
          <cell r="BO95">
            <v>1</v>
          </cell>
          <cell r="BP95">
            <v>2</v>
          </cell>
          <cell r="BQ95">
            <v>3</v>
          </cell>
          <cell r="BR95">
            <v>2</v>
          </cell>
        </row>
        <row r="96">
          <cell r="O96">
            <v>2</v>
          </cell>
          <cell r="P96">
            <v>4</v>
          </cell>
          <cell r="Q96">
            <v>6</v>
          </cell>
          <cell r="R96">
            <v>2</v>
          </cell>
          <cell r="S96">
            <v>4</v>
          </cell>
          <cell r="T96">
            <v>6</v>
          </cell>
          <cell r="U96">
            <v>2</v>
          </cell>
          <cell r="V96">
            <v>3</v>
          </cell>
          <cell r="W96">
            <v>1</v>
          </cell>
          <cell r="X96">
            <v>2</v>
          </cell>
          <cell r="Y96">
            <v>3</v>
          </cell>
          <cell r="AA96">
            <v>1</v>
          </cell>
          <cell r="AB96">
            <v>2</v>
          </cell>
          <cell r="AC96">
            <v>3</v>
          </cell>
          <cell r="AD96">
            <v>1</v>
          </cell>
          <cell r="AE96">
            <v>2</v>
          </cell>
          <cell r="AK96">
            <v>2</v>
          </cell>
          <cell r="AO96">
            <v>6</v>
          </cell>
          <cell r="AP96">
            <v>2</v>
          </cell>
          <cell r="BB96">
            <v>6</v>
          </cell>
          <cell r="BD96">
            <v>6</v>
          </cell>
          <cell r="BG96">
            <v>4</v>
          </cell>
          <cell r="BH96">
            <v>4</v>
          </cell>
          <cell r="BI96">
            <v>4</v>
          </cell>
          <cell r="BJ96">
            <v>4</v>
          </cell>
          <cell r="BK96">
            <v>2</v>
          </cell>
          <cell r="BN96">
            <v>4</v>
          </cell>
          <cell r="BO96">
            <v>1</v>
          </cell>
          <cell r="BP96">
            <v>2</v>
          </cell>
          <cell r="BQ96">
            <v>3</v>
          </cell>
          <cell r="BR96">
            <v>2</v>
          </cell>
        </row>
        <row r="97">
          <cell r="O97">
            <v>2</v>
          </cell>
          <cell r="P97">
            <v>4</v>
          </cell>
          <cell r="Q97">
            <v>6</v>
          </cell>
          <cell r="R97">
            <v>2</v>
          </cell>
          <cell r="S97">
            <v>4</v>
          </cell>
          <cell r="T97">
            <v>6</v>
          </cell>
          <cell r="U97">
            <v>2</v>
          </cell>
          <cell r="V97">
            <v>3</v>
          </cell>
          <cell r="W97">
            <v>1</v>
          </cell>
          <cell r="X97">
            <v>2</v>
          </cell>
          <cell r="Y97">
            <v>3</v>
          </cell>
          <cell r="AA97">
            <v>1</v>
          </cell>
          <cell r="AB97">
            <v>2</v>
          </cell>
          <cell r="AC97">
            <v>3</v>
          </cell>
          <cell r="AD97">
            <v>1</v>
          </cell>
          <cell r="AE97">
            <v>2</v>
          </cell>
          <cell r="AK97">
            <v>2</v>
          </cell>
          <cell r="AO97">
            <v>6</v>
          </cell>
          <cell r="AP97">
            <v>2</v>
          </cell>
          <cell r="BB97">
            <v>6</v>
          </cell>
          <cell r="BD97">
            <v>6</v>
          </cell>
          <cell r="BG97">
            <v>4</v>
          </cell>
          <cell r="BH97">
            <v>4</v>
          </cell>
          <cell r="BI97">
            <v>4</v>
          </cell>
          <cell r="BJ97">
            <v>4</v>
          </cell>
          <cell r="BK97">
            <v>2</v>
          </cell>
          <cell r="BN97">
            <v>4</v>
          </cell>
          <cell r="BO97">
            <v>1</v>
          </cell>
          <cell r="BP97">
            <v>2</v>
          </cell>
          <cell r="BQ97">
            <v>3</v>
          </cell>
          <cell r="BR97">
            <v>2</v>
          </cell>
        </row>
        <row r="101">
          <cell r="O101">
            <v>1.6</v>
          </cell>
          <cell r="P101">
            <v>3.2</v>
          </cell>
          <cell r="Q101">
            <v>4.8</v>
          </cell>
          <cell r="R101">
            <v>1.6</v>
          </cell>
          <cell r="S101">
            <v>3.2</v>
          </cell>
          <cell r="T101">
            <v>4.8</v>
          </cell>
          <cell r="U101">
            <v>1.6</v>
          </cell>
          <cell r="V101">
            <v>2.4</v>
          </cell>
          <cell r="W101">
            <v>0.8</v>
          </cell>
          <cell r="X101">
            <v>1.6</v>
          </cell>
          <cell r="Y101">
            <v>2.4</v>
          </cell>
          <cell r="AA101">
            <v>0.8</v>
          </cell>
          <cell r="AB101">
            <v>1.6</v>
          </cell>
          <cell r="AC101">
            <v>2.4</v>
          </cell>
          <cell r="AD101">
            <v>0.8</v>
          </cell>
          <cell r="AK101">
            <v>1.5</v>
          </cell>
          <cell r="AO101">
            <v>4.8</v>
          </cell>
          <cell r="AP101">
            <v>1.6</v>
          </cell>
          <cell r="BD101">
            <v>4.8</v>
          </cell>
          <cell r="BG101">
            <v>3.2</v>
          </cell>
          <cell r="BH101">
            <v>3.2</v>
          </cell>
          <cell r="BI101">
            <v>3.2</v>
          </cell>
          <cell r="BJ101">
            <v>3.2</v>
          </cell>
          <cell r="BN101">
            <v>1.6</v>
          </cell>
          <cell r="BO101">
            <v>0.8</v>
          </cell>
          <cell r="BP101">
            <v>1.6</v>
          </cell>
          <cell r="BQ101">
            <v>2.4</v>
          </cell>
          <cell r="BR101">
            <v>3.2</v>
          </cell>
        </row>
        <row r="104">
          <cell r="F104">
            <v>1</v>
          </cell>
          <cell r="G104">
            <v>2.5</v>
          </cell>
          <cell r="J104">
            <v>2.9</v>
          </cell>
          <cell r="K104">
            <v>2.9</v>
          </cell>
          <cell r="M104">
            <v>0.3</v>
          </cell>
          <cell r="N104">
            <v>0.6</v>
          </cell>
          <cell r="O104">
            <v>0.3</v>
          </cell>
          <cell r="P104">
            <v>0.6</v>
          </cell>
          <cell r="Q104">
            <v>0.9</v>
          </cell>
          <cell r="R104">
            <v>0.3</v>
          </cell>
          <cell r="S104">
            <v>2.5</v>
          </cell>
          <cell r="T104">
            <v>2.5</v>
          </cell>
          <cell r="U104">
            <v>2.5</v>
          </cell>
          <cell r="V104">
            <v>2.5</v>
          </cell>
          <cell r="X104">
            <v>0.3</v>
          </cell>
          <cell r="Y104">
            <v>0.6</v>
          </cell>
          <cell r="Z104">
            <v>5</v>
          </cell>
          <cell r="AA104">
            <v>0.3</v>
          </cell>
          <cell r="AB104">
            <v>2.5</v>
          </cell>
          <cell r="AC104">
            <v>2.7</v>
          </cell>
          <cell r="AD104">
            <v>0.3</v>
          </cell>
          <cell r="AE104">
            <v>2.5</v>
          </cell>
          <cell r="AH104">
            <v>2.5</v>
          </cell>
          <cell r="AI104">
            <v>2.5</v>
          </cell>
          <cell r="AK104">
            <v>1</v>
          </cell>
          <cell r="AO104">
            <v>6.1</v>
          </cell>
          <cell r="AP104">
            <v>2.5</v>
          </cell>
          <cell r="AW104">
            <v>1.2</v>
          </cell>
          <cell r="AX104">
            <v>0.3</v>
          </cell>
          <cell r="BA104">
            <v>5.6</v>
          </cell>
          <cell r="BB104">
            <v>5</v>
          </cell>
          <cell r="BC104">
            <v>4.5</v>
          </cell>
          <cell r="BD104">
            <v>0.9</v>
          </cell>
          <cell r="BF104">
            <v>4.2</v>
          </cell>
          <cell r="BG104">
            <v>4.2</v>
          </cell>
          <cell r="BH104">
            <v>0.6</v>
          </cell>
          <cell r="BI104">
            <v>0.6</v>
          </cell>
          <cell r="BJ104">
            <v>0.2</v>
          </cell>
          <cell r="BK104">
            <v>0.2</v>
          </cell>
          <cell r="BL104">
            <v>0.2</v>
          </cell>
          <cell r="BN104">
            <v>3</v>
          </cell>
          <cell r="BO104">
            <v>1</v>
          </cell>
          <cell r="BP104">
            <v>6</v>
          </cell>
          <cell r="BQ104">
            <v>6.1</v>
          </cell>
          <cell r="BR104">
            <v>9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M104">
            <v>11.9</v>
          </cell>
          <cell r="CN104">
            <v>11.9</v>
          </cell>
          <cell r="CO104">
            <v>12.8</v>
          </cell>
          <cell r="CP104">
            <v>12.8</v>
          </cell>
          <cell r="CQ104">
            <v>13.7</v>
          </cell>
          <cell r="CR104">
            <v>13.7</v>
          </cell>
          <cell r="CS104">
            <v>12.5</v>
          </cell>
          <cell r="CT104">
            <v>12.5</v>
          </cell>
          <cell r="CU104">
            <v>13.5</v>
          </cell>
          <cell r="CV104">
            <v>13.5</v>
          </cell>
          <cell r="CW104">
            <v>14.5</v>
          </cell>
          <cell r="CX104">
            <v>14.5</v>
          </cell>
        </row>
        <row r="105">
          <cell r="AK105">
            <v>4.5</v>
          </cell>
          <cell r="AO105">
            <v>15</v>
          </cell>
          <cell r="BO105">
            <v>4.5</v>
          </cell>
          <cell r="BP105">
            <v>9</v>
          </cell>
          <cell r="BQ105">
            <v>15</v>
          </cell>
          <cell r="BR105">
            <v>9</v>
          </cell>
        </row>
        <row r="106">
          <cell r="AK106">
            <v>4.5</v>
          </cell>
          <cell r="AO106">
            <v>15</v>
          </cell>
          <cell r="BO106">
            <v>4.5</v>
          </cell>
          <cell r="BP106">
            <v>9</v>
          </cell>
          <cell r="BQ106">
            <v>15</v>
          </cell>
          <cell r="BR106">
            <v>9</v>
          </cell>
        </row>
        <row r="107">
          <cell r="AK107">
            <v>4.5</v>
          </cell>
          <cell r="AO107">
            <v>15</v>
          </cell>
          <cell r="BO107">
            <v>4.5</v>
          </cell>
          <cell r="BP107">
            <v>9</v>
          </cell>
          <cell r="BQ107">
            <v>15</v>
          </cell>
          <cell r="BR107">
            <v>9</v>
          </cell>
        </row>
        <row r="110">
          <cell r="F110">
            <v>2</v>
          </cell>
          <cell r="G110">
            <v>2</v>
          </cell>
          <cell r="J110">
            <v>4</v>
          </cell>
          <cell r="K110">
            <v>4</v>
          </cell>
          <cell r="S110">
            <v>4</v>
          </cell>
          <cell r="T110">
            <v>4</v>
          </cell>
          <cell r="U110">
            <v>4</v>
          </cell>
          <cell r="V110">
            <v>4</v>
          </cell>
          <cell r="AB110">
            <v>4</v>
          </cell>
          <cell r="AC110">
            <v>4</v>
          </cell>
          <cell r="AE110">
            <v>4</v>
          </cell>
          <cell r="AH110">
            <v>2</v>
          </cell>
          <cell r="AI110">
            <v>2</v>
          </cell>
          <cell r="AK110">
            <v>1</v>
          </cell>
          <cell r="AO110">
            <v>6</v>
          </cell>
          <cell r="AP110">
            <v>1</v>
          </cell>
          <cell r="AW110">
            <v>1</v>
          </cell>
          <cell r="BO110">
            <v>1</v>
          </cell>
          <cell r="BP110">
            <v>6</v>
          </cell>
          <cell r="BQ110">
            <v>6</v>
          </cell>
          <cell r="BR110">
            <v>4</v>
          </cell>
        </row>
        <row r="112">
          <cell r="F112">
            <v>1</v>
          </cell>
          <cell r="G112">
            <v>1</v>
          </cell>
          <cell r="J112">
            <v>1</v>
          </cell>
          <cell r="K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AB112">
            <v>1</v>
          </cell>
          <cell r="AC112">
            <v>1</v>
          </cell>
          <cell r="AE112">
            <v>2</v>
          </cell>
          <cell r="AH112">
            <v>1</v>
          </cell>
          <cell r="AI112">
            <v>1</v>
          </cell>
          <cell r="AK112">
            <v>1</v>
          </cell>
          <cell r="AO112">
            <v>2</v>
          </cell>
          <cell r="AP112">
            <v>2</v>
          </cell>
          <cell r="AW112">
            <v>1</v>
          </cell>
          <cell r="BO112">
            <v>1</v>
          </cell>
          <cell r="BP112">
            <v>2</v>
          </cell>
          <cell r="BQ112">
            <v>2</v>
          </cell>
          <cell r="BR112">
            <v>1</v>
          </cell>
        </row>
        <row r="115">
          <cell r="E115">
            <v>2</v>
          </cell>
          <cell r="G115">
            <v>2</v>
          </cell>
          <cell r="I115">
            <v>1</v>
          </cell>
          <cell r="L115">
            <v>1</v>
          </cell>
          <cell r="R115">
            <v>2</v>
          </cell>
          <cell r="T115">
            <v>2</v>
          </cell>
          <cell r="W115">
            <v>1</v>
          </cell>
          <cell r="AA115">
            <v>2</v>
          </cell>
          <cell r="AC115">
            <v>2</v>
          </cell>
          <cell r="AK115">
            <v>1</v>
          </cell>
          <cell r="AP115">
            <v>2</v>
          </cell>
          <cell r="AW115">
            <v>2</v>
          </cell>
          <cell r="BD115">
            <v>6</v>
          </cell>
          <cell r="BH115">
            <v>4</v>
          </cell>
          <cell r="BI115">
            <v>4</v>
          </cell>
          <cell r="BO115">
            <v>2</v>
          </cell>
          <cell r="BQ115">
            <v>2</v>
          </cell>
        </row>
        <row r="116">
          <cell r="F116">
            <v>1</v>
          </cell>
          <cell r="G116">
            <v>1</v>
          </cell>
          <cell r="Z116">
            <v>4</v>
          </cell>
          <cell r="AK116">
            <v>1</v>
          </cell>
          <cell r="AX116">
            <v>6</v>
          </cell>
          <cell r="BC116">
            <v>4</v>
          </cell>
          <cell r="BF116">
            <v>2</v>
          </cell>
          <cell r="BJ116">
            <v>4</v>
          </cell>
          <cell r="BK116">
            <v>4</v>
          </cell>
          <cell r="BL116">
            <v>4</v>
          </cell>
          <cell r="BN116">
            <v>6</v>
          </cell>
          <cell r="BO116">
            <v>1</v>
          </cell>
          <cell r="BR116">
            <v>5</v>
          </cell>
        </row>
        <row r="117">
          <cell r="AH117">
            <v>1</v>
          </cell>
          <cell r="AI117">
            <v>1</v>
          </cell>
          <cell r="AO117">
            <v>1</v>
          </cell>
          <cell r="AP117">
            <v>1</v>
          </cell>
          <cell r="AW117">
            <v>1</v>
          </cell>
          <cell r="BP117">
            <v>1</v>
          </cell>
          <cell r="BQ117">
            <v>1</v>
          </cell>
        </row>
        <row r="119">
          <cell r="H119">
            <v>2</v>
          </cell>
          <cell r="I119">
            <v>2</v>
          </cell>
          <cell r="K119">
            <v>2</v>
          </cell>
        </row>
        <row r="121">
          <cell r="S121">
            <v>3</v>
          </cell>
          <cell r="T121">
            <v>3</v>
          </cell>
          <cell r="U121">
            <v>3</v>
          </cell>
          <cell r="V121">
            <v>3</v>
          </cell>
          <cell r="AB121">
            <v>3</v>
          </cell>
          <cell r="AC121">
            <v>3</v>
          </cell>
          <cell r="AE121">
            <v>3</v>
          </cell>
          <cell r="AO121">
            <v>3</v>
          </cell>
          <cell r="BG121">
            <v>2</v>
          </cell>
          <cell r="BJ121">
            <v>2</v>
          </cell>
          <cell r="BK121">
            <v>2</v>
          </cell>
          <cell r="BN121">
            <v>3</v>
          </cell>
          <cell r="BP121">
            <v>3</v>
          </cell>
          <cell r="BQ121">
            <v>3</v>
          </cell>
          <cell r="BR121">
            <v>3</v>
          </cell>
        </row>
        <row r="122">
          <cell r="J122">
            <v>3</v>
          </cell>
          <cell r="K122">
            <v>3</v>
          </cell>
          <cell r="BA122">
            <v>4</v>
          </cell>
          <cell r="BB122">
            <v>7</v>
          </cell>
        </row>
        <row r="125">
          <cell r="M125">
            <v>2</v>
          </cell>
          <cell r="N125">
            <v>3</v>
          </cell>
          <cell r="O125">
            <v>2</v>
          </cell>
          <cell r="P125">
            <v>4</v>
          </cell>
          <cell r="Q125">
            <v>6</v>
          </cell>
          <cell r="R125">
            <v>1</v>
          </cell>
          <cell r="T125">
            <v>1</v>
          </cell>
          <cell r="V125">
            <v>1</v>
          </cell>
          <cell r="X125">
            <v>2</v>
          </cell>
          <cell r="Y125">
            <v>3</v>
          </cell>
          <cell r="AA125">
            <v>1</v>
          </cell>
          <cell r="AC125">
            <v>1</v>
          </cell>
          <cell r="AD125">
            <v>1</v>
          </cell>
          <cell r="AO125">
            <v>1</v>
          </cell>
          <cell r="AP125">
            <v>2</v>
          </cell>
          <cell r="BD125">
            <v>6</v>
          </cell>
          <cell r="BG125">
            <v>2</v>
          </cell>
          <cell r="BH125">
            <v>4</v>
          </cell>
          <cell r="BI125">
            <v>2</v>
          </cell>
          <cell r="BO125">
            <v>1</v>
          </cell>
          <cell r="BQ125">
            <v>1</v>
          </cell>
        </row>
        <row r="129">
          <cell r="BC129">
            <v>6</v>
          </cell>
        </row>
        <row r="131">
          <cell r="R131">
            <v>1</v>
          </cell>
          <cell r="S131">
            <v>4</v>
          </cell>
          <cell r="T131">
            <v>5</v>
          </cell>
          <cell r="U131">
            <v>2</v>
          </cell>
          <cell r="V131">
            <v>2</v>
          </cell>
          <cell r="AB131">
            <v>2</v>
          </cell>
          <cell r="AC131">
            <v>2</v>
          </cell>
          <cell r="AE131">
            <v>2</v>
          </cell>
          <cell r="AK131">
            <v>1</v>
          </cell>
          <cell r="AO131">
            <v>5</v>
          </cell>
          <cell r="BB131">
            <v>6</v>
          </cell>
          <cell r="BG131">
            <v>2</v>
          </cell>
          <cell r="BI131">
            <v>2</v>
          </cell>
          <cell r="BJ131">
            <v>4</v>
          </cell>
          <cell r="BK131">
            <v>2</v>
          </cell>
          <cell r="BN131">
            <v>2</v>
          </cell>
          <cell r="BP131">
            <v>2</v>
          </cell>
          <cell r="BQ131">
            <v>2</v>
          </cell>
          <cell r="BR131">
            <v>2</v>
          </cell>
        </row>
        <row r="133">
          <cell r="H133">
            <v>2</v>
          </cell>
          <cell r="I133">
            <v>2</v>
          </cell>
          <cell r="K133">
            <v>2</v>
          </cell>
        </row>
        <row r="134">
          <cell r="H134">
            <v>2</v>
          </cell>
          <cell r="I134">
            <v>2</v>
          </cell>
          <cell r="K134">
            <v>2</v>
          </cell>
        </row>
        <row r="137">
          <cell r="F137">
            <v>2</v>
          </cell>
          <cell r="G137">
            <v>2</v>
          </cell>
          <cell r="J137">
            <v>4</v>
          </cell>
          <cell r="S137">
            <v>4</v>
          </cell>
          <cell r="T137">
            <v>4</v>
          </cell>
          <cell r="U137">
            <v>4</v>
          </cell>
          <cell r="V137">
            <v>4</v>
          </cell>
          <cell r="AB137">
            <v>4</v>
          </cell>
          <cell r="AC137">
            <v>4</v>
          </cell>
          <cell r="AE137">
            <v>4</v>
          </cell>
          <cell r="AH137">
            <v>2</v>
          </cell>
          <cell r="AI137">
            <v>2</v>
          </cell>
          <cell r="AK137">
            <v>1</v>
          </cell>
          <cell r="AO137">
            <v>6</v>
          </cell>
          <cell r="AP137">
            <v>1</v>
          </cell>
          <cell r="AW137">
            <v>1</v>
          </cell>
          <cell r="BO137">
            <v>1</v>
          </cell>
          <cell r="BP137">
            <v>6</v>
          </cell>
          <cell r="BR137">
            <v>4</v>
          </cell>
        </row>
        <row r="138">
          <cell r="BC138">
            <v>3</v>
          </cell>
        </row>
        <row r="139">
          <cell r="F139">
            <v>2</v>
          </cell>
          <cell r="G139">
            <v>2</v>
          </cell>
          <cell r="J139">
            <v>4</v>
          </cell>
          <cell r="K139">
            <v>4</v>
          </cell>
          <cell r="Z139">
            <v>3</v>
          </cell>
          <cell r="AB139">
            <v>2</v>
          </cell>
          <cell r="AC139">
            <v>2</v>
          </cell>
          <cell r="AE139">
            <v>2</v>
          </cell>
          <cell r="AH139">
            <v>2</v>
          </cell>
          <cell r="AI139">
            <v>3</v>
          </cell>
          <cell r="AP139">
            <v>1</v>
          </cell>
          <cell r="AW139">
            <v>1</v>
          </cell>
          <cell r="BA139">
            <v>6</v>
          </cell>
          <cell r="BF139">
            <v>2</v>
          </cell>
          <cell r="BJ139">
            <v>2</v>
          </cell>
          <cell r="BK139">
            <v>2</v>
          </cell>
          <cell r="BL139">
            <v>2</v>
          </cell>
          <cell r="BN139">
            <v>2</v>
          </cell>
          <cell r="BP139">
            <v>2</v>
          </cell>
          <cell r="BQ139">
            <v>2</v>
          </cell>
          <cell r="BR139">
            <v>2</v>
          </cell>
        </row>
        <row r="140">
          <cell r="F140">
            <v>1</v>
          </cell>
          <cell r="G140">
            <v>1</v>
          </cell>
          <cell r="H140">
            <v>2</v>
          </cell>
          <cell r="I140">
            <v>2</v>
          </cell>
          <cell r="J140">
            <v>10</v>
          </cell>
          <cell r="K140">
            <v>10</v>
          </cell>
          <cell r="S140">
            <v>10</v>
          </cell>
          <cell r="T140">
            <v>10</v>
          </cell>
          <cell r="U140">
            <v>10</v>
          </cell>
          <cell r="V140">
            <v>10</v>
          </cell>
          <cell r="Z140">
            <v>4</v>
          </cell>
          <cell r="AB140">
            <v>10</v>
          </cell>
          <cell r="AC140">
            <v>10</v>
          </cell>
          <cell r="AE140">
            <v>10</v>
          </cell>
          <cell r="AH140">
            <v>1</v>
          </cell>
          <cell r="AI140">
            <v>1</v>
          </cell>
          <cell r="AK140">
            <v>1</v>
          </cell>
          <cell r="AO140">
            <v>11</v>
          </cell>
          <cell r="AP140">
            <v>1</v>
          </cell>
          <cell r="AW140">
            <v>1</v>
          </cell>
          <cell r="AX140">
            <v>9</v>
          </cell>
          <cell r="BA140">
            <v>8</v>
          </cell>
          <cell r="BB140">
            <v>20</v>
          </cell>
          <cell r="BC140">
            <v>16</v>
          </cell>
          <cell r="BF140">
            <v>2</v>
          </cell>
          <cell r="BG140">
            <v>12</v>
          </cell>
          <cell r="BJ140">
            <v>12</v>
          </cell>
          <cell r="BK140">
            <v>12</v>
          </cell>
          <cell r="BL140">
            <v>6</v>
          </cell>
          <cell r="BN140">
            <v>14</v>
          </cell>
          <cell r="BO140">
            <v>1</v>
          </cell>
          <cell r="BP140">
            <v>11</v>
          </cell>
          <cell r="BQ140">
            <v>11</v>
          </cell>
          <cell r="BR140">
            <v>10</v>
          </cell>
        </row>
        <row r="141">
          <cell r="E141">
            <v>2</v>
          </cell>
          <cell r="F141">
            <v>2</v>
          </cell>
          <cell r="G141">
            <v>4</v>
          </cell>
          <cell r="I141">
            <v>2</v>
          </cell>
          <cell r="L141">
            <v>2</v>
          </cell>
          <cell r="M141">
            <v>4</v>
          </cell>
          <cell r="N141">
            <v>6</v>
          </cell>
          <cell r="O141">
            <v>4</v>
          </cell>
          <cell r="P141">
            <v>8</v>
          </cell>
          <cell r="Q141">
            <v>12</v>
          </cell>
          <cell r="R141">
            <v>4</v>
          </cell>
          <cell r="T141">
            <v>4</v>
          </cell>
          <cell r="V141">
            <v>4</v>
          </cell>
          <cell r="W141">
            <v>2</v>
          </cell>
          <cell r="X141">
            <v>4</v>
          </cell>
          <cell r="Y141">
            <v>6</v>
          </cell>
          <cell r="Z141">
            <v>4</v>
          </cell>
          <cell r="AA141">
            <v>4</v>
          </cell>
          <cell r="AC141">
            <v>4</v>
          </cell>
          <cell r="AD141">
            <v>2</v>
          </cell>
          <cell r="AH141">
            <v>2</v>
          </cell>
          <cell r="AI141">
            <v>2</v>
          </cell>
          <cell r="AK141">
            <v>4</v>
          </cell>
          <cell r="AO141">
            <v>4</v>
          </cell>
          <cell r="AP141">
            <v>8</v>
          </cell>
          <cell r="AW141">
            <v>4</v>
          </cell>
          <cell r="AX141">
            <v>3</v>
          </cell>
          <cell r="BC141">
            <v>4</v>
          </cell>
          <cell r="BD141">
            <v>18</v>
          </cell>
          <cell r="BF141">
            <v>2</v>
          </cell>
          <cell r="BH141">
            <v>12</v>
          </cell>
          <cell r="BI141">
            <v>8</v>
          </cell>
          <cell r="BL141">
            <v>2</v>
          </cell>
          <cell r="BO141">
            <v>6</v>
          </cell>
          <cell r="BP141">
            <v>2</v>
          </cell>
          <cell r="BQ141">
            <v>6</v>
          </cell>
          <cell r="BR141">
            <v>4</v>
          </cell>
        </row>
        <row r="147">
          <cell r="BJ147">
            <v>4</v>
          </cell>
          <cell r="BK147">
            <v>4</v>
          </cell>
          <cell r="BN147">
            <v>6</v>
          </cell>
        </row>
        <row r="148">
          <cell r="J148">
            <v>2</v>
          </cell>
          <cell r="K148">
            <v>2</v>
          </cell>
          <cell r="BA148">
            <v>4</v>
          </cell>
        </row>
        <row r="150">
          <cell r="BQ150">
            <v>6</v>
          </cell>
        </row>
        <row r="161">
          <cell r="BX161">
            <v>12</v>
          </cell>
          <cell r="BY161">
            <v>13</v>
          </cell>
          <cell r="BZ161">
            <v>12</v>
          </cell>
          <cell r="CA161">
            <v>13</v>
          </cell>
          <cell r="CB161">
            <v>14</v>
          </cell>
          <cell r="CC161">
            <v>10</v>
          </cell>
          <cell r="CD161">
            <v>11</v>
          </cell>
          <cell r="CE161">
            <v>10</v>
          </cell>
          <cell r="CF161">
            <v>11</v>
          </cell>
          <cell r="CG161">
            <v>12</v>
          </cell>
        </row>
        <row r="163"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</row>
        <row r="164">
          <cell r="CB164">
            <v>1</v>
          </cell>
          <cell r="CG164">
            <v>1</v>
          </cell>
        </row>
        <row r="165"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</row>
        <row r="166">
          <cell r="BX166">
            <v>4</v>
          </cell>
          <cell r="BY166">
            <v>4</v>
          </cell>
          <cell r="BZ166">
            <v>4</v>
          </cell>
          <cell r="CA166">
            <v>4</v>
          </cell>
          <cell r="CB166">
            <v>4</v>
          </cell>
          <cell r="CC166">
            <v>4</v>
          </cell>
          <cell r="CD166">
            <v>4</v>
          </cell>
          <cell r="CE166">
            <v>4</v>
          </cell>
          <cell r="CF166">
            <v>4</v>
          </cell>
          <cell r="CG166">
            <v>4</v>
          </cell>
        </row>
        <row r="167">
          <cell r="BX167">
            <v>3</v>
          </cell>
          <cell r="BY167">
            <v>3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</row>
        <row r="168"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</row>
        <row r="169">
          <cell r="BX169">
            <v>2</v>
          </cell>
          <cell r="BY169">
            <v>2</v>
          </cell>
          <cell r="BZ169">
            <v>2</v>
          </cell>
          <cell r="CA169">
            <v>2</v>
          </cell>
          <cell r="CB169">
            <v>2</v>
          </cell>
          <cell r="CC169">
            <v>2</v>
          </cell>
          <cell r="CD169">
            <v>2</v>
          </cell>
          <cell r="CE169">
            <v>2</v>
          </cell>
          <cell r="CF169">
            <v>2</v>
          </cell>
          <cell r="CG169">
            <v>2</v>
          </cell>
        </row>
        <row r="170"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</row>
        <row r="171"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</row>
        <row r="177"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</row>
        <row r="178">
          <cell r="CM178">
            <v>1</v>
          </cell>
          <cell r="CN178">
            <v>1</v>
          </cell>
          <cell r="CO178">
            <v>1</v>
          </cell>
          <cell r="CP178">
            <v>1</v>
          </cell>
          <cell r="CQ178">
            <v>1</v>
          </cell>
          <cell r="CR178">
            <v>1</v>
          </cell>
        </row>
        <row r="179">
          <cell r="E179">
            <v>1</v>
          </cell>
          <cell r="F179">
            <v>2</v>
          </cell>
          <cell r="G179">
            <v>3</v>
          </cell>
          <cell r="H179">
            <v>1</v>
          </cell>
          <cell r="I179">
            <v>1</v>
          </cell>
          <cell r="J179">
            <v>4</v>
          </cell>
          <cell r="K179">
            <v>5</v>
          </cell>
          <cell r="L179">
            <v>1</v>
          </cell>
          <cell r="M179">
            <v>2</v>
          </cell>
          <cell r="N179">
            <v>3</v>
          </cell>
          <cell r="O179">
            <v>2</v>
          </cell>
          <cell r="P179">
            <v>4</v>
          </cell>
          <cell r="Q179">
            <v>6</v>
          </cell>
          <cell r="R179">
            <v>2</v>
          </cell>
          <cell r="S179">
            <v>2</v>
          </cell>
          <cell r="T179">
            <v>4</v>
          </cell>
          <cell r="U179">
            <v>2</v>
          </cell>
          <cell r="V179">
            <v>3</v>
          </cell>
          <cell r="W179">
            <v>1</v>
          </cell>
          <cell r="X179">
            <v>2</v>
          </cell>
          <cell r="Y179">
            <v>3</v>
          </cell>
          <cell r="Z179">
            <v>3</v>
          </cell>
          <cell r="AA179">
            <v>4</v>
          </cell>
          <cell r="AB179">
            <v>4</v>
          </cell>
          <cell r="AC179">
            <v>6</v>
          </cell>
          <cell r="AD179">
            <v>1</v>
          </cell>
          <cell r="AE179">
            <v>4</v>
          </cell>
          <cell r="AH179">
            <v>2</v>
          </cell>
          <cell r="AI179">
            <v>3</v>
          </cell>
          <cell r="AK179">
            <v>1</v>
          </cell>
          <cell r="AO179">
            <v>3</v>
          </cell>
          <cell r="AP179">
            <v>4</v>
          </cell>
          <cell r="AW179">
            <v>2</v>
          </cell>
          <cell r="AX179">
            <v>3</v>
          </cell>
          <cell r="BA179">
            <v>6</v>
          </cell>
          <cell r="BB179">
            <v>3</v>
          </cell>
          <cell r="BC179">
            <v>3</v>
          </cell>
          <cell r="BD179">
            <v>9</v>
          </cell>
          <cell r="BF179">
            <v>2</v>
          </cell>
          <cell r="BG179">
            <v>2</v>
          </cell>
          <cell r="BH179">
            <v>6</v>
          </cell>
          <cell r="BI179">
            <v>4</v>
          </cell>
          <cell r="BJ179">
            <v>2</v>
          </cell>
          <cell r="BK179">
            <v>2</v>
          </cell>
          <cell r="BL179">
            <v>2</v>
          </cell>
          <cell r="BN179">
            <v>3</v>
          </cell>
          <cell r="BO179">
            <v>2</v>
          </cell>
          <cell r="BP179">
            <v>4</v>
          </cell>
          <cell r="BQ179">
            <v>6</v>
          </cell>
          <cell r="BR179">
            <v>4</v>
          </cell>
        </row>
        <row r="180">
          <cell r="G180">
            <v>1</v>
          </cell>
          <cell r="J180">
            <v>1</v>
          </cell>
          <cell r="K180">
            <v>1</v>
          </cell>
          <cell r="M180">
            <v>1</v>
          </cell>
          <cell r="N180">
            <v>2</v>
          </cell>
          <cell r="O180">
            <v>1</v>
          </cell>
          <cell r="P180">
            <v>2</v>
          </cell>
          <cell r="Q180">
            <v>5</v>
          </cell>
          <cell r="R180">
            <v>1</v>
          </cell>
          <cell r="S180">
            <v>1</v>
          </cell>
          <cell r="T180">
            <v>2</v>
          </cell>
          <cell r="U180">
            <v>1</v>
          </cell>
          <cell r="V180">
            <v>1</v>
          </cell>
          <cell r="X180">
            <v>1</v>
          </cell>
          <cell r="Y180">
            <v>2</v>
          </cell>
          <cell r="Z180">
            <v>2</v>
          </cell>
          <cell r="AA180">
            <v>1</v>
          </cell>
          <cell r="AB180">
            <v>1</v>
          </cell>
          <cell r="AC180">
            <v>2</v>
          </cell>
          <cell r="AD180">
            <v>1</v>
          </cell>
          <cell r="AE180">
            <v>1</v>
          </cell>
          <cell r="AH180">
            <v>1</v>
          </cell>
          <cell r="AI180">
            <v>1</v>
          </cell>
          <cell r="AK180">
            <v>1</v>
          </cell>
          <cell r="AO180">
            <v>3</v>
          </cell>
          <cell r="AP180">
            <v>3</v>
          </cell>
          <cell r="BA180">
            <v>2</v>
          </cell>
          <cell r="BB180">
            <v>2</v>
          </cell>
          <cell r="BC180">
            <v>2</v>
          </cell>
          <cell r="BD180">
            <v>3</v>
          </cell>
          <cell r="BF180">
            <v>1</v>
          </cell>
          <cell r="BG180">
            <v>1</v>
          </cell>
          <cell r="BH180">
            <v>2</v>
          </cell>
          <cell r="BI180">
            <v>2</v>
          </cell>
          <cell r="BN180">
            <v>2</v>
          </cell>
          <cell r="BO180">
            <v>2</v>
          </cell>
          <cell r="BP180">
            <v>2</v>
          </cell>
          <cell r="BQ180">
            <v>5</v>
          </cell>
          <cell r="BR180">
            <v>4</v>
          </cell>
          <cell r="BX180">
            <v>1</v>
          </cell>
          <cell r="BY180">
            <v>1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</row>
        <row r="181"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</row>
        <row r="182">
          <cell r="F182">
            <v>6</v>
          </cell>
          <cell r="G182">
            <v>6</v>
          </cell>
          <cell r="J182">
            <v>6</v>
          </cell>
          <cell r="K182">
            <v>6</v>
          </cell>
          <cell r="S182">
            <v>6</v>
          </cell>
          <cell r="T182">
            <v>6</v>
          </cell>
          <cell r="U182">
            <v>6</v>
          </cell>
          <cell r="V182">
            <v>6</v>
          </cell>
          <cell r="Z182">
            <v>10</v>
          </cell>
          <cell r="AB182">
            <v>6</v>
          </cell>
          <cell r="AC182">
            <v>8</v>
          </cell>
          <cell r="AE182">
            <v>6</v>
          </cell>
          <cell r="AH182">
            <v>6</v>
          </cell>
          <cell r="AI182">
            <v>4</v>
          </cell>
          <cell r="AK182">
            <v>3</v>
          </cell>
          <cell r="AO182">
            <v>12</v>
          </cell>
          <cell r="AP182">
            <v>3</v>
          </cell>
          <cell r="AW182">
            <v>3</v>
          </cell>
          <cell r="BA182">
            <v>10</v>
          </cell>
          <cell r="BB182">
            <v>15</v>
          </cell>
          <cell r="BC182">
            <v>12</v>
          </cell>
          <cell r="BF182">
            <v>12</v>
          </cell>
          <cell r="BG182">
            <v>12</v>
          </cell>
          <cell r="BO182">
            <v>3</v>
          </cell>
          <cell r="BQ182">
            <v>12</v>
          </cell>
          <cell r="BR182">
            <v>9</v>
          </cell>
          <cell r="CM182">
            <v>68</v>
          </cell>
          <cell r="CO182">
            <v>68</v>
          </cell>
          <cell r="CQ182">
            <v>68</v>
          </cell>
          <cell r="CS182">
            <v>70</v>
          </cell>
          <cell r="CU182">
            <v>70</v>
          </cell>
          <cell r="CW182">
            <v>70</v>
          </cell>
        </row>
        <row r="183">
          <cell r="CM183">
            <v>1</v>
          </cell>
          <cell r="CO183">
            <v>1</v>
          </cell>
          <cell r="CQ183">
            <v>1</v>
          </cell>
          <cell r="CS183">
            <v>1</v>
          </cell>
          <cell r="CU183">
            <v>1</v>
          </cell>
          <cell r="CW183">
            <v>1</v>
          </cell>
        </row>
        <row r="184">
          <cell r="CM184">
            <v>1</v>
          </cell>
          <cell r="CN184">
            <v>1</v>
          </cell>
          <cell r="CO184">
            <v>1</v>
          </cell>
          <cell r="CP184">
            <v>1</v>
          </cell>
          <cell r="CQ184">
            <v>1</v>
          </cell>
          <cell r="CR184">
            <v>1</v>
          </cell>
        </row>
        <row r="187">
          <cell r="AK187">
            <v>1</v>
          </cell>
          <cell r="AO187">
            <v>3</v>
          </cell>
          <cell r="BN187">
            <v>2</v>
          </cell>
          <cell r="BO187">
            <v>1</v>
          </cell>
          <cell r="BP187">
            <v>2</v>
          </cell>
          <cell r="BQ187">
            <v>3</v>
          </cell>
          <cell r="BR187">
            <v>2</v>
          </cell>
        </row>
        <row r="188">
          <cell r="AK188">
            <v>1</v>
          </cell>
          <cell r="AO188">
            <v>3</v>
          </cell>
          <cell r="BN188">
            <v>2</v>
          </cell>
          <cell r="BO188">
            <v>1</v>
          </cell>
          <cell r="BP188">
            <v>2</v>
          </cell>
          <cell r="BQ188">
            <v>3</v>
          </cell>
          <cell r="BR188">
            <v>2</v>
          </cell>
        </row>
        <row r="189">
          <cell r="AK189">
            <v>1</v>
          </cell>
          <cell r="AO189">
            <v>3</v>
          </cell>
          <cell r="BN189">
            <v>2</v>
          </cell>
          <cell r="BO189">
            <v>1</v>
          </cell>
          <cell r="BP189">
            <v>2</v>
          </cell>
          <cell r="BQ189">
            <v>3</v>
          </cell>
          <cell r="BR189">
            <v>2</v>
          </cell>
        </row>
        <row r="190">
          <cell r="AK190">
            <v>1</v>
          </cell>
          <cell r="AO190">
            <v>3</v>
          </cell>
          <cell r="BN190">
            <v>2</v>
          </cell>
          <cell r="BO190">
            <v>1</v>
          </cell>
          <cell r="BP190">
            <v>2</v>
          </cell>
          <cell r="BQ190">
            <v>3</v>
          </cell>
          <cell r="BR190">
            <v>2</v>
          </cell>
        </row>
        <row r="191">
          <cell r="AK191">
            <v>1</v>
          </cell>
          <cell r="AO191">
            <v>3</v>
          </cell>
          <cell r="BN191">
            <v>2</v>
          </cell>
          <cell r="BO191">
            <v>1</v>
          </cell>
          <cell r="BP191">
            <v>2</v>
          </cell>
          <cell r="BQ191">
            <v>3</v>
          </cell>
          <cell r="BR191">
            <v>2</v>
          </cell>
        </row>
        <row r="192">
          <cell r="AK192">
            <v>1</v>
          </cell>
          <cell r="AO192">
            <v>3</v>
          </cell>
          <cell r="BN192">
            <v>2</v>
          </cell>
          <cell r="BO192">
            <v>1</v>
          </cell>
          <cell r="BP192">
            <v>2</v>
          </cell>
          <cell r="BQ192">
            <v>3</v>
          </cell>
          <cell r="BR192">
            <v>2</v>
          </cell>
        </row>
        <row r="193">
          <cell r="AK193">
            <v>1</v>
          </cell>
          <cell r="AO193">
            <v>3</v>
          </cell>
          <cell r="BN193">
            <v>2</v>
          </cell>
          <cell r="BO193">
            <v>1</v>
          </cell>
          <cell r="BP193">
            <v>2</v>
          </cell>
          <cell r="BQ193">
            <v>3</v>
          </cell>
          <cell r="BR193">
            <v>2</v>
          </cell>
        </row>
        <row r="194">
          <cell r="AK194">
            <v>1</v>
          </cell>
          <cell r="AO194">
            <v>3</v>
          </cell>
          <cell r="BN194">
            <v>2</v>
          </cell>
          <cell r="BO194">
            <v>1</v>
          </cell>
          <cell r="BP194">
            <v>2</v>
          </cell>
          <cell r="BQ194">
            <v>3</v>
          </cell>
          <cell r="BR194">
            <v>2</v>
          </cell>
        </row>
        <row r="195">
          <cell r="AK195">
            <v>1</v>
          </cell>
          <cell r="AO195">
            <v>3</v>
          </cell>
          <cell r="BN195">
            <v>2</v>
          </cell>
          <cell r="BO195">
            <v>1</v>
          </cell>
          <cell r="BP195">
            <v>2</v>
          </cell>
          <cell r="BQ195">
            <v>3</v>
          </cell>
          <cell r="BR195">
            <v>2</v>
          </cell>
        </row>
        <row r="196">
          <cell r="AK196">
            <v>1</v>
          </cell>
          <cell r="AO196">
            <v>3</v>
          </cell>
          <cell r="BN196">
            <v>2</v>
          </cell>
          <cell r="BO196">
            <v>1</v>
          </cell>
          <cell r="BP196">
            <v>2</v>
          </cell>
          <cell r="BQ196">
            <v>3</v>
          </cell>
          <cell r="BR196">
            <v>2</v>
          </cell>
        </row>
        <row r="197">
          <cell r="AK197">
            <v>1</v>
          </cell>
          <cell r="AO197">
            <v>3</v>
          </cell>
          <cell r="BN197">
            <v>2</v>
          </cell>
          <cell r="BO197">
            <v>1</v>
          </cell>
          <cell r="BP197">
            <v>2</v>
          </cell>
          <cell r="BQ197">
            <v>3</v>
          </cell>
          <cell r="BR197">
            <v>2</v>
          </cell>
        </row>
        <row r="198">
          <cell r="AK198">
            <v>1</v>
          </cell>
          <cell r="AO198">
            <v>3</v>
          </cell>
          <cell r="BN198">
            <v>2</v>
          </cell>
          <cell r="BO198">
            <v>1</v>
          </cell>
          <cell r="BP198">
            <v>2</v>
          </cell>
          <cell r="BQ198">
            <v>3</v>
          </cell>
          <cell r="BR198">
            <v>2</v>
          </cell>
        </row>
        <row r="199">
          <cell r="AK199">
            <v>1</v>
          </cell>
          <cell r="AO199">
            <v>3</v>
          </cell>
          <cell r="BN199">
            <v>2</v>
          </cell>
          <cell r="BO199">
            <v>1</v>
          </cell>
          <cell r="BP199">
            <v>2</v>
          </cell>
          <cell r="BQ199">
            <v>3</v>
          </cell>
          <cell r="BR199">
            <v>2</v>
          </cell>
        </row>
        <row r="200">
          <cell r="AK200">
            <v>1</v>
          </cell>
          <cell r="AO200">
            <v>3</v>
          </cell>
          <cell r="BN200">
            <v>2</v>
          </cell>
          <cell r="BO200">
            <v>1</v>
          </cell>
          <cell r="BP200">
            <v>2</v>
          </cell>
          <cell r="BQ200">
            <v>3</v>
          </cell>
          <cell r="BR200">
            <v>2</v>
          </cell>
        </row>
        <row r="201">
          <cell r="AK201">
            <v>1</v>
          </cell>
          <cell r="AO201">
            <v>3</v>
          </cell>
          <cell r="BN201">
            <v>2</v>
          </cell>
          <cell r="BO201">
            <v>1</v>
          </cell>
          <cell r="BP201">
            <v>2</v>
          </cell>
          <cell r="BQ201">
            <v>3</v>
          </cell>
          <cell r="BR201">
            <v>2</v>
          </cell>
        </row>
        <row r="202">
          <cell r="AK202">
            <v>1</v>
          </cell>
          <cell r="AO202">
            <v>3</v>
          </cell>
          <cell r="BN202">
            <v>2</v>
          </cell>
          <cell r="BO202">
            <v>1</v>
          </cell>
          <cell r="BP202">
            <v>2</v>
          </cell>
          <cell r="BQ202">
            <v>3</v>
          </cell>
          <cell r="BR202">
            <v>2</v>
          </cell>
        </row>
        <row r="203">
          <cell r="AK203">
            <v>1</v>
          </cell>
          <cell r="AO203">
            <v>3</v>
          </cell>
          <cell r="BN203">
            <v>2</v>
          </cell>
          <cell r="BO203">
            <v>1</v>
          </cell>
          <cell r="BP203">
            <v>2</v>
          </cell>
          <cell r="BQ203">
            <v>3</v>
          </cell>
          <cell r="BR203">
            <v>2</v>
          </cell>
        </row>
        <row r="206">
          <cell r="AK206">
            <v>1</v>
          </cell>
          <cell r="AO206">
            <v>3</v>
          </cell>
          <cell r="BN206">
            <v>2</v>
          </cell>
          <cell r="BO206">
            <v>1</v>
          </cell>
          <cell r="BP206">
            <v>2</v>
          </cell>
          <cell r="BQ206">
            <v>3</v>
          </cell>
          <cell r="BR206">
            <v>2</v>
          </cell>
        </row>
        <row r="207">
          <cell r="AK207">
            <v>1</v>
          </cell>
          <cell r="AO207">
            <v>3</v>
          </cell>
          <cell r="BN207">
            <v>2</v>
          </cell>
          <cell r="BO207">
            <v>1</v>
          </cell>
          <cell r="BP207">
            <v>2</v>
          </cell>
          <cell r="BQ207">
            <v>3</v>
          </cell>
          <cell r="BR207">
            <v>2</v>
          </cell>
        </row>
        <row r="208">
          <cell r="AK208">
            <v>1</v>
          </cell>
          <cell r="AO208">
            <v>3</v>
          </cell>
          <cell r="BN208">
            <v>2</v>
          </cell>
          <cell r="BO208">
            <v>1</v>
          </cell>
          <cell r="BP208">
            <v>2</v>
          </cell>
          <cell r="BQ208">
            <v>3</v>
          </cell>
          <cell r="BR208">
            <v>2</v>
          </cell>
        </row>
        <row r="209">
          <cell r="AK209">
            <v>1</v>
          </cell>
          <cell r="AO209">
            <v>3</v>
          </cell>
          <cell r="BN209">
            <v>2</v>
          </cell>
          <cell r="BO209">
            <v>1</v>
          </cell>
          <cell r="BP209">
            <v>2</v>
          </cell>
          <cell r="BQ209">
            <v>3</v>
          </cell>
          <cell r="BR209">
            <v>2</v>
          </cell>
        </row>
        <row r="210">
          <cell r="BR210">
            <v>1</v>
          </cell>
        </row>
        <row r="212">
          <cell r="AK212">
            <v>2</v>
          </cell>
          <cell r="AO212">
            <v>6</v>
          </cell>
          <cell r="BO212">
            <v>2</v>
          </cell>
          <cell r="BP212">
            <v>4</v>
          </cell>
          <cell r="BQ212">
            <v>6</v>
          </cell>
          <cell r="BR212">
            <v>4</v>
          </cell>
        </row>
        <row r="213">
          <cell r="AK213">
            <v>2</v>
          </cell>
          <cell r="AO213">
            <v>6</v>
          </cell>
          <cell r="BO213">
            <v>2</v>
          </cell>
          <cell r="BP213">
            <v>4</v>
          </cell>
          <cell r="BQ213">
            <v>6</v>
          </cell>
          <cell r="BR213">
            <v>4</v>
          </cell>
        </row>
        <row r="214">
          <cell r="AK214">
            <v>2</v>
          </cell>
          <cell r="AO214">
            <v>6</v>
          </cell>
          <cell r="BO214">
            <v>2</v>
          </cell>
          <cell r="BP214">
            <v>4</v>
          </cell>
          <cell r="BQ214">
            <v>6</v>
          </cell>
          <cell r="BR214">
            <v>4</v>
          </cell>
        </row>
        <row r="215">
          <cell r="AK215">
            <v>4</v>
          </cell>
          <cell r="AO215">
            <v>12</v>
          </cell>
          <cell r="BN215">
            <v>8</v>
          </cell>
          <cell r="BO215">
            <v>4</v>
          </cell>
          <cell r="BP215">
            <v>8</v>
          </cell>
          <cell r="BQ215">
            <v>12</v>
          </cell>
          <cell r="BR215">
            <v>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>Jefe de Estudio</v>
          </cell>
          <cell r="C7" t="str">
            <v>h-h</v>
          </cell>
          <cell r="D7">
            <v>37.619999999999997</v>
          </cell>
        </row>
        <row r="8">
          <cell r="B8" t="str">
            <v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>Asistente de Ingeniería</v>
          </cell>
          <cell r="C13" t="str">
            <v>h-h</v>
          </cell>
          <cell r="D13">
            <v>26.22</v>
          </cell>
        </row>
        <row r="14">
          <cell r="B14" t="str">
            <v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>Ingeniero Residente de la Obra</v>
          </cell>
          <cell r="C19" t="str">
            <v>h-h</v>
          </cell>
          <cell r="D19">
            <v>40.42</v>
          </cell>
        </row>
        <row r="20">
          <cell r="B20" t="str">
            <v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>Asistente de Arqueología</v>
          </cell>
          <cell r="C24" t="str">
            <v>h-h</v>
          </cell>
          <cell r="D24">
            <v>26.22</v>
          </cell>
        </row>
        <row r="25">
          <cell r="B25" t="str">
            <v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>Asistente de Administrador</v>
          </cell>
          <cell r="C28" t="str">
            <v>h-h</v>
          </cell>
          <cell r="D28">
            <v>22.94</v>
          </cell>
        </row>
        <row r="29">
          <cell r="B29" t="str">
            <v>Técnico Electricista</v>
          </cell>
          <cell r="C29" t="str">
            <v>h-h</v>
          </cell>
          <cell r="D29">
            <v>16.7</v>
          </cell>
        </row>
        <row r="30">
          <cell r="B30" t="str">
            <v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>Técnico Mecánico</v>
          </cell>
          <cell r="C31" t="str">
            <v>h-h</v>
          </cell>
          <cell r="D31">
            <v>16.7</v>
          </cell>
        </row>
        <row r="32">
          <cell r="B32" t="str">
            <v>Técnico Geólogo</v>
          </cell>
          <cell r="C32" t="str">
            <v>h-h</v>
          </cell>
          <cell r="D32">
            <v>18.760000000000002</v>
          </cell>
        </row>
        <row r="33">
          <cell r="B33" t="str">
            <v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>Alambre Negro Nacional Nº 16</v>
          </cell>
          <cell r="C59" t="str">
            <v>kg</v>
          </cell>
          <cell r="D59">
            <v>5.12</v>
          </cell>
        </row>
        <row r="60">
          <cell r="B60" t="str">
            <v>Alambre Negro Nacional Nº 8</v>
          </cell>
          <cell r="C60" t="str">
            <v>kg</v>
          </cell>
          <cell r="D60">
            <v>5.12</v>
          </cell>
        </row>
        <row r="61">
          <cell r="B61" t="str">
            <v>Alquiler de casa</v>
          </cell>
          <cell r="C61" t="str">
            <v>glb.</v>
          </cell>
          <cell r="D61">
            <v>250</v>
          </cell>
        </row>
        <row r="62">
          <cell r="B62" t="str">
            <v>Alquiler de terreno</v>
          </cell>
          <cell r="C62" t="str">
            <v>glb.</v>
          </cell>
          <cell r="D62">
            <v>500</v>
          </cell>
        </row>
        <row r="63">
          <cell r="B63" t="str">
            <v>Arena Fina</v>
          </cell>
          <cell r="C63" t="str">
            <v>m3</v>
          </cell>
          <cell r="D63">
            <v>42.86</v>
          </cell>
        </row>
        <row r="64">
          <cell r="B64" t="str">
            <v>Arena Gruesa</v>
          </cell>
          <cell r="C64" t="str">
            <v>m3</v>
          </cell>
          <cell r="D64">
            <v>45.5</v>
          </cell>
        </row>
        <row r="65">
          <cell r="B65" t="str">
            <v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>Madera tornillo cepillado</v>
          </cell>
          <cell r="C78" t="str">
            <v>p2</v>
          </cell>
          <cell r="D78">
            <v>5.67</v>
          </cell>
        </row>
        <row r="79">
          <cell r="B79" t="str">
            <v>Piedra Chancada de 1/2"</v>
          </cell>
          <cell r="C79" t="str">
            <v>m3</v>
          </cell>
          <cell r="D79">
            <v>60.47</v>
          </cell>
        </row>
        <row r="80">
          <cell r="B80" t="str">
            <v>Piedra Chancada de 1/4"</v>
          </cell>
          <cell r="C80" t="str">
            <v>m3</v>
          </cell>
          <cell r="D80">
            <v>38.29</v>
          </cell>
        </row>
        <row r="81">
          <cell r="B81" t="str">
            <v>Piedra Chancada de 3/4"</v>
          </cell>
          <cell r="C81" t="str">
            <v>m3</v>
          </cell>
          <cell r="D81">
            <v>52.06</v>
          </cell>
        </row>
        <row r="82">
          <cell r="B82" t="str">
            <v>Piedra Grande</v>
          </cell>
          <cell r="C82" t="str">
            <v>m³</v>
          </cell>
          <cell r="D82">
            <v>31.5</v>
          </cell>
        </row>
        <row r="83">
          <cell r="B83" t="str">
            <v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>Soga de manila</v>
          </cell>
          <cell r="C87" t="str">
            <v>kg</v>
          </cell>
          <cell r="D87">
            <v>17.59</v>
          </cell>
        </row>
        <row r="88">
          <cell r="B88" t="str">
            <v>Soga de nylon</v>
          </cell>
          <cell r="C88" t="str">
            <v>kg</v>
          </cell>
          <cell r="D88">
            <v>40.99</v>
          </cell>
        </row>
        <row r="89">
          <cell r="B89" t="str">
            <v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>Triplay de 10mm espesor pl</v>
          </cell>
          <cell r="C91" t="str">
            <v>pl</v>
          </cell>
          <cell r="D91">
            <v>45</v>
          </cell>
        </row>
        <row r="92">
          <cell r="B92" t="str">
            <v>Triplay Lupuna 4' x 8' x 9 mm</v>
          </cell>
          <cell r="C92" t="str">
            <v>pl</v>
          </cell>
          <cell r="D92">
            <v>44.15</v>
          </cell>
        </row>
        <row r="94">
          <cell r="B94" t="str">
            <v>EQUIPOS Y HERRAMIENTAS</v>
          </cell>
        </row>
        <row r="95">
          <cell r="B95" t="str">
            <v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>Freno hidráulico 3 Tn.</v>
          </cell>
          <cell r="C104" t="str">
            <v>h-m</v>
          </cell>
          <cell r="D104">
            <v>25.37</v>
          </cell>
        </row>
        <row r="105">
          <cell r="B105" t="str">
            <v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>Camión 9 Tn</v>
          </cell>
          <cell r="C116" t="str">
            <v>h-m</v>
          </cell>
          <cell r="D116">
            <v>136.94999999999999</v>
          </cell>
        </row>
        <row r="117">
          <cell r="B117" t="str">
            <v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>Camión Grúa de 5 Tn</v>
          </cell>
          <cell r="C118" t="str">
            <v>h-m</v>
          </cell>
          <cell r="D118">
            <v>124.26</v>
          </cell>
        </row>
        <row r="119">
          <cell r="B119" t="str">
            <v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>Grúa 127HP 18Tn-9 MT</v>
          </cell>
          <cell r="C131" t="str">
            <v>h-m</v>
          </cell>
          <cell r="D131">
            <v>124.26</v>
          </cell>
        </row>
        <row r="132">
          <cell r="B132" t="str">
            <v>Grúa 20 Tn</v>
          </cell>
          <cell r="C132" t="str">
            <v>h-m</v>
          </cell>
          <cell r="D132">
            <v>124.26</v>
          </cell>
        </row>
        <row r="133">
          <cell r="B133" t="str">
            <v>Grúa 5 Tn</v>
          </cell>
          <cell r="C133" t="str">
            <v>h-m</v>
          </cell>
          <cell r="D133">
            <v>124.26</v>
          </cell>
        </row>
        <row r="134">
          <cell r="B134" t="str">
            <v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>Motobomba 10 HP 4"</v>
          </cell>
          <cell r="C138" t="str">
            <v>h-m</v>
          </cell>
          <cell r="D138">
            <v>5.99</v>
          </cell>
        </row>
        <row r="139">
          <cell r="B139" t="str">
            <v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 refreshError="1">
        <row r="46"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1"/>
      <sheetName val="Sum_LT"/>
      <sheetName val="Sum_POM"/>
      <sheetName val="Sum_LP"/>
      <sheetName val="Sum_HUARI"/>
      <sheetName val="Aux__Disgregados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TR"/>
      <sheetName val="BTR"/>
      <sheetName val="BD_LP"/>
      <sheetName val="P_0"/>
      <sheetName val="M_0"/>
      <sheetName val="Heaths"/>
    </sheetNames>
    <sheetDataSet>
      <sheetData sheetId="0">
        <row r="2">
          <cell r="F2">
            <v>1.0349999999999999</v>
          </cell>
        </row>
        <row r="3">
          <cell r="F3">
            <v>1.5</v>
          </cell>
        </row>
      </sheetData>
      <sheetData sheetId="1" refreshError="1"/>
      <sheetData sheetId="2">
        <row r="16">
          <cell r="C16" t="str">
            <v>SUMINISTRO DE MATERIALES</v>
          </cell>
        </row>
      </sheetData>
      <sheetData sheetId="3">
        <row r="1">
          <cell r="E1" t="str">
            <v>E18MAD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3">
          <cell r="G53">
            <v>0</v>
          </cell>
        </row>
      </sheetData>
      <sheetData sheetId="16">
        <row r="1">
          <cell r="BU1" t="str">
            <v>NO</v>
          </cell>
        </row>
      </sheetData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>TRANSFORMADOR ZIG-ZAG 10kV</v>
          </cell>
        </row>
        <row r="7">
          <cell r="A7" t="str">
            <v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>Línea de distribución a 15 kV (Valor instalado)</v>
          </cell>
        </row>
        <row r="9">
          <cell r="A9" t="str">
            <v>Bahía reactor 220 kV, 20 MVAR</v>
          </cell>
        </row>
        <row r="10">
          <cell r="A10" t="str">
            <v>Planta diesel 150 kW</v>
          </cell>
        </row>
        <row r="11">
          <cell r="A11" t="str">
            <v>Transformador trifásico 15/0.380-0.220 kV, 300 kVA</v>
          </cell>
        </row>
        <row r="12">
          <cell r="A12" t="str">
            <v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>Interruptor automático 245 kV de apertura tripolar</v>
          </cell>
        </row>
        <row r="15">
          <cell r="A15" t="str">
            <v>Seccionador tripolar tipo pantógrafo/semipantógrafo 245/460/1050 kV. Accionamiento monopolar.</v>
          </cell>
        </row>
        <row r="16">
          <cell r="A16" t="str">
            <v>Seccionador tripolar de rotación central en 245 kV</v>
          </cell>
        </row>
        <row r="17">
          <cell r="A17" t="str">
            <v>Seccionador tripolar de apertura central en 245 kV</v>
          </cell>
        </row>
        <row r="18">
          <cell r="A18" t="str">
            <v>Seccionador tripolar con cuchilla de puesta a tierra de rotación central 245 kV</v>
          </cell>
        </row>
        <row r="19">
          <cell r="A19" t="str">
            <v>Seccionador tripolar con cuchilla de puesta a tierra de apertura central 245 kV</v>
          </cell>
        </row>
        <row r="20">
          <cell r="A20" t="str">
            <v>Transformador de corriente 245 kV</v>
          </cell>
        </row>
        <row r="21">
          <cell r="A21" t="str">
            <v>Transformador de tensión en 245 kV</v>
          </cell>
        </row>
        <row r="22">
          <cell r="A22" t="str">
            <v>Pararrayos para sistema 245 kV</v>
          </cell>
        </row>
        <row r="23">
          <cell r="A23" t="str">
            <v>Material de conexión 245 kV, conectores</v>
          </cell>
        </row>
        <row r="24">
          <cell r="A24" t="str">
            <v>Material de conexión 245 kV, conductor</v>
          </cell>
        </row>
        <row r="25">
          <cell r="A25" t="str">
            <v>Cadena de aisladores 245 kV</v>
          </cell>
        </row>
        <row r="26">
          <cell r="A26" t="str">
            <v>Aisladores tipo poste de porcelana 245 kV</v>
          </cell>
        </row>
        <row r="27">
          <cell r="A27" t="str">
            <v>Trampa de onda 245 kV</v>
          </cell>
        </row>
        <row r="28">
          <cell r="A28" t="str">
            <v>Material de conexión 245 kV, barraje rígido</v>
          </cell>
        </row>
        <row r="29">
          <cell r="A29" t="str">
            <v>Equipo PLP</v>
          </cell>
        </row>
        <row r="30">
          <cell r="A30" t="str">
            <v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>Seccionador de apertura central 138 kV</v>
          </cell>
        </row>
        <row r="34">
          <cell r="A34" t="str">
            <v>Transformador de corriente 138 kV</v>
          </cell>
        </row>
        <row r="35">
          <cell r="A35" t="str">
            <v>Transformador de tensión 138 kV</v>
          </cell>
        </row>
        <row r="36">
          <cell r="A36" t="str">
            <v>Pararrayos para sistema 138 kV</v>
          </cell>
        </row>
        <row r="37">
          <cell r="A37" t="str">
            <v>Material de conexión 138 kV Conectores</v>
          </cell>
        </row>
        <row r="38">
          <cell r="A38" t="str">
            <v>Material de conexión 138 kV, conductor</v>
          </cell>
        </row>
        <row r="39">
          <cell r="A39" t="str">
            <v>Cadena de aisladores 138 kV</v>
          </cell>
        </row>
        <row r="40">
          <cell r="A40" t="str">
            <v>Aisladores tipo poste 138 kV</v>
          </cell>
        </row>
        <row r="41">
          <cell r="A41" t="str">
            <v>EQUIPAMIENTO EN 72,5 KV</v>
          </cell>
        </row>
        <row r="42">
          <cell r="A42" t="str">
            <v>Interruptor automático 72,5 kV</v>
          </cell>
        </row>
        <row r="43">
          <cell r="A43" t="str">
            <v>Seccionador de barras apertura central en 72,5 kV montaje horizontal</v>
          </cell>
        </row>
        <row r="44">
          <cell r="A44" t="str">
            <v>Seccionador con cuchilla de puesta a tierra de apertura central 72,5 kV</v>
          </cell>
        </row>
        <row r="45">
          <cell r="A45" t="str">
            <v>Transformador de corriente (4 núcleos) 72,5 kV</v>
          </cell>
        </row>
        <row r="46">
          <cell r="A46" t="str">
            <v>Transformador de tensión 72,5 kV</v>
          </cell>
        </row>
        <row r="47">
          <cell r="A47" t="str">
            <v>Pararrayos para sistema 72,5 kV</v>
          </cell>
        </row>
        <row r="49">
          <cell r="A49" t="str">
            <v>SISTEMA DE BARRAS 72,5 kV</v>
          </cell>
        </row>
        <row r="50">
          <cell r="A50" t="str">
            <v>Material de conexión 72,5 kV Conectores</v>
          </cell>
        </row>
        <row r="51">
          <cell r="A51" t="str">
            <v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>EQUIPOS EN 34,5 kV</v>
          </cell>
        </row>
        <row r="54">
          <cell r="A54" t="str">
            <v>Interruptor automático 34,5 kV</v>
          </cell>
        </row>
        <row r="55">
          <cell r="A55" t="str">
            <v>Seccionador de apertura central 34,5 kV</v>
          </cell>
        </row>
        <row r="56">
          <cell r="A56" t="str">
            <v>Seccionador con cuchilla de puesta a tierra de apertura central 34,5 kV</v>
          </cell>
        </row>
        <row r="57">
          <cell r="A57" t="str">
            <v>Transformador de corriente (4 núcleos) 34,5 kV</v>
          </cell>
        </row>
        <row r="58">
          <cell r="A58" t="str">
            <v>Transformador de tensión 34,5 kV</v>
          </cell>
        </row>
        <row r="59">
          <cell r="A59" t="str">
            <v>Pararrayos para sistema 34,5 kV</v>
          </cell>
        </row>
        <row r="60">
          <cell r="A60" t="str">
            <v>Material de conexión 34,5 kV Conectores</v>
          </cell>
        </row>
        <row r="61">
          <cell r="A61" t="str">
            <v>Material de conexión 34,5 kV, conductor</v>
          </cell>
        </row>
        <row r="62">
          <cell r="A62" t="str">
            <v>Cadena de aisladores 34,5 kV</v>
          </cell>
        </row>
        <row r="63">
          <cell r="A63" t="str">
            <v>Sistema de protección y registro celda de línea 34,5 kV</v>
          </cell>
        </row>
        <row r="64">
          <cell r="A64" t="str">
            <v>EQUIPOS EN 24 kV</v>
          </cell>
        </row>
        <row r="65">
          <cell r="A65" t="str">
            <v>Reconectador 24 kV</v>
          </cell>
        </row>
        <row r="66">
          <cell r="A66" t="str">
            <v>Seccionador 24 kV</v>
          </cell>
        </row>
        <row r="67">
          <cell r="A67" t="str">
            <v>Transformador de corriente (4 núcleos) 24 kV</v>
          </cell>
        </row>
        <row r="68">
          <cell r="A68" t="str">
            <v>Transformador de tensión 24 kV</v>
          </cell>
        </row>
        <row r="69">
          <cell r="A69" t="str">
            <v>Pararrayos para sistema 24 kV</v>
          </cell>
        </row>
        <row r="70">
          <cell r="A70" t="str">
            <v>Material de conexión 24 kV Conectores</v>
          </cell>
        </row>
        <row r="71">
          <cell r="A71" t="str">
            <v>Material de conexión 24 kV, conductor</v>
          </cell>
        </row>
        <row r="72">
          <cell r="A72" t="str">
            <v>Aisladores tipo poste 24 kV</v>
          </cell>
        </row>
        <row r="73">
          <cell r="A73" t="str">
            <v>Cadena de aisladores 24 kV</v>
          </cell>
        </row>
        <row r="74">
          <cell r="A74" t="str">
            <v>EQUIPOS EN 12 kV</v>
          </cell>
        </row>
        <row r="75">
          <cell r="A75" t="str">
            <v>Pararrayos para sistema 12 kV</v>
          </cell>
        </row>
        <row r="76">
          <cell r="A76" t="str">
            <v>Celda de llegada 12 kV Transformador (incluye interruptor, TC´s, PT´s, pararrayos seccionador a tierra y terminal de cables)</v>
          </cell>
        </row>
        <row r="77">
          <cell r="A77" t="str">
            <v>Celda metal clad 12 kV (incluye interruptor 1250 A extraible y 3 ct´s)</v>
          </cell>
        </row>
        <row r="78">
          <cell r="A78" t="str">
            <v>Celda metal clad 12 kV (incluye interruptor 630 A extraible, 3 pararrayos, cuchilla de puesta a tierra tripolar y 3 ct´s)</v>
          </cell>
        </row>
        <row r="79">
          <cell r="A79" t="str">
            <v>Celda metal clad 12,5 kV (incluye seccionador bajo carga y 3 descargadores)</v>
          </cell>
        </row>
        <row r="80">
          <cell r="A80" t="str">
            <v>Celda de acople 12 kV (incluye sistema de barras, accesorios y transformadores de tensión)</v>
          </cell>
        </row>
        <row r="81">
          <cell r="A81" t="str">
            <v>Cable de Energía en Media Tensión XLPE 1 x 500 mm2 N2XSY-12/20 kV</v>
          </cell>
        </row>
        <row r="82">
          <cell r="A82" t="str">
            <v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>Transformador de corriente (2 núcleos) 12,5 kV kV</v>
          </cell>
        </row>
        <row r="85">
          <cell r="A85" t="str">
            <v>SISTEMA DE CONTROL Y PROTECCION</v>
          </cell>
        </row>
        <row r="86">
          <cell r="A86" t="str">
            <v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>Sistema de control SAS de nivel 1 para celdas de transformacion (un controlador para cada nivel de tension)</v>
          </cell>
        </row>
        <row r="89">
          <cell r="A89" t="str">
            <v>Sistema de control SAS de nivel 1 para  celdas de linea 245 kV</v>
          </cell>
        </row>
        <row r="90">
          <cell r="A90" t="str">
            <v>Sistema de control SAS de nivel 1 para celdas de linea 138 kV</v>
          </cell>
        </row>
        <row r="91">
          <cell r="A91" t="str">
            <v>Sistema de control SAS de nivel 1 para celda de acople 138 kV</v>
          </cell>
        </row>
        <row r="92">
          <cell r="A92" t="str">
            <v>Sistema de control SAS de nivel 1 para celda de linea  72,5 kV</v>
          </cell>
        </row>
        <row r="93">
          <cell r="A93" t="str">
            <v>Sistema de control SAS de nivel 1 para celdas de linea 34,5 kV</v>
          </cell>
        </row>
        <row r="94">
          <cell r="A94" t="str">
            <v>Sistema de control SAS de nivel 1 para celdas de linea 12,5 kV</v>
          </cell>
        </row>
        <row r="95">
          <cell r="A95" t="str">
            <v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>Software e ingeniería de Nivel 2 del SAS</v>
          </cell>
        </row>
        <row r="98">
          <cell r="A98" t="str">
            <v>Nivel 2 y Nivel 3 del SAS</v>
          </cell>
        </row>
        <row r="99">
          <cell r="A99" t="str">
            <v>Sistema de protección diferencial de barras dos zonas 245 kV (14 celdas)</v>
          </cell>
        </row>
        <row r="100">
          <cell r="A100" t="str">
            <v>Sistema de protección diferencial de barras dos zonas 72,5 kV (16 celdas)</v>
          </cell>
        </row>
        <row r="101">
          <cell r="A101" t="str">
            <v>Sistema de protección celda de acople y diferencial de barras 138 kV</v>
          </cell>
        </row>
        <row r="102">
          <cell r="A102" t="str">
            <v>Sistema de protección y registro celda de reactor</v>
          </cell>
        </row>
        <row r="103">
          <cell r="A103" t="str">
            <v>Sistema de protección y registro celda de línea 245 kV</v>
          </cell>
        </row>
        <row r="104">
          <cell r="A104" t="str">
            <v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>Sistema de gestión de los relés de protección y registro de fallas</v>
          </cell>
        </row>
        <row r="109">
          <cell r="A109" t="str">
            <v>Integracion al sistema de protección diferencial de barras</v>
          </cell>
        </row>
        <row r="110">
          <cell r="A110" t="str">
            <v>Sistema de Medida celda de transformador 245 kV</v>
          </cell>
        </row>
        <row r="111">
          <cell r="A111" t="str">
            <v>Sistema de Medida celda de transformador 138 kV</v>
          </cell>
        </row>
        <row r="112">
          <cell r="A112" t="str">
            <v>Sistema de Medida celda de transformador 34,5 kV</v>
          </cell>
        </row>
        <row r="113">
          <cell r="A113" t="str">
            <v>Sistema de Medida celda de transformador 24 kV</v>
          </cell>
        </row>
        <row r="114">
          <cell r="A114" t="str">
            <v>Sistema de Medida celda de transformador 12 kV</v>
          </cell>
        </row>
        <row r="115">
          <cell r="A115" t="str">
            <v>Sistema de Medida celda de línea 72,5 kV</v>
          </cell>
        </row>
        <row r="118">
          <cell r="A118" t="str">
            <v>Gabinetes de agrupamiento celda transformador</v>
          </cell>
        </row>
        <row r="119">
          <cell r="A119" t="str">
            <v>Red de medición de energia</v>
          </cell>
        </row>
        <row r="120">
          <cell r="A120" t="str">
            <v>SISTEMA DE SERVICIOS AUXILIARES</v>
          </cell>
        </row>
        <row r="121">
          <cell r="A121" t="str">
            <v>Sistema de servicios auxiliares para los nuevos celdas, incluye integracion a los servicios auxiliares existentes y gabinetes de distribucion de AC y CC</v>
          </cell>
        </row>
        <row r="122">
          <cell r="A122" t="str">
            <v>Tablero de distribución para servicios auxiliares 380-245 Vca / 125 Vcc.  Incluye dos MCB generales (01 en ca y 01 en cc), 12 salidas en CA y 12 salidas en CC.</v>
          </cell>
        </row>
        <row r="123">
          <cell r="A123" t="str">
            <v>Gabinetes de agrupamiento celdas de 245 kV</v>
          </cell>
        </row>
        <row r="124">
          <cell r="A124" t="str">
            <v>Gabinetes de agrupamiento celdas 72,5 kV</v>
          </cell>
        </row>
        <row r="125">
          <cell r="A125" t="str">
            <v>Gabinetes de agrupamiento celdas 72,5 kV, transformador y acople</v>
          </cell>
        </row>
        <row r="126">
          <cell r="A126" t="str">
            <v>Cable NYY 0.6/1 kV, 1x185 mm2 - 350 MCM (SS.AA.)</v>
          </cell>
        </row>
        <row r="127">
          <cell r="A127" t="str">
            <v>Cable NYY 0.6/1 kV, 1x95 mm2 - 3/0 AWG (SS.AA.)</v>
          </cell>
        </row>
        <row r="128">
          <cell r="A128" t="str">
            <v>CABLES DE CONTROL</v>
          </cell>
        </row>
        <row r="129">
          <cell r="A129" t="str">
            <v>Cable N2XSY 0,6/1 kV, 12x2,5 mm2 - 16 AWG</v>
          </cell>
        </row>
        <row r="130">
          <cell r="A130" t="str">
            <v>Cable N2XSY 0,6/1 kV, 4x2,5 mm2 - 14 AWG</v>
          </cell>
        </row>
        <row r="131">
          <cell r="A131" t="str">
            <v>Cable N2XSY 0,6/1 kV, 4x4,0 mm2 - 12 AWG</v>
          </cell>
        </row>
        <row r="132">
          <cell r="A132" t="str">
            <v>Cable N2XSY 0,6/1 kV, 4x6,0 mm2 - 10 AWG</v>
          </cell>
        </row>
        <row r="133">
          <cell r="A133" t="str">
            <v>Cable NYY 0,6/1 kV, 1x150 mm2 -  300 MCM (SS.AA.)</v>
          </cell>
        </row>
        <row r="134">
          <cell r="A134" t="str">
            <v>Cable de control tipo soldador 0.6/1.0 kV, 1/0 AWG</v>
          </cell>
        </row>
        <row r="135">
          <cell r="A135" t="str">
            <v>Bandejas portacables y accesorios en edificio de control</v>
          </cell>
        </row>
        <row r="136">
          <cell r="A136" t="str">
            <v>Cable coaxial</v>
          </cell>
        </row>
        <row r="137">
          <cell r="A137" t="str">
            <v>SISTEMA DE PUESTA A TIERRA SUPERFICIAL</v>
          </cell>
        </row>
        <row r="138">
          <cell r="A138" t="str">
            <v>Conductor de cobre desnudo 4/0 AWG</v>
          </cell>
        </row>
        <row r="139">
          <cell r="A139" t="str">
            <v>Conductor de cobre forrado  107 mm2</v>
          </cell>
        </row>
        <row r="140">
          <cell r="A140" t="str">
            <v>Conector  de tierra para cuatro conductores de cobre de 107 mm2 - tipo paralelo</v>
          </cell>
        </row>
        <row r="141">
          <cell r="A141" t="str">
            <v>Terminal a compresión para un conductor de cobre de 107 mm2 - tipo ojo</v>
          </cell>
        </row>
        <row r="142">
          <cell r="A142" t="str">
            <v>Conexión con soldadura exotermica</v>
          </cell>
        </row>
        <row r="143">
          <cell r="A143" t="str">
            <v>Varillas de puesta a tierra</v>
          </cell>
        </row>
        <row r="144">
          <cell r="A144" t="str">
            <v>MISCELANEOS</v>
          </cell>
        </row>
        <row r="145">
          <cell r="A145" t="str">
            <v>Placas con nomenclatura operativa e identificación de fases</v>
          </cell>
        </row>
        <row r="146">
          <cell r="A146" t="str">
            <v>Conductor de aluminio</v>
          </cell>
        </row>
        <row r="147">
          <cell r="A147" t="str">
            <v>Puntas Franklin</v>
          </cell>
        </row>
        <row r="148">
          <cell r="A148" t="str">
            <v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>EQUIPAMIENTO EN 245 KV</v>
          </cell>
        </row>
        <row r="152">
          <cell r="A152" t="str">
            <v>Montaje bahía reactor 20 MVAR, 245 kV</v>
          </cell>
        </row>
        <row r="153">
          <cell r="A153" t="str">
            <v>Desmonte y traslado reactor 20 MVAR, 245 kV</v>
          </cell>
        </row>
        <row r="154">
          <cell r="A154" t="str">
            <v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>Montaje de seccionador pantógrafo en 245 kV</v>
          </cell>
        </row>
        <row r="157">
          <cell r="A157" t="str">
            <v>Montaje de seccionador de barras rotación central en 245 kV</v>
          </cell>
        </row>
        <row r="158">
          <cell r="A158" t="str">
            <v>Montaje de seccionador de barras apertura central en 245 kV</v>
          </cell>
        </row>
        <row r="159">
          <cell r="A159" t="str">
            <v>Montaje de seccionador con cuchilla de puesta a tierra rotación central 245 kV</v>
          </cell>
        </row>
        <row r="160">
          <cell r="A160" t="str">
            <v>Montaje de seccionador con cuchilla de puesta a tierra de apertura central 245 kV</v>
          </cell>
        </row>
        <row r="161">
          <cell r="A161" t="str">
            <v>Montaje de Transformador de corriente (4 núcleos) 245 kV</v>
          </cell>
        </row>
        <row r="162">
          <cell r="A162" t="str">
            <v>Montaje de Transformador de tensión capacitivo en 245 kV</v>
          </cell>
        </row>
        <row r="163">
          <cell r="A163" t="str">
            <v>Montaje de Pararrayos para sistema 245 kV</v>
          </cell>
        </row>
        <row r="164">
          <cell r="A164" t="str">
            <v>Montaje de Material de conexión 245 kV, Conectores</v>
          </cell>
        </row>
        <row r="165">
          <cell r="A165" t="str">
            <v>Montaje de Material de conexión 245 kV, Conductor</v>
          </cell>
        </row>
        <row r="166">
          <cell r="A166" t="str">
            <v>Montaje de Cadena de aisladores 245 kV</v>
          </cell>
        </row>
        <row r="167">
          <cell r="A167" t="str">
            <v>Montaje de Cadena de suspensión en 245 kV</v>
          </cell>
        </row>
        <row r="168">
          <cell r="A168" t="str">
            <v>Montaje de Aisladores tipo poste de porcelana 245 kV</v>
          </cell>
        </row>
        <row r="169">
          <cell r="A169" t="str">
            <v>Montaje trampa de onda 245 kV</v>
          </cell>
        </row>
        <row r="170">
          <cell r="A170" t="str">
            <v>Montaje material de conexión 245 kV, barraje rígido</v>
          </cell>
        </row>
        <row r="172">
          <cell r="A172" t="str">
            <v>EQUIPOS EN 138 kV</v>
          </cell>
        </row>
        <row r="173">
          <cell r="A173" t="str">
            <v>Montaje de interruptor tripolar 138 kV ( Incluye el montaje de las estructuras metálicas)</v>
          </cell>
        </row>
        <row r="174">
          <cell r="A174" t="str">
            <v>Montaje de seccionador 138 kV (Incluye el montaje de las estructuras metálicas)</v>
          </cell>
        </row>
        <row r="175">
          <cell r="A175" t="str">
            <v>Montaje de transformador de corriente ( Incluye el montaje de las estructuras metálicas) 138 kV</v>
          </cell>
        </row>
        <row r="176">
          <cell r="A176" t="str">
            <v>Montaje de transformador de tensión ( Incluye el montaje de las estructuras metálicas) 138 kV</v>
          </cell>
        </row>
        <row r="177">
          <cell r="A177" t="str">
            <v>Montaje de Pararrayos 138 kV ( Incluye el montaje de las estructuras metálicas)</v>
          </cell>
        </row>
        <row r="178">
          <cell r="A178" t="str">
            <v>Montaje de aisladores tipo poste 138 kV (cluye el montaje de las estructuras metálicas)</v>
          </cell>
        </row>
        <row r="179">
          <cell r="A179" t="str">
            <v>Montaje de Material de conexión 138 kV Conectores</v>
          </cell>
        </row>
        <row r="180">
          <cell r="A180" t="str">
            <v>Montaje de Material de conexión 138 kV, conductor</v>
          </cell>
        </row>
        <row r="181">
          <cell r="A181" t="str">
            <v>Montaje de Cadena de aisladores en 138 kV</v>
          </cell>
        </row>
        <row r="182">
          <cell r="A182" t="str">
            <v>EQUIPOS EN 72,5 kV</v>
          </cell>
        </row>
        <row r="183">
          <cell r="A183" t="str">
            <v>Montaje de Interruptor automático 72,5 kV</v>
          </cell>
        </row>
        <row r="184">
          <cell r="A184" t="str">
            <v>Montaje de Seccionador de barras apertura central en 72,5 kV montaje horizontal</v>
          </cell>
        </row>
        <row r="185">
          <cell r="A185" t="str">
            <v>Montaje de Seccionador con cuchilla de puesta a tierra de apertura central 72,5 kV</v>
          </cell>
        </row>
        <row r="186">
          <cell r="A186" t="str">
            <v>Montaje de Transformador de corriente (4 núcleos) 72,5 kV</v>
          </cell>
        </row>
        <row r="187">
          <cell r="A187" t="str">
            <v>Montaje de Transformador de tensión 72,5 kV</v>
          </cell>
        </row>
        <row r="188">
          <cell r="A188" t="str">
            <v>Montaje de Pararrayos para sistema 72,5 kV</v>
          </cell>
        </row>
        <row r="189">
          <cell r="A189" t="str">
            <v>Montaje de Material de conexión 72,5 kV Conectores</v>
          </cell>
        </row>
        <row r="190">
          <cell r="A190" t="str">
            <v>Montaje de Cadena de aisladores 72,5 kV (aisladores de vidrio)</v>
          </cell>
        </row>
        <row r="191">
          <cell r="A191" t="str">
            <v>Montaje de Material de conexión 72,5 kV, conductor</v>
          </cell>
        </row>
        <row r="192">
          <cell r="A192" t="str">
            <v>Montaje de Aisladores tipo poste de porcelana 72,5 kV</v>
          </cell>
        </row>
        <row r="193">
          <cell r="A193" t="str">
            <v>EQUIPOS EN 34,5 kV</v>
          </cell>
        </row>
        <row r="194">
          <cell r="A194" t="str">
            <v>Montaje de interruptor tripolar 34,5 kV ( Incluye el montaje de las estructuras metálicas)</v>
          </cell>
        </row>
        <row r="195">
          <cell r="A195" t="str">
            <v>Montaje de seccionador 34,5 kV (Incluye el montaje de las estructuras metálicas)</v>
          </cell>
        </row>
        <row r="196">
          <cell r="A196" t="str">
            <v>Montaje de seccionador 34,5 kV con cuchilla de puesta a tierra (Incluye el montaje de las estructuras metálicas)</v>
          </cell>
        </row>
        <row r="197">
          <cell r="A197" t="str">
            <v>Montaje de transformador de corriente ( Incluye el montaje de las estructuras metálicas) 34,5 kV</v>
          </cell>
        </row>
        <row r="198">
          <cell r="A198" t="str">
            <v>Montaje de transformador de tensión ( Incluye el montaje de las estructuras metálicas) 34,5 kV</v>
          </cell>
        </row>
        <row r="199">
          <cell r="A199" t="str">
            <v>Montaje de Pararrayos 34,5 kV ( Incluye el montaje de las estructuras metálicas)</v>
          </cell>
        </row>
        <row r="200">
          <cell r="A200" t="str">
            <v>Montaje de Pararrayos 34,5 kV ( Incluye el montaje sobre viga)</v>
          </cell>
        </row>
        <row r="201">
          <cell r="A201" t="str">
            <v>EQUIPOS EN 24 kV</v>
          </cell>
        </row>
        <row r="202">
          <cell r="A202" t="str">
            <v>Montaje de reconectador 24 kV</v>
          </cell>
        </row>
        <row r="203">
          <cell r="A203" t="str">
            <v>Montaje de seccionador en 24 kV</v>
          </cell>
        </row>
        <row r="204">
          <cell r="A204" t="str">
            <v>Montaje de Transformador de corriente (4 núcleos) 24 kV</v>
          </cell>
        </row>
        <row r="205">
          <cell r="A205" t="str">
            <v>Montaje de Pararrayos para sistema 24 kV</v>
          </cell>
        </row>
        <row r="206">
          <cell r="A206" t="str">
            <v>Montaje de Celda metal clad 24 kV (incluye interruptor Tripolar y 3 ct´s)</v>
          </cell>
        </row>
        <row r="207">
          <cell r="A207" t="str">
            <v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>Montaje de Material de conexión 24 kV, conductor</v>
          </cell>
        </row>
        <row r="210">
          <cell r="A210" t="str">
            <v>EQUIPOS EN 12 kV</v>
          </cell>
        </row>
        <row r="211">
          <cell r="A211" t="str">
            <v>Montaje de Pararrayos para sistema 12 kV</v>
          </cell>
        </row>
        <row r="212">
          <cell r="A212" t="str">
            <v>Montaje de Celda de llegada 12 kV Transformador (incluye interruptor, TC´s, PT´s, pararrayos seccionador a tierra y terminal de cables)</v>
          </cell>
        </row>
        <row r="213">
          <cell r="A213" t="str">
            <v>Montaje de Celda de acople 12 kV (incluye sistema de barras, accesorios y transformadores de tensión)</v>
          </cell>
        </row>
        <row r="214">
          <cell r="A214" t="str">
            <v>Montaje de celdas de 12,5 kV para distribución</v>
          </cell>
        </row>
        <row r="215">
          <cell r="A215" t="str">
            <v>Montaje de Cable de Energía en Media Tensión XLPE 1 x 300 mm2 N2XSY-12/20 kV</v>
          </cell>
        </row>
        <row r="216">
          <cell r="A216" t="str">
            <v>Montaje de Terminal unipolar para cable de 300 mm2</v>
          </cell>
        </row>
        <row r="217">
          <cell r="A217" t="str">
            <v>Montaje Transformador de puesta a tierra Zig Zag, frecuencia de 72,5 Hz. Incluye transformador de corriente residual</v>
          </cell>
        </row>
        <row r="218">
          <cell r="A218" t="str">
            <v>Montaje transformador de servicios auxiliares</v>
          </cell>
        </row>
        <row r="219">
          <cell r="A219" t="str">
            <v>SISTEMA DE CONTROL Y PROTECCION</v>
          </cell>
        </row>
        <row r="220">
          <cell r="A220" t="str">
            <v>Montaje de Sistema de control SAS para el control de todas las celdas de la subestación en 245 kV, Nivel 1, 2 y 3</v>
          </cell>
        </row>
        <row r="221">
          <cell r="A221" t="str">
            <v>Montaje de sistema de control   (incluye montaje de tableros)</v>
          </cell>
        </row>
        <row r="222">
          <cell r="A222" t="str">
            <v>Montaje de sistema de protección (incluye montaje de tableros)</v>
          </cell>
        </row>
        <row r="223">
          <cell r="A223" t="str">
            <v>SISTEMA DE SERVICIOS AUXILIARES</v>
          </cell>
        </row>
        <row r="224">
          <cell r="A224" t="str">
            <v>Montaje de Gabinetes de agrupamiento celdas de 245 kV</v>
          </cell>
        </row>
        <row r="225">
          <cell r="A225" t="str">
            <v>Montaje de Gabinetes de agrupamiento celdas 72,5 kV, transformador y acople</v>
          </cell>
        </row>
        <row r="226">
          <cell r="A226" t="str">
            <v>Montaje de Gabinetes de agrupamiento celdas 72,5 kV</v>
          </cell>
        </row>
        <row r="227">
          <cell r="A227" t="str">
            <v>Montaje y conexionado de gabinetes de agrupamiento (incluye montaje de tableros)</v>
          </cell>
        </row>
        <row r="228">
          <cell r="A228" t="str">
            <v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>Montaje de Placas con nomenclatura operativa e identificación de fases</v>
          </cell>
        </row>
        <row r="231">
          <cell r="A231" t="str">
            <v>Conexión entre equipos de alta tensión</v>
          </cell>
        </row>
        <row r="232">
          <cell r="A232" t="str">
            <v>Sistema de servicios auxiliares, malla de puesta a tierra y apantallamiento</v>
          </cell>
        </row>
        <row r="233">
          <cell r="A233" t="str">
            <v>Montaje PLP´s</v>
          </cell>
        </row>
        <row r="234">
          <cell r="A234" t="str">
            <v>Montaje iluminación</v>
          </cell>
        </row>
        <row r="235">
          <cell r="A235" t="str">
            <v>Pruebas individuales</v>
          </cell>
        </row>
        <row r="236">
          <cell r="A236" t="str">
            <v>Pruebas de interruptor</v>
          </cell>
        </row>
        <row r="237">
          <cell r="A237" t="str">
            <v>Pruebas de seccionador de apertura central</v>
          </cell>
        </row>
        <row r="238">
          <cell r="A238" t="str">
            <v>Pruebas de seccionador con cuchilla de puesta a tierra</v>
          </cell>
        </row>
        <row r="239">
          <cell r="A239" t="str">
            <v>Pruebas de transformador de corriente</v>
          </cell>
        </row>
        <row r="240">
          <cell r="A240" t="str">
            <v>Pruebas de transformador de tensión</v>
          </cell>
        </row>
        <row r="241">
          <cell r="A241" t="str">
            <v>Pruebas de pararrayos</v>
          </cell>
        </row>
        <row r="242">
          <cell r="A242" t="str">
            <v>Pruebas sistemas de control y protección</v>
          </cell>
        </row>
        <row r="243">
          <cell r="A243" t="str">
            <v>Pruebas sistema de telecomunicaciones</v>
          </cell>
        </row>
        <row r="244">
          <cell r="A244" t="str">
            <v>Pruebas de la bahía de reactor</v>
          </cell>
        </row>
        <row r="245">
          <cell r="A245" t="str">
            <v>Pruebas seccionador pantógrafo</v>
          </cell>
        </row>
        <row r="246">
          <cell r="A246" t="str">
            <v>Pruebas transformador de servicios auxiliares</v>
          </cell>
        </row>
        <row r="248">
          <cell r="A248" t="str">
            <v>Apantallamiento</v>
          </cell>
        </row>
        <row r="249">
          <cell r="A249" t="str">
            <v>Montaje puntas Franklin</v>
          </cell>
        </row>
        <row r="250">
          <cell r="A250" t="str">
            <v>Montaje conductor aluminio</v>
          </cell>
        </row>
      </sheetData>
      <sheetData sheetId="1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Total"/>
      <sheetName val="RESUMEN OBRA"/>
      <sheetName val="EXPED-TECNICO"/>
      <sheetName val="G. GENERALES"/>
      <sheetName val="CRONOG_VALORIZ"/>
      <sheetName val="RESUMEN LP"/>
      <sheetName val="Alternativa-LP"/>
      <sheetName val="SUMINISTRO LP"/>
      <sheetName val="MONTAJE LP"/>
      <sheetName val="TRANS_LP"/>
      <sheetName val="POLINOMICA LP"/>
      <sheetName val="RESUMEN RP"/>
      <sheetName val="Alternativa-RP"/>
      <sheetName val="SUMINISTRO RP"/>
      <sheetName val="MONTAJE RP"/>
      <sheetName val="TRANS._RP"/>
      <sheetName val="POLINOMICA RP"/>
      <sheetName val="RESUMEN RS"/>
      <sheetName val="Alternativa-RS"/>
      <sheetName val="SUMINISTRO RS"/>
      <sheetName val="MONTAJE RS"/>
      <sheetName val="TRANS.RS"/>
      <sheetName val="POLINOMICA RS"/>
      <sheetName val="RESUMEN SFVS"/>
      <sheetName val="Alternativa-SFV)"/>
      <sheetName val="SUMINISTRO SFVS"/>
      <sheetName val="MONTAJE SFVS"/>
      <sheetName val="TRANS SFVS"/>
      <sheetName val="POLINOMICA  SFVS"/>
      <sheetName val="EQUIPO"/>
      <sheetName val="MO"/>
      <sheetName val="MATERIALES"/>
      <sheetName val="MAQUIN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>Técnico 1</v>
          </cell>
          <cell r="H17" t="str">
            <v>H/H</v>
          </cell>
          <cell r="I17">
            <v>7.15</v>
          </cell>
        </row>
        <row r="18">
          <cell r="G18" t="str">
            <v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>Tierra prepara</v>
          </cell>
          <cell r="H46" t="str">
            <v>m3</v>
          </cell>
          <cell r="I46">
            <v>3.6</v>
          </cell>
        </row>
        <row r="47">
          <cell r="G47" t="str">
            <v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>MONTAJE RED SUBTERANEA</v>
          </cell>
        </row>
        <row r="588">
          <cell r="S588" t="str">
            <v>48.00</v>
          </cell>
          <cell r="T588">
            <v>48</v>
          </cell>
          <cell r="V588" t="str">
            <v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>TRABAJOS COMPLEMENTARIOS</v>
          </cell>
        </row>
        <row r="623">
          <cell r="S623" t="str">
            <v>81.00</v>
          </cell>
          <cell r="T623">
            <v>81</v>
          </cell>
          <cell r="V623" t="str">
            <v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>ACONDICIONAMIENTO DE BT</v>
          </cell>
        </row>
        <row r="632">
          <cell r="S632" t="str">
            <v>89.00</v>
          </cell>
          <cell r="T632">
            <v>89</v>
          </cell>
          <cell r="V632" t="str">
            <v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GRAL"/>
      <sheetName val="GG"/>
      <sheetName val="RES-SSEE"/>
      <sheetName val="SUM-SSEE"/>
      <sheetName val="MON-SSEE"/>
      <sheetName val="O.C POU"/>
      <sheetName val="FPOL-SSEE"/>
      <sheetName val="RES-LP-RP"/>
      <sheetName val="SUM-LP-RP"/>
      <sheetName val="MO-LP-RP"/>
      <sheetName val="FPOL-LP-RP"/>
      <sheetName val="RES-RS"/>
      <sheetName val="SUM-RS"/>
      <sheetName val="MON-RS"/>
      <sheetName val="FPOL-RS"/>
      <sheetName val="RES-TELE"/>
      <sheetName val="SUM-TELE"/>
      <sheetName val="MON-TELE"/>
      <sheetName val="FPOL-TEL"/>
      <sheetName val="Equipo"/>
      <sheetName val="MO"/>
      <sheetName val="Materiales"/>
      <sheetName val="Maquinaria"/>
    </sheetNames>
    <sheetDataSet>
      <sheetData sheetId="0">
        <row r="4">
          <cell r="F4" t="str">
            <v>MEJORAMIENTO Y AMPLIACION DEL SERVICIO DE ENERGIA ELECTRICA MEDIANTE SISTEMA CONVENCIONAL EN LA RED DE DISTRIBUCION DE PUQUINA - OMATE - UBINAS E ICHUÑA DE LA PROVINCIA GRAL. SANCHEZ CERRO, DEPARTAMENTO DE MOQUEGUA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  <sheetData sheetId="14"/>
      <sheetData sheetId="15">
        <row r="19">
          <cell r="F19">
            <v>972787.26</v>
          </cell>
        </row>
      </sheetData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>Precio S/.</v>
          </cell>
        </row>
        <row r="6">
          <cell r="A6" t="str">
            <v>011201100151-2043051-01</v>
          </cell>
          <cell r="B6" t="str">
            <v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>Vestidura de superficie lateral de escalera c/mortero 1:4 x 1,5 cm</v>
          </cell>
          <cell r="C339">
            <v>7.92</v>
          </cell>
        </row>
      </sheetData>
      <sheetData sheetId="6"/>
      <sheetData sheetId="7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</sheetNames>
    <sheetDataSet>
      <sheetData sheetId="0" refreshError="1">
        <row r="1">
          <cell r="B1" t="str">
            <v>ANEXO N° 3.1</v>
          </cell>
        </row>
        <row r="3">
          <cell r="B3" t="str">
            <v>CALCULO DE LA MALLA A TIERRA</v>
          </cell>
        </row>
        <row r="4">
          <cell r="B4" t="str">
            <v>SUBESTACION CAMANA 138/60/10 kV - 15 MVA</v>
          </cell>
        </row>
        <row r="6">
          <cell r="C6" t="str">
            <v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>A LO LARGO DE LA MALLA</v>
          </cell>
          <cell r="D10" t="str">
            <v>U</v>
          </cell>
          <cell r="E10">
            <v>7</v>
          </cell>
        </row>
        <row r="11">
          <cell r="C11" t="str">
            <v>A LO ANCHO DE LA MALLA</v>
          </cell>
          <cell r="D11" t="str">
            <v>U</v>
          </cell>
          <cell r="E11">
            <v>6</v>
          </cell>
        </row>
        <row r="12">
          <cell r="C12" t="str">
            <v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>DIAMETRO DE LA JABALINA</v>
          </cell>
          <cell r="D18" t="str">
            <v>pulg</v>
          </cell>
          <cell r="E18">
            <v>0.625</v>
          </cell>
        </row>
        <row r="20">
          <cell r="C20" t="str">
            <v>CARACTERISTICAS DEL TERRENO</v>
          </cell>
        </row>
        <row r="21">
          <cell r="B21" t="str">
            <v>(9)</v>
          </cell>
          <cell r="C21" t="str">
            <v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>1  SIN TRATAMIENTO</v>
          </cell>
        </row>
        <row r="24">
          <cell r="C24" t="str">
            <v>2  TIERRA CERNIDA + SAL Y CARBÓN</v>
          </cell>
        </row>
        <row r="25">
          <cell r="C25" t="str">
            <v>3  TRATAMIENTO ELECTROLITICO</v>
          </cell>
        </row>
        <row r="26">
          <cell r="C26" t="str">
            <v>4  TRAT. ELECTROLITICO + HELICOIDE</v>
          </cell>
        </row>
        <row r="27">
          <cell r="B27" t="str">
            <v>(11)</v>
          </cell>
          <cell r="C27" t="str">
            <v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>CARACTERISTICAS DE OPERACION</v>
          </cell>
        </row>
        <row r="30">
          <cell r="B30" t="str">
            <v>(12)</v>
          </cell>
          <cell r="C30" t="str">
            <v>MINIMO TIEMPO DE OPERACION DE</v>
          </cell>
        </row>
        <row r="31">
          <cell r="C31" t="str">
            <v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>MAXIMA CORRIENTE DE FALLA</v>
          </cell>
        </row>
        <row r="33">
          <cell r="C33" t="str">
            <v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>LONGITUD MINIMA DEL CONDUCTOR</v>
          </cell>
          <cell r="E48">
            <v>88.808891055660737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RelInsumos"/>
    </sheetNames>
    <sheetDataSet>
      <sheetData sheetId="0" refreshError="1">
        <row r="1">
          <cell r="F1" t="str">
            <v>Pag. 1 / 1</v>
          </cell>
        </row>
        <row r="3">
          <cell r="A3" t="str">
            <v>PROYECTO: NUEVA  SALA  DE  CELDAS  EN  10 kV - TUMBES</v>
          </cell>
          <cell r="F3" t="str">
            <v>FECHA: Diciembre del 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Armados"/>
      <sheetName val="FacturasMat"/>
      <sheetName val="PreciosELPU"/>
      <sheetName val="PptoReal"/>
      <sheetName val="Metr.Unit"/>
      <sheetName val="PptoVNR"/>
      <sheetName val="Rendimientos"/>
      <sheetName val="Cronograma"/>
      <sheetName val="ResumenInversion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E7">
            <v>2.72</v>
          </cell>
        </row>
      </sheetData>
      <sheetData sheetId="7"/>
      <sheetData sheetId="8"/>
      <sheetData sheetId="9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TCAD"/>
      <sheetName val="Hoja4"/>
      <sheetName val="Hoja2"/>
      <sheetName val="Hoja3"/>
      <sheetName val="Hoja1"/>
      <sheetName val="Metrados"/>
      <sheetName val="BD"/>
      <sheetName val="P_01"/>
      <sheetName val="M_01"/>
      <sheetName val="P_02"/>
      <sheetName val="M_02"/>
      <sheetName val="P_03"/>
      <sheetName val="M_03"/>
      <sheetName val="P_04"/>
      <sheetName val="M_04"/>
      <sheetName val="P_05"/>
      <sheetName val="M_05"/>
      <sheetName val="P_06"/>
      <sheetName val="M_06"/>
      <sheetName val="P_07"/>
      <sheetName val="M_07"/>
      <sheetName val="P_08"/>
      <sheetName val="M_08"/>
    </sheetNames>
    <sheetDataSet>
      <sheetData sheetId="0"/>
      <sheetData sheetId="1"/>
      <sheetData sheetId="2"/>
      <sheetData sheetId="3"/>
      <sheetData sheetId="4"/>
      <sheetData sheetId="5">
        <row r="19">
          <cell r="E19">
            <v>7</v>
          </cell>
        </row>
        <row r="20">
          <cell r="E20">
            <v>1</v>
          </cell>
        </row>
        <row r="21">
          <cell r="E21">
            <v>13</v>
          </cell>
        </row>
        <row r="22">
          <cell r="E22">
            <v>0</v>
          </cell>
        </row>
        <row r="25">
          <cell r="E25">
            <v>3</v>
          </cell>
        </row>
        <row r="26">
          <cell r="E26">
            <v>6</v>
          </cell>
        </row>
        <row r="27">
          <cell r="E27">
            <v>96</v>
          </cell>
        </row>
        <row r="28">
          <cell r="E28">
            <v>60</v>
          </cell>
        </row>
        <row r="29">
          <cell r="E29">
            <v>0</v>
          </cell>
        </row>
        <row r="32">
          <cell r="E32">
            <v>0</v>
          </cell>
        </row>
        <row r="35">
          <cell r="E35">
            <v>4</v>
          </cell>
        </row>
        <row r="36">
          <cell r="E36">
            <v>11</v>
          </cell>
        </row>
        <row r="39">
          <cell r="E39">
            <v>0</v>
          </cell>
        </row>
        <row r="40">
          <cell r="E40">
            <v>84</v>
          </cell>
        </row>
        <row r="41">
          <cell r="E41">
            <v>0</v>
          </cell>
        </row>
        <row r="42">
          <cell r="E42">
            <v>122</v>
          </cell>
        </row>
        <row r="45">
          <cell r="E45">
            <v>24</v>
          </cell>
        </row>
        <row r="46">
          <cell r="E46">
            <v>24</v>
          </cell>
        </row>
        <row r="48">
          <cell r="E48">
            <v>307</v>
          </cell>
        </row>
        <row r="51">
          <cell r="E51">
            <v>283</v>
          </cell>
        </row>
        <row r="52">
          <cell r="E52">
            <v>283</v>
          </cell>
        </row>
        <row r="55">
          <cell r="E55">
            <v>51.19</v>
          </cell>
        </row>
        <row r="56">
          <cell r="E56">
            <v>1.17</v>
          </cell>
        </row>
        <row r="59">
          <cell r="E59">
            <v>275</v>
          </cell>
        </row>
        <row r="60">
          <cell r="E60">
            <v>2</v>
          </cell>
        </row>
        <row r="61">
          <cell r="E61">
            <v>0</v>
          </cell>
        </row>
        <row r="62">
          <cell r="E62">
            <v>0</v>
          </cell>
        </row>
        <row r="63">
          <cell r="E63">
            <v>190</v>
          </cell>
        </row>
        <row r="64">
          <cell r="E64">
            <v>6</v>
          </cell>
        </row>
        <row r="65">
          <cell r="E65">
            <v>905</v>
          </cell>
        </row>
        <row r="66">
          <cell r="E66">
            <v>2</v>
          </cell>
        </row>
        <row r="67">
          <cell r="E67">
            <v>6</v>
          </cell>
        </row>
        <row r="68">
          <cell r="E68">
            <v>2</v>
          </cell>
        </row>
        <row r="69">
          <cell r="E69">
            <v>0</v>
          </cell>
        </row>
        <row r="70">
          <cell r="E70">
            <v>273</v>
          </cell>
        </row>
        <row r="71">
          <cell r="E71">
            <v>8</v>
          </cell>
        </row>
        <row r="72">
          <cell r="E72">
            <v>281</v>
          </cell>
        </row>
        <row r="73">
          <cell r="E73">
            <v>2</v>
          </cell>
        </row>
        <row r="76">
          <cell r="E76">
            <v>3162.9</v>
          </cell>
        </row>
        <row r="79">
          <cell r="E79">
            <v>33</v>
          </cell>
        </row>
        <row r="80">
          <cell r="E80">
            <v>0</v>
          </cell>
        </row>
        <row r="81">
          <cell r="E81">
            <v>21</v>
          </cell>
        </row>
        <row r="82">
          <cell r="E82">
            <v>172</v>
          </cell>
        </row>
        <row r="83">
          <cell r="E83">
            <v>14</v>
          </cell>
        </row>
        <row r="84">
          <cell r="E84">
            <v>5</v>
          </cell>
        </row>
        <row r="85">
          <cell r="E85">
            <v>104</v>
          </cell>
        </row>
        <row r="86">
          <cell r="E86">
            <v>107</v>
          </cell>
        </row>
        <row r="87">
          <cell r="E87">
            <v>70</v>
          </cell>
        </row>
        <row r="88">
          <cell r="E88">
            <v>21</v>
          </cell>
        </row>
        <row r="89">
          <cell r="E89">
            <v>0</v>
          </cell>
        </row>
        <row r="90">
          <cell r="E90">
            <v>112</v>
          </cell>
        </row>
        <row r="91">
          <cell r="E91">
            <v>0</v>
          </cell>
        </row>
        <row r="92">
          <cell r="E92">
            <v>33</v>
          </cell>
        </row>
        <row r="93">
          <cell r="E93">
            <v>518</v>
          </cell>
        </row>
        <row r="94">
          <cell r="E94">
            <v>772</v>
          </cell>
        </row>
        <row r="95">
          <cell r="E95">
            <v>22</v>
          </cell>
        </row>
        <row r="96">
          <cell r="E96">
            <v>0</v>
          </cell>
        </row>
        <row r="97">
          <cell r="E97">
            <v>0</v>
          </cell>
        </row>
        <row r="98">
          <cell r="E98">
            <v>0</v>
          </cell>
        </row>
        <row r="99">
          <cell r="E99">
            <v>24</v>
          </cell>
        </row>
        <row r="100">
          <cell r="E100">
            <v>2</v>
          </cell>
        </row>
        <row r="101">
          <cell r="E101">
            <v>75</v>
          </cell>
        </row>
        <row r="104">
          <cell r="E104">
            <v>0</v>
          </cell>
        </row>
        <row r="105">
          <cell r="E105">
            <v>83</v>
          </cell>
        </row>
        <row r="106">
          <cell r="E106">
            <v>166</v>
          </cell>
        </row>
        <row r="107">
          <cell r="E107">
            <v>124.5</v>
          </cell>
        </row>
        <row r="108">
          <cell r="E108">
            <v>83</v>
          </cell>
        </row>
        <row r="109">
          <cell r="E109">
            <v>0</v>
          </cell>
        </row>
        <row r="110">
          <cell r="E110">
            <v>83</v>
          </cell>
        </row>
        <row r="111">
          <cell r="E111">
            <v>83</v>
          </cell>
        </row>
        <row r="112">
          <cell r="E112">
            <v>83</v>
          </cell>
        </row>
        <row r="113">
          <cell r="E113">
            <v>83</v>
          </cell>
        </row>
        <row r="114">
          <cell r="E114">
            <v>83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1162</v>
          </cell>
        </row>
        <row r="120">
          <cell r="E120">
            <v>16</v>
          </cell>
        </row>
        <row r="121">
          <cell r="E121">
            <v>450</v>
          </cell>
        </row>
        <row r="122">
          <cell r="E122">
            <v>100</v>
          </cell>
        </row>
        <row r="123">
          <cell r="E123">
            <v>262</v>
          </cell>
        </row>
        <row r="124">
          <cell r="E124">
            <v>16</v>
          </cell>
        </row>
        <row r="125">
          <cell r="E125">
            <v>171</v>
          </cell>
        </row>
        <row r="126">
          <cell r="E126">
            <v>0</v>
          </cell>
        </row>
        <row r="127">
          <cell r="E127">
            <v>15</v>
          </cell>
        </row>
        <row r="128">
          <cell r="E128">
            <v>156</v>
          </cell>
        </row>
        <row r="129">
          <cell r="E129">
            <v>48</v>
          </cell>
        </row>
        <row r="132">
          <cell r="E132">
            <v>13</v>
          </cell>
        </row>
        <row r="133">
          <cell r="E133">
            <v>7</v>
          </cell>
        </row>
        <row r="134">
          <cell r="E134">
            <v>6</v>
          </cell>
        </row>
        <row r="135">
          <cell r="E135">
            <v>5</v>
          </cell>
        </row>
        <row r="136">
          <cell r="E136">
            <v>28</v>
          </cell>
        </row>
        <row r="139">
          <cell r="E139">
            <v>37</v>
          </cell>
        </row>
        <row r="140">
          <cell r="E140">
            <v>36</v>
          </cell>
        </row>
        <row r="141">
          <cell r="E141">
            <v>1174.7511499999998</v>
          </cell>
        </row>
        <row r="142">
          <cell r="E142">
            <v>10</v>
          </cell>
        </row>
        <row r="143">
          <cell r="E143">
            <v>32</v>
          </cell>
        </row>
        <row r="144">
          <cell r="E144">
            <v>32</v>
          </cell>
        </row>
        <row r="145">
          <cell r="E145">
            <v>64</v>
          </cell>
        </row>
        <row r="146">
          <cell r="E146">
            <v>55</v>
          </cell>
        </row>
        <row r="147">
          <cell r="E147">
            <v>10</v>
          </cell>
        </row>
        <row r="148">
          <cell r="E148">
            <v>0</v>
          </cell>
        </row>
        <row r="149">
          <cell r="E149">
            <v>76</v>
          </cell>
        </row>
        <row r="150">
          <cell r="E150">
            <v>2031</v>
          </cell>
        </row>
        <row r="151">
          <cell r="E151">
            <v>309</v>
          </cell>
        </row>
        <row r="152">
          <cell r="E152">
            <v>15</v>
          </cell>
        </row>
        <row r="153">
          <cell r="E153">
            <v>0</v>
          </cell>
        </row>
        <row r="158">
          <cell r="E158">
            <v>1</v>
          </cell>
        </row>
        <row r="159">
          <cell r="E159">
            <v>1</v>
          </cell>
        </row>
        <row r="160">
          <cell r="E160">
            <v>1</v>
          </cell>
        </row>
        <row r="161">
          <cell r="E161">
            <v>1</v>
          </cell>
        </row>
        <row r="162">
          <cell r="E162">
            <v>1</v>
          </cell>
        </row>
        <row r="163">
          <cell r="E163">
            <v>1</v>
          </cell>
        </row>
        <row r="164">
          <cell r="E164">
            <v>0.69</v>
          </cell>
        </row>
        <row r="165">
          <cell r="E165">
            <v>21.65</v>
          </cell>
        </row>
        <row r="166">
          <cell r="E166">
            <v>21.65</v>
          </cell>
        </row>
        <row r="169">
          <cell r="E169">
            <v>3</v>
          </cell>
        </row>
        <row r="170">
          <cell r="E170">
            <v>0</v>
          </cell>
        </row>
        <row r="171">
          <cell r="E171">
            <v>6</v>
          </cell>
        </row>
        <row r="172">
          <cell r="E172">
            <v>0</v>
          </cell>
        </row>
        <row r="173">
          <cell r="E173">
            <v>96</v>
          </cell>
        </row>
        <row r="174">
          <cell r="E174">
            <v>60</v>
          </cell>
        </row>
        <row r="175">
          <cell r="E175">
            <v>0</v>
          </cell>
        </row>
        <row r="176">
          <cell r="E176">
            <v>0</v>
          </cell>
        </row>
        <row r="177">
          <cell r="E177">
            <v>5</v>
          </cell>
        </row>
        <row r="178">
          <cell r="E178">
            <v>2</v>
          </cell>
        </row>
        <row r="179">
          <cell r="E179">
            <v>84</v>
          </cell>
        </row>
        <row r="180">
          <cell r="E180">
            <v>14</v>
          </cell>
        </row>
        <row r="181">
          <cell r="E181">
            <v>9</v>
          </cell>
        </row>
        <row r="182">
          <cell r="E182">
            <v>15</v>
          </cell>
        </row>
        <row r="183">
          <cell r="E183">
            <v>307</v>
          </cell>
        </row>
        <row r="184">
          <cell r="E184">
            <v>266</v>
          </cell>
        </row>
        <row r="185">
          <cell r="E185">
            <v>17</v>
          </cell>
        </row>
        <row r="186">
          <cell r="E186">
            <v>50.11</v>
          </cell>
        </row>
        <row r="187">
          <cell r="E187">
            <v>1.07</v>
          </cell>
        </row>
        <row r="188">
          <cell r="E188">
            <v>1.17</v>
          </cell>
        </row>
        <row r="189">
          <cell r="E189">
            <v>0</v>
          </cell>
        </row>
        <row r="190">
          <cell r="E190">
            <v>11</v>
          </cell>
        </row>
        <row r="191">
          <cell r="E191">
            <v>2</v>
          </cell>
        </row>
        <row r="192">
          <cell r="E192">
            <v>31</v>
          </cell>
        </row>
        <row r="193">
          <cell r="E193">
            <v>2</v>
          </cell>
        </row>
        <row r="194">
          <cell r="E194">
            <v>73</v>
          </cell>
        </row>
        <row r="195">
          <cell r="E195">
            <v>10</v>
          </cell>
        </row>
        <row r="196">
          <cell r="E196">
            <v>16</v>
          </cell>
        </row>
        <row r="197">
          <cell r="E197">
            <v>0</v>
          </cell>
        </row>
        <row r="198">
          <cell r="E198">
            <v>2.97</v>
          </cell>
        </row>
        <row r="199">
          <cell r="E199">
            <v>0.2</v>
          </cell>
        </row>
        <row r="200">
          <cell r="E200">
            <v>0</v>
          </cell>
        </row>
        <row r="201">
          <cell r="E201">
            <v>36</v>
          </cell>
        </row>
        <row r="202">
          <cell r="E202">
            <v>0.99999999999999745</v>
          </cell>
        </row>
        <row r="203">
          <cell r="E203">
            <v>0.99999999999999745</v>
          </cell>
        </row>
        <row r="204">
          <cell r="E204">
            <v>4</v>
          </cell>
        </row>
        <row r="205">
          <cell r="E205">
            <v>11</v>
          </cell>
        </row>
        <row r="206">
          <cell r="E206">
            <v>0</v>
          </cell>
        </row>
        <row r="207">
          <cell r="E207">
            <v>122</v>
          </cell>
        </row>
        <row r="208">
          <cell r="E208">
            <v>1.17</v>
          </cell>
        </row>
        <row r="209">
          <cell r="E209">
            <v>76</v>
          </cell>
        </row>
        <row r="210">
          <cell r="E210">
            <v>2031</v>
          </cell>
        </row>
        <row r="213">
          <cell r="E213">
            <v>180.36</v>
          </cell>
        </row>
        <row r="214">
          <cell r="E214">
            <v>9.3000000000000007</v>
          </cell>
        </row>
        <row r="215">
          <cell r="E215">
            <v>0</v>
          </cell>
        </row>
        <row r="216">
          <cell r="E216">
            <v>96</v>
          </cell>
        </row>
        <row r="217">
          <cell r="E217">
            <v>60</v>
          </cell>
        </row>
        <row r="218">
          <cell r="E218">
            <v>6</v>
          </cell>
        </row>
        <row r="219">
          <cell r="E219">
            <v>3</v>
          </cell>
        </row>
        <row r="220">
          <cell r="E220">
            <v>18</v>
          </cell>
        </row>
        <row r="221">
          <cell r="E221">
            <v>0</v>
          </cell>
        </row>
        <row r="222">
          <cell r="E222">
            <v>156</v>
          </cell>
        </row>
        <row r="223">
          <cell r="E223">
            <v>0</v>
          </cell>
        </row>
        <row r="224">
          <cell r="E224">
            <v>156</v>
          </cell>
        </row>
        <row r="225">
          <cell r="E225">
            <v>4</v>
          </cell>
        </row>
        <row r="226">
          <cell r="E226">
            <v>11</v>
          </cell>
        </row>
        <row r="227">
          <cell r="E227">
            <v>0</v>
          </cell>
        </row>
        <row r="228">
          <cell r="E228">
            <v>0</v>
          </cell>
        </row>
        <row r="231">
          <cell r="E231">
            <v>87.36</v>
          </cell>
        </row>
        <row r="232">
          <cell r="E232">
            <v>5.6</v>
          </cell>
        </row>
        <row r="233">
          <cell r="E233">
            <v>83</v>
          </cell>
        </row>
        <row r="234">
          <cell r="E234">
            <v>0</v>
          </cell>
        </row>
        <row r="235">
          <cell r="E235">
            <v>0</v>
          </cell>
        </row>
        <row r="236">
          <cell r="E236">
            <v>0</v>
          </cell>
        </row>
        <row r="237">
          <cell r="E237">
            <v>85.8</v>
          </cell>
        </row>
        <row r="238">
          <cell r="E238">
            <v>5.5</v>
          </cell>
        </row>
        <row r="241">
          <cell r="E241">
            <v>7</v>
          </cell>
        </row>
        <row r="242">
          <cell r="E242">
            <v>0</v>
          </cell>
        </row>
        <row r="243">
          <cell r="E243">
            <v>7</v>
          </cell>
        </row>
        <row r="244">
          <cell r="E244">
            <v>3</v>
          </cell>
        </row>
        <row r="245">
          <cell r="E245">
            <v>18</v>
          </cell>
        </row>
        <row r="246">
          <cell r="E246">
            <v>5</v>
          </cell>
        </row>
        <row r="247">
          <cell r="E247">
            <v>1</v>
          </cell>
        </row>
        <row r="248">
          <cell r="E248">
            <v>1</v>
          </cell>
        </row>
        <row r="249">
          <cell r="E249">
            <v>3</v>
          </cell>
        </row>
        <row r="250">
          <cell r="E250">
            <v>0</v>
          </cell>
        </row>
        <row r="251">
          <cell r="E251">
            <v>1</v>
          </cell>
        </row>
        <row r="252">
          <cell r="E252">
            <v>5</v>
          </cell>
        </row>
        <row r="253">
          <cell r="E253">
            <v>0</v>
          </cell>
        </row>
        <row r="254">
          <cell r="E254">
            <v>1</v>
          </cell>
        </row>
        <row r="255">
          <cell r="E255">
            <v>0</v>
          </cell>
        </row>
        <row r="256">
          <cell r="E256">
            <v>7</v>
          </cell>
        </row>
        <row r="257">
          <cell r="E257">
            <v>0</v>
          </cell>
        </row>
        <row r="258">
          <cell r="E258">
            <v>0</v>
          </cell>
        </row>
        <row r="259">
          <cell r="E259">
            <v>0</v>
          </cell>
        </row>
        <row r="260">
          <cell r="E260">
            <v>0</v>
          </cell>
        </row>
        <row r="261">
          <cell r="E261">
            <v>0</v>
          </cell>
        </row>
        <row r="262">
          <cell r="E262">
            <v>0</v>
          </cell>
        </row>
        <row r="263">
          <cell r="E263">
            <v>2</v>
          </cell>
        </row>
        <row r="264">
          <cell r="E264">
            <v>26</v>
          </cell>
        </row>
        <row r="265">
          <cell r="E265">
            <v>1</v>
          </cell>
        </row>
        <row r="266">
          <cell r="E266">
            <v>1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2</v>
          </cell>
        </row>
        <row r="271">
          <cell r="E271">
            <v>1</v>
          </cell>
        </row>
        <row r="272">
          <cell r="E272">
            <v>52</v>
          </cell>
        </row>
        <row r="273">
          <cell r="E273">
            <v>2</v>
          </cell>
        </row>
        <row r="274">
          <cell r="E274">
            <v>21</v>
          </cell>
        </row>
        <row r="275">
          <cell r="E275">
            <v>8</v>
          </cell>
        </row>
        <row r="276">
          <cell r="E276">
            <v>1</v>
          </cell>
        </row>
        <row r="279">
          <cell r="E279">
            <v>51.18</v>
          </cell>
        </row>
        <row r="280">
          <cell r="E280">
            <v>1.17</v>
          </cell>
        </row>
        <row r="283">
          <cell r="E283">
            <v>284.22000000000003</v>
          </cell>
        </row>
        <row r="284">
          <cell r="E284">
            <v>15.1</v>
          </cell>
        </row>
        <row r="285">
          <cell r="E285">
            <v>162</v>
          </cell>
        </row>
        <row r="286">
          <cell r="E286">
            <v>10</v>
          </cell>
        </row>
        <row r="287">
          <cell r="E287">
            <v>0</v>
          </cell>
        </row>
        <row r="288">
          <cell r="E288">
            <v>0</v>
          </cell>
        </row>
        <row r="289">
          <cell r="E289">
            <v>296.39999999999998</v>
          </cell>
        </row>
        <row r="290">
          <cell r="E290">
            <v>8</v>
          </cell>
        </row>
        <row r="291">
          <cell r="E291">
            <v>0</v>
          </cell>
        </row>
        <row r="294">
          <cell r="E294">
            <v>175.84</v>
          </cell>
        </row>
        <row r="295">
          <cell r="E295">
            <v>9.25</v>
          </cell>
        </row>
        <row r="296">
          <cell r="E296">
            <v>185.1</v>
          </cell>
        </row>
        <row r="297">
          <cell r="E297">
            <v>0</v>
          </cell>
        </row>
        <row r="298">
          <cell r="E298">
            <v>764.75</v>
          </cell>
        </row>
        <row r="299">
          <cell r="E299">
            <v>36</v>
          </cell>
        </row>
        <row r="300">
          <cell r="E300">
            <v>76</v>
          </cell>
        </row>
        <row r="301">
          <cell r="E301">
            <v>2031</v>
          </cell>
        </row>
        <row r="302">
          <cell r="E302">
            <v>10</v>
          </cell>
        </row>
        <row r="305">
          <cell r="E305">
            <v>21.65</v>
          </cell>
        </row>
        <row r="306">
          <cell r="E306">
            <v>21.65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REDCAD"/>
      <sheetName val="Hoja7"/>
      <sheetName val="Hoja6"/>
      <sheetName val="Hoja4"/>
      <sheetName val="Metrado"/>
      <sheetName val="M_01"/>
      <sheetName val="M_02"/>
      <sheetName val="M_03"/>
      <sheetName val="M_06"/>
      <sheetName val="M_07"/>
      <sheetName val="M_08"/>
      <sheetName val="M_09"/>
      <sheetName val="M_10"/>
      <sheetName val="M_11"/>
      <sheetName val="M_13"/>
      <sheetName val="M_15"/>
      <sheetName val="M_16"/>
      <sheetName val="M_17"/>
      <sheetName val="M_18"/>
      <sheetName val="M_19"/>
      <sheetName val="M_20"/>
      <sheetName val="P_01"/>
      <sheetName val="P_02"/>
      <sheetName val="P_03"/>
      <sheetName val="P_06"/>
      <sheetName val="P_07"/>
      <sheetName val="P_08"/>
      <sheetName val="P_09"/>
      <sheetName val="P_10"/>
      <sheetName val="P_11"/>
      <sheetName val="P_13"/>
      <sheetName val="P_15"/>
      <sheetName val="P_16"/>
      <sheetName val="P_17"/>
      <sheetName val="P_18"/>
      <sheetName val="P_19"/>
      <sheetName val="P_20"/>
    </sheetNames>
    <sheetDataSet>
      <sheetData sheetId="0"/>
      <sheetData sheetId="1"/>
      <sheetData sheetId="2"/>
      <sheetData sheetId="3"/>
      <sheetData sheetId="4"/>
      <sheetData sheetId="5">
        <row r="13">
          <cell r="E13">
            <v>10</v>
          </cell>
        </row>
        <row r="14">
          <cell r="E14">
            <v>0</v>
          </cell>
        </row>
        <row r="15">
          <cell r="E15">
            <v>2</v>
          </cell>
        </row>
        <row r="16">
          <cell r="E16">
            <v>3</v>
          </cell>
        </row>
        <row r="19">
          <cell r="E19">
            <v>1</v>
          </cell>
        </row>
        <row r="20">
          <cell r="E20">
            <v>13</v>
          </cell>
        </row>
        <row r="21">
          <cell r="E21">
            <v>11</v>
          </cell>
        </row>
        <row r="22">
          <cell r="E22">
            <v>14</v>
          </cell>
        </row>
        <row r="25">
          <cell r="E25">
            <v>0</v>
          </cell>
        </row>
        <row r="28">
          <cell r="E28">
            <v>0</v>
          </cell>
        </row>
        <row r="29">
          <cell r="E29">
            <v>5</v>
          </cell>
        </row>
        <row r="32">
          <cell r="E32">
            <v>5</v>
          </cell>
        </row>
        <row r="33">
          <cell r="E33">
            <v>60</v>
          </cell>
        </row>
        <row r="34">
          <cell r="E34">
            <v>5</v>
          </cell>
        </row>
        <row r="37">
          <cell r="E37">
            <v>25</v>
          </cell>
        </row>
        <row r="38">
          <cell r="E38">
            <v>17</v>
          </cell>
        </row>
        <row r="40">
          <cell r="E40">
            <v>50</v>
          </cell>
        </row>
        <row r="41">
          <cell r="E41">
            <v>8</v>
          </cell>
        </row>
        <row r="44">
          <cell r="E44">
            <v>23</v>
          </cell>
        </row>
        <row r="45">
          <cell r="E45">
            <v>23</v>
          </cell>
        </row>
        <row r="48">
          <cell r="E48">
            <v>3.9891797999999996</v>
          </cell>
        </row>
        <row r="51">
          <cell r="E51">
            <v>47</v>
          </cell>
        </row>
        <row r="52">
          <cell r="E52">
            <v>40</v>
          </cell>
        </row>
        <row r="53">
          <cell r="E53">
            <v>227.5</v>
          </cell>
        </row>
        <row r="54">
          <cell r="E54">
            <v>22</v>
          </cell>
        </row>
        <row r="55">
          <cell r="E55">
            <v>3</v>
          </cell>
        </row>
        <row r="56">
          <cell r="E56">
            <v>13.799999999999999</v>
          </cell>
        </row>
        <row r="59">
          <cell r="E59">
            <v>431.5</v>
          </cell>
        </row>
        <row r="62">
          <cell r="E62">
            <v>20</v>
          </cell>
        </row>
        <row r="63">
          <cell r="E63">
            <v>15</v>
          </cell>
        </row>
        <row r="64">
          <cell r="E64">
            <v>25</v>
          </cell>
        </row>
        <row r="65">
          <cell r="E65">
            <v>30</v>
          </cell>
        </row>
        <row r="66">
          <cell r="E66">
            <v>15</v>
          </cell>
        </row>
        <row r="67">
          <cell r="E67">
            <v>7</v>
          </cell>
        </row>
        <row r="68">
          <cell r="E68">
            <v>60</v>
          </cell>
        </row>
        <row r="69">
          <cell r="E69">
            <v>0</v>
          </cell>
        </row>
        <row r="70">
          <cell r="E70">
            <v>20</v>
          </cell>
        </row>
        <row r="71">
          <cell r="E71">
            <v>149</v>
          </cell>
        </row>
        <row r="72">
          <cell r="E72">
            <v>212</v>
          </cell>
        </row>
        <row r="73">
          <cell r="E73">
            <v>17</v>
          </cell>
        </row>
        <row r="74">
          <cell r="E74">
            <v>0</v>
          </cell>
        </row>
        <row r="75">
          <cell r="E75">
            <v>0</v>
          </cell>
        </row>
        <row r="76">
          <cell r="E76">
            <v>0</v>
          </cell>
        </row>
        <row r="77">
          <cell r="E77">
            <v>6</v>
          </cell>
        </row>
        <row r="78">
          <cell r="E78">
            <v>6</v>
          </cell>
        </row>
        <row r="79">
          <cell r="E79">
            <v>6</v>
          </cell>
        </row>
        <row r="82">
          <cell r="E82">
            <v>0</v>
          </cell>
        </row>
        <row r="83">
          <cell r="E83">
            <v>14</v>
          </cell>
        </row>
        <row r="84">
          <cell r="E84">
            <v>72</v>
          </cell>
        </row>
        <row r="85">
          <cell r="E85">
            <v>21</v>
          </cell>
        </row>
        <row r="86">
          <cell r="E86">
            <v>14</v>
          </cell>
        </row>
        <row r="87">
          <cell r="E87">
            <v>14</v>
          </cell>
        </row>
        <row r="88">
          <cell r="E88">
            <v>14</v>
          </cell>
        </row>
        <row r="89">
          <cell r="E89">
            <v>14</v>
          </cell>
        </row>
        <row r="90">
          <cell r="E90">
            <v>14</v>
          </cell>
        </row>
        <row r="91">
          <cell r="E91">
            <v>8</v>
          </cell>
        </row>
        <row r="92">
          <cell r="E92">
            <v>14</v>
          </cell>
        </row>
        <row r="93">
          <cell r="E93">
            <v>212</v>
          </cell>
        </row>
        <row r="96">
          <cell r="E96">
            <v>45</v>
          </cell>
        </row>
        <row r="97">
          <cell r="E97">
            <v>45</v>
          </cell>
        </row>
        <row r="98">
          <cell r="E98">
            <v>117</v>
          </cell>
        </row>
        <row r="99">
          <cell r="E99">
            <v>45</v>
          </cell>
        </row>
        <row r="100">
          <cell r="E100">
            <v>101</v>
          </cell>
        </row>
        <row r="101">
          <cell r="E101">
            <v>40</v>
          </cell>
        </row>
        <row r="102">
          <cell r="E102">
            <v>59</v>
          </cell>
        </row>
        <row r="103">
          <cell r="E103">
            <v>0</v>
          </cell>
        </row>
        <row r="104">
          <cell r="E104">
            <v>15</v>
          </cell>
        </row>
        <row r="105">
          <cell r="E105">
            <v>135</v>
          </cell>
        </row>
        <row r="108">
          <cell r="E108">
            <v>22</v>
          </cell>
        </row>
        <row r="109">
          <cell r="E109">
            <v>22</v>
          </cell>
        </row>
        <row r="110">
          <cell r="E110">
            <v>12</v>
          </cell>
        </row>
        <row r="111">
          <cell r="E111">
            <v>10</v>
          </cell>
        </row>
        <row r="114">
          <cell r="E114">
            <v>8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2</v>
          </cell>
        </row>
        <row r="118">
          <cell r="E118">
            <v>3</v>
          </cell>
        </row>
        <row r="121">
          <cell r="E121">
            <v>11</v>
          </cell>
        </row>
        <row r="122">
          <cell r="E122">
            <v>1</v>
          </cell>
        </row>
        <row r="123">
          <cell r="E123">
            <v>0</v>
          </cell>
        </row>
        <row r="124">
          <cell r="E124">
            <v>3</v>
          </cell>
        </row>
        <row r="127">
          <cell r="E127">
            <v>60</v>
          </cell>
        </row>
        <row r="128">
          <cell r="E128">
            <v>128</v>
          </cell>
        </row>
        <row r="129">
          <cell r="E129">
            <v>36</v>
          </cell>
        </row>
        <row r="134">
          <cell r="E134">
            <v>1</v>
          </cell>
        </row>
        <row r="135">
          <cell r="E135">
            <v>13</v>
          </cell>
        </row>
        <row r="136">
          <cell r="E136">
            <v>11</v>
          </cell>
        </row>
        <row r="137">
          <cell r="E137">
            <v>14</v>
          </cell>
        </row>
        <row r="138">
          <cell r="E138">
            <v>0</v>
          </cell>
        </row>
        <row r="139">
          <cell r="E139">
            <v>5</v>
          </cell>
        </row>
        <row r="140">
          <cell r="E140">
            <v>5</v>
          </cell>
        </row>
        <row r="141">
          <cell r="E141">
            <v>21</v>
          </cell>
        </row>
        <row r="142">
          <cell r="E142">
            <v>4</v>
          </cell>
        </row>
        <row r="143">
          <cell r="E143">
            <v>50</v>
          </cell>
        </row>
        <row r="144">
          <cell r="E144">
            <v>22</v>
          </cell>
        </row>
        <row r="145">
          <cell r="E145">
            <v>3.8289824999999995</v>
          </cell>
        </row>
        <row r="146">
          <cell r="E146">
            <v>0.16019729999999996</v>
          </cell>
        </row>
        <row r="147">
          <cell r="E147">
            <v>17</v>
          </cell>
        </row>
        <row r="148">
          <cell r="E148">
            <v>5</v>
          </cell>
        </row>
        <row r="149">
          <cell r="E149">
            <v>17</v>
          </cell>
        </row>
        <row r="150">
          <cell r="E150">
            <v>5</v>
          </cell>
        </row>
        <row r="151">
          <cell r="E151">
            <v>14</v>
          </cell>
        </row>
        <row r="152">
          <cell r="E152">
            <v>30</v>
          </cell>
        </row>
        <row r="153">
          <cell r="E153">
            <v>15</v>
          </cell>
        </row>
        <row r="154">
          <cell r="E154">
            <v>0.32</v>
          </cell>
        </row>
        <row r="155">
          <cell r="E155">
            <v>0.12</v>
          </cell>
        </row>
        <row r="156">
          <cell r="E156">
            <v>1</v>
          </cell>
        </row>
        <row r="157">
          <cell r="E157">
            <v>1</v>
          </cell>
        </row>
        <row r="158">
          <cell r="E158">
            <v>3</v>
          </cell>
        </row>
        <row r="159">
          <cell r="E159">
            <v>5</v>
          </cell>
        </row>
        <row r="160">
          <cell r="E160">
            <v>3</v>
          </cell>
        </row>
        <row r="161">
          <cell r="E161">
            <v>1</v>
          </cell>
        </row>
        <row r="162">
          <cell r="E162">
            <v>65</v>
          </cell>
        </row>
        <row r="163">
          <cell r="E163">
            <v>5</v>
          </cell>
        </row>
        <row r="164">
          <cell r="E164">
            <v>0</v>
          </cell>
        </row>
        <row r="165">
          <cell r="E165">
            <v>5</v>
          </cell>
        </row>
        <row r="166">
          <cell r="E166">
            <v>2</v>
          </cell>
        </row>
        <row r="167">
          <cell r="E167">
            <v>3</v>
          </cell>
        </row>
        <row r="168">
          <cell r="E168">
            <v>1</v>
          </cell>
        </row>
        <row r="169">
          <cell r="E169">
            <v>3</v>
          </cell>
        </row>
        <row r="172">
          <cell r="E172">
            <v>42.962999999999994</v>
          </cell>
        </row>
        <row r="173">
          <cell r="E173">
            <v>2.036</v>
          </cell>
        </row>
        <row r="174">
          <cell r="E174">
            <v>1</v>
          </cell>
        </row>
        <row r="175">
          <cell r="E175">
            <v>13</v>
          </cell>
        </row>
        <row r="176">
          <cell r="E176">
            <v>11</v>
          </cell>
        </row>
        <row r="177">
          <cell r="E177">
            <v>14</v>
          </cell>
        </row>
        <row r="178">
          <cell r="E178">
            <v>0</v>
          </cell>
        </row>
        <row r="179">
          <cell r="E179">
            <v>17.194999999999997</v>
          </cell>
        </row>
        <row r="180">
          <cell r="E180">
            <v>25</v>
          </cell>
        </row>
        <row r="181">
          <cell r="E181">
            <v>0</v>
          </cell>
        </row>
        <row r="182">
          <cell r="E182">
            <v>25</v>
          </cell>
        </row>
        <row r="183">
          <cell r="E183">
            <v>0</v>
          </cell>
        </row>
        <row r="184">
          <cell r="E184">
            <v>5</v>
          </cell>
        </row>
        <row r="187">
          <cell r="E187">
            <v>14.534000000000002</v>
          </cell>
        </row>
        <row r="188">
          <cell r="E188">
            <v>1.1180000000000001</v>
          </cell>
        </row>
        <row r="189">
          <cell r="E189">
            <v>6</v>
          </cell>
        </row>
        <row r="190">
          <cell r="E190">
            <v>8</v>
          </cell>
        </row>
        <row r="191">
          <cell r="E191">
            <v>14.222000000000003</v>
          </cell>
        </row>
        <row r="192">
          <cell r="E192">
            <v>1.0940000000000001</v>
          </cell>
        </row>
        <row r="195">
          <cell r="E195">
            <v>7</v>
          </cell>
        </row>
        <row r="196">
          <cell r="E196">
            <v>4</v>
          </cell>
        </row>
        <row r="197">
          <cell r="E197">
            <v>0</v>
          </cell>
        </row>
        <row r="198">
          <cell r="E198">
            <v>8</v>
          </cell>
        </row>
        <row r="199">
          <cell r="E199">
            <v>0</v>
          </cell>
        </row>
        <row r="200">
          <cell r="E200">
            <v>8</v>
          </cell>
        </row>
        <row r="201">
          <cell r="E201">
            <v>0</v>
          </cell>
        </row>
        <row r="202">
          <cell r="E202">
            <v>17</v>
          </cell>
        </row>
        <row r="203">
          <cell r="E203">
            <v>6</v>
          </cell>
        </row>
        <row r="204">
          <cell r="E204">
            <v>5</v>
          </cell>
        </row>
        <row r="205">
          <cell r="E205">
            <v>2</v>
          </cell>
        </row>
        <row r="206">
          <cell r="E206">
            <v>3</v>
          </cell>
        </row>
        <row r="207">
          <cell r="E207">
            <v>2</v>
          </cell>
        </row>
        <row r="208">
          <cell r="E208">
            <v>2</v>
          </cell>
        </row>
        <row r="209">
          <cell r="E209">
            <v>4</v>
          </cell>
        </row>
        <row r="210">
          <cell r="E210">
            <v>3</v>
          </cell>
        </row>
        <row r="211">
          <cell r="E211">
            <v>2</v>
          </cell>
        </row>
        <row r="212">
          <cell r="E212"/>
        </row>
        <row r="215">
          <cell r="E215">
            <v>3.9891797999999996</v>
          </cell>
        </row>
        <row r="218">
          <cell r="E218">
            <v>71.245999999999995</v>
          </cell>
        </row>
        <row r="219">
          <cell r="E219">
            <v>5.0890000000000004</v>
          </cell>
        </row>
        <row r="220">
          <cell r="E220">
            <v>29</v>
          </cell>
        </row>
        <row r="221">
          <cell r="E221">
            <v>0</v>
          </cell>
        </row>
        <row r="222">
          <cell r="E222">
            <v>15</v>
          </cell>
        </row>
        <row r="223">
          <cell r="E223">
            <v>0</v>
          </cell>
        </row>
        <row r="224">
          <cell r="E224">
            <v>72.375000000000014</v>
          </cell>
        </row>
        <row r="227">
          <cell r="E227">
            <v>15</v>
          </cell>
        </row>
        <row r="228">
          <cell r="E228">
            <v>15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PL"/>
      <sheetName val="M"/>
      <sheetName val="Metrado"/>
      <sheetName val="REDCAD"/>
      <sheetName val="Hoja5"/>
      <sheetName val="Hoja1"/>
      <sheetName val="PL_01"/>
      <sheetName val="PL_02"/>
      <sheetName val="PL_03"/>
      <sheetName val="PL_06"/>
      <sheetName val="PL_07"/>
      <sheetName val="PL_08"/>
      <sheetName val="PL_09"/>
      <sheetName val="PL_10"/>
      <sheetName val="PL_11"/>
      <sheetName val="PL_12"/>
      <sheetName val="PL_13"/>
      <sheetName val="PL_14"/>
      <sheetName val="PL_15"/>
      <sheetName val="PL_16"/>
      <sheetName val="PL_17"/>
      <sheetName val="PL_18"/>
      <sheetName val="PL_19"/>
      <sheetName val="PL_20"/>
      <sheetName val="M_01"/>
      <sheetName val="M_02"/>
      <sheetName val="M_03"/>
      <sheetName val="M_06"/>
      <sheetName val="M_07"/>
      <sheetName val="M_08"/>
      <sheetName val="M_09"/>
      <sheetName val="M_10"/>
      <sheetName val="M_11"/>
      <sheetName val="M_12"/>
      <sheetName val="M_13"/>
      <sheetName val="M_14"/>
      <sheetName val="M_15"/>
      <sheetName val="M_16"/>
      <sheetName val="M_17"/>
      <sheetName val="M_18"/>
      <sheetName val="M_19"/>
      <sheetName val="M_20"/>
    </sheetNames>
    <sheetDataSet>
      <sheetData sheetId="0"/>
      <sheetData sheetId="1"/>
      <sheetData sheetId="2"/>
      <sheetData sheetId="3">
        <row r="12">
          <cell r="F12">
            <v>141</v>
          </cell>
        </row>
        <row r="13">
          <cell r="F13">
            <v>100</v>
          </cell>
        </row>
        <row r="16">
          <cell r="F16">
            <v>0</v>
          </cell>
        </row>
        <row r="19">
          <cell r="F19">
            <v>14</v>
          </cell>
        </row>
        <row r="20">
          <cell r="F20">
            <v>16</v>
          </cell>
        </row>
        <row r="23">
          <cell r="F23">
            <v>0.53</v>
          </cell>
        </row>
        <row r="24">
          <cell r="F24">
            <v>0</v>
          </cell>
        </row>
        <row r="25">
          <cell r="F25">
            <v>3.61</v>
          </cell>
        </row>
        <row r="26">
          <cell r="F26">
            <v>0</v>
          </cell>
        </row>
        <row r="27">
          <cell r="F27">
            <v>0.06</v>
          </cell>
        </row>
        <row r="28">
          <cell r="F28">
            <v>0.44</v>
          </cell>
        </row>
        <row r="29">
          <cell r="F29">
            <v>4.3100000000000005</v>
          </cell>
        </row>
        <row r="30">
          <cell r="F30">
            <v>5.25</v>
          </cell>
        </row>
        <row r="33">
          <cell r="F33">
            <v>182</v>
          </cell>
        </row>
        <row r="34">
          <cell r="F34">
            <v>287</v>
          </cell>
        </row>
        <row r="35">
          <cell r="F35">
            <v>0</v>
          </cell>
        </row>
        <row r="36">
          <cell r="F36">
            <v>27</v>
          </cell>
        </row>
        <row r="37">
          <cell r="F37">
            <v>12</v>
          </cell>
        </row>
        <row r="38">
          <cell r="F38">
            <v>232</v>
          </cell>
        </row>
        <row r="39">
          <cell r="F39">
            <v>2278</v>
          </cell>
        </row>
        <row r="40">
          <cell r="F40">
            <v>61</v>
          </cell>
        </row>
        <row r="41">
          <cell r="F41">
            <v>183</v>
          </cell>
        </row>
        <row r="42">
          <cell r="F42">
            <v>9</v>
          </cell>
        </row>
        <row r="43">
          <cell r="F43">
            <v>9</v>
          </cell>
        </row>
        <row r="44">
          <cell r="F44">
            <v>9</v>
          </cell>
        </row>
        <row r="47">
          <cell r="F47">
            <v>18</v>
          </cell>
        </row>
        <row r="48">
          <cell r="F48">
            <v>160</v>
          </cell>
        </row>
        <row r="49">
          <cell r="F49">
            <v>7465</v>
          </cell>
        </row>
        <row r="50">
          <cell r="F50">
            <v>912</v>
          </cell>
        </row>
        <row r="53">
          <cell r="F53">
            <v>0</v>
          </cell>
        </row>
        <row r="54">
          <cell r="F54">
            <v>80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80</v>
          </cell>
        </row>
        <row r="58">
          <cell r="F58">
            <v>143</v>
          </cell>
        </row>
        <row r="59">
          <cell r="F59">
            <v>17</v>
          </cell>
        </row>
        <row r="60">
          <cell r="F60">
            <v>80</v>
          </cell>
        </row>
        <row r="63">
          <cell r="F63">
            <v>0</v>
          </cell>
        </row>
        <row r="64">
          <cell r="F64">
            <v>117</v>
          </cell>
        </row>
        <row r="65">
          <cell r="F65">
            <v>3</v>
          </cell>
        </row>
        <row r="66">
          <cell r="F66">
            <v>120</v>
          </cell>
        </row>
        <row r="67">
          <cell r="F67">
            <v>120</v>
          </cell>
        </row>
        <row r="68">
          <cell r="F68">
            <v>240</v>
          </cell>
        </row>
        <row r="69">
          <cell r="F69">
            <v>240</v>
          </cell>
        </row>
        <row r="70">
          <cell r="F70">
            <v>27</v>
          </cell>
        </row>
        <row r="71">
          <cell r="F71">
            <v>360</v>
          </cell>
        </row>
        <row r="72">
          <cell r="F72">
            <v>120</v>
          </cell>
        </row>
        <row r="73">
          <cell r="F73">
            <v>120</v>
          </cell>
        </row>
        <row r="74">
          <cell r="F74">
            <v>120</v>
          </cell>
        </row>
        <row r="75">
          <cell r="F75">
            <v>1173</v>
          </cell>
        </row>
        <row r="79">
          <cell r="F79">
            <v>160</v>
          </cell>
        </row>
        <row r="80">
          <cell r="F80">
            <v>22</v>
          </cell>
        </row>
        <row r="81">
          <cell r="F81">
            <v>126</v>
          </cell>
        </row>
        <row r="82">
          <cell r="F82">
            <v>16</v>
          </cell>
        </row>
        <row r="83">
          <cell r="F83">
            <v>158</v>
          </cell>
        </row>
        <row r="84">
          <cell r="F84">
            <v>38</v>
          </cell>
        </row>
        <row r="85">
          <cell r="F85">
            <v>100</v>
          </cell>
        </row>
        <row r="86">
          <cell r="F86">
            <v>9</v>
          </cell>
        </row>
        <row r="87">
          <cell r="F87">
            <v>80</v>
          </cell>
        </row>
        <row r="88">
          <cell r="F88">
            <v>580</v>
          </cell>
        </row>
        <row r="89">
          <cell r="F89">
            <v>9</v>
          </cell>
        </row>
        <row r="90">
          <cell r="F90">
            <v>204</v>
          </cell>
        </row>
        <row r="91">
          <cell r="F91">
            <v>0</v>
          </cell>
        </row>
        <row r="92">
          <cell r="F92">
            <v>36</v>
          </cell>
        </row>
        <row r="93">
          <cell r="F93">
            <v>3</v>
          </cell>
        </row>
        <row r="94">
          <cell r="F94">
            <v>6</v>
          </cell>
        </row>
        <row r="97">
          <cell r="F97">
            <v>76</v>
          </cell>
        </row>
        <row r="98">
          <cell r="F98">
            <v>22</v>
          </cell>
        </row>
        <row r="99">
          <cell r="F99">
            <v>76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15</v>
          </cell>
        </row>
        <row r="103">
          <cell r="F103">
            <v>76</v>
          </cell>
        </row>
        <row r="104">
          <cell r="F104">
            <v>228</v>
          </cell>
        </row>
        <row r="107">
          <cell r="F107">
            <v>221</v>
          </cell>
        </row>
        <row r="108">
          <cell r="F108">
            <v>155</v>
          </cell>
        </row>
        <row r="109">
          <cell r="F109">
            <v>0</v>
          </cell>
        </row>
        <row r="110">
          <cell r="F110">
            <v>42</v>
          </cell>
        </row>
        <row r="111">
          <cell r="F111">
            <v>244</v>
          </cell>
        </row>
        <row r="112">
          <cell r="F112">
            <v>0</v>
          </cell>
        </row>
        <row r="113">
          <cell r="F113">
            <v>2212.5</v>
          </cell>
        </row>
        <row r="114">
          <cell r="F114">
            <v>60</v>
          </cell>
        </row>
        <row r="115">
          <cell r="F115">
            <v>340</v>
          </cell>
        </row>
        <row r="116">
          <cell r="F116">
            <v>488</v>
          </cell>
        </row>
        <row r="117">
          <cell r="F117">
            <v>1708</v>
          </cell>
        </row>
        <row r="118">
          <cell r="F118">
            <v>244</v>
          </cell>
        </row>
        <row r="119">
          <cell r="F119">
            <v>244</v>
          </cell>
        </row>
        <row r="124">
          <cell r="F124">
            <v>141</v>
          </cell>
        </row>
        <row r="125">
          <cell r="F125">
            <v>100</v>
          </cell>
        </row>
        <row r="126">
          <cell r="F126">
            <v>0</v>
          </cell>
        </row>
        <row r="127">
          <cell r="F127">
            <v>88</v>
          </cell>
        </row>
        <row r="128">
          <cell r="F128">
            <v>32</v>
          </cell>
        </row>
        <row r="129">
          <cell r="F129">
            <v>1.0000000000000004</v>
          </cell>
        </row>
        <row r="130">
          <cell r="F130">
            <v>1.0000000000000004</v>
          </cell>
        </row>
        <row r="131">
          <cell r="F131">
            <v>0.11</v>
          </cell>
        </row>
        <row r="132">
          <cell r="F132">
            <v>0</v>
          </cell>
        </row>
        <row r="133">
          <cell r="F133">
            <v>1.0900000000000001</v>
          </cell>
        </row>
        <row r="134">
          <cell r="F134">
            <v>0</v>
          </cell>
        </row>
        <row r="135">
          <cell r="F135">
            <v>0.06</v>
          </cell>
        </row>
        <row r="136">
          <cell r="F136">
            <v>0</v>
          </cell>
        </row>
        <row r="137">
          <cell r="F137">
            <v>0.72000000000000008</v>
          </cell>
        </row>
        <row r="138">
          <cell r="F138">
            <v>0.16999999999999998</v>
          </cell>
        </row>
        <row r="139">
          <cell r="F139">
            <v>14</v>
          </cell>
        </row>
        <row r="140">
          <cell r="F140">
            <v>16</v>
          </cell>
        </row>
        <row r="141">
          <cell r="F141">
            <v>0.44</v>
          </cell>
        </row>
        <row r="142">
          <cell r="F142">
            <v>4.3100000000000005</v>
          </cell>
        </row>
        <row r="143">
          <cell r="F143">
            <v>5.25</v>
          </cell>
        </row>
        <row r="144">
          <cell r="F144">
            <v>0.42</v>
          </cell>
        </row>
        <row r="145">
          <cell r="F145">
            <v>2.5299999999999998</v>
          </cell>
        </row>
        <row r="146">
          <cell r="F146">
            <v>6.8100000000000005</v>
          </cell>
        </row>
        <row r="147">
          <cell r="F147">
            <v>0.68000000000000016</v>
          </cell>
        </row>
        <row r="148">
          <cell r="F148">
            <v>70</v>
          </cell>
        </row>
        <row r="149">
          <cell r="F149">
            <v>10</v>
          </cell>
        </row>
        <row r="152">
          <cell r="F152">
            <v>115.14000000000001</v>
          </cell>
        </row>
        <row r="153">
          <cell r="F153">
            <v>5.88</v>
          </cell>
        </row>
        <row r="154">
          <cell r="F154">
            <v>141</v>
          </cell>
        </row>
        <row r="155">
          <cell r="F155">
            <v>100</v>
          </cell>
        </row>
        <row r="156">
          <cell r="F156">
            <v>0</v>
          </cell>
        </row>
        <row r="157">
          <cell r="F157">
            <v>206</v>
          </cell>
        </row>
        <row r="158">
          <cell r="F158">
            <v>0</v>
          </cell>
        </row>
        <row r="159">
          <cell r="F159">
            <v>108.98000000000006</v>
          </cell>
        </row>
        <row r="160">
          <cell r="F160">
            <v>14</v>
          </cell>
        </row>
        <row r="161">
          <cell r="F161">
            <v>16</v>
          </cell>
        </row>
        <row r="164">
          <cell r="F164">
            <v>118.59999999999998</v>
          </cell>
        </row>
        <row r="165">
          <cell r="F165">
            <v>7.28</v>
          </cell>
        </row>
        <row r="166">
          <cell r="F166">
            <v>93</v>
          </cell>
        </row>
        <row r="167">
          <cell r="F167">
            <v>27</v>
          </cell>
        </row>
        <row r="168">
          <cell r="F168">
            <v>116.33999999999999</v>
          </cell>
        </row>
        <row r="169">
          <cell r="F169">
            <v>7.14</v>
          </cell>
        </row>
        <row r="172">
          <cell r="F172">
            <v>175</v>
          </cell>
        </row>
        <row r="173">
          <cell r="F173">
            <v>18</v>
          </cell>
        </row>
        <row r="174">
          <cell r="F174">
            <v>92</v>
          </cell>
        </row>
        <row r="175">
          <cell r="F175">
            <v>3</v>
          </cell>
        </row>
        <row r="176">
          <cell r="F176">
            <v>65</v>
          </cell>
        </row>
        <row r="177">
          <cell r="F177">
            <v>2</v>
          </cell>
        </row>
        <row r="178">
          <cell r="F178">
            <v>3</v>
          </cell>
        </row>
        <row r="179">
          <cell r="F179">
            <v>5</v>
          </cell>
        </row>
        <row r="180">
          <cell r="F180">
            <v>1</v>
          </cell>
        </row>
        <row r="181">
          <cell r="F181">
            <v>3</v>
          </cell>
        </row>
        <row r="182">
          <cell r="F182">
            <v>6</v>
          </cell>
        </row>
        <row r="183">
          <cell r="F183">
            <v>0</v>
          </cell>
        </row>
        <row r="184">
          <cell r="F184">
            <v>1</v>
          </cell>
        </row>
        <row r="185">
          <cell r="F185">
            <v>2</v>
          </cell>
        </row>
        <row r="186">
          <cell r="F186">
            <v>6</v>
          </cell>
        </row>
        <row r="187">
          <cell r="F187">
            <v>23</v>
          </cell>
        </row>
        <row r="191">
          <cell r="F191">
            <v>0.53</v>
          </cell>
        </row>
        <row r="192">
          <cell r="F192">
            <v>0</v>
          </cell>
        </row>
        <row r="193">
          <cell r="F193">
            <v>3.61</v>
          </cell>
        </row>
        <row r="194">
          <cell r="F194">
            <v>0</v>
          </cell>
        </row>
        <row r="195">
          <cell r="F195">
            <v>0.06</v>
          </cell>
        </row>
        <row r="196">
          <cell r="F196">
            <v>0.44</v>
          </cell>
        </row>
        <row r="197">
          <cell r="F197">
            <v>4.3100000000000005</v>
          </cell>
        </row>
        <row r="198">
          <cell r="F198">
            <v>5.25</v>
          </cell>
        </row>
        <row r="201">
          <cell r="F201">
            <v>111.60000000000002</v>
          </cell>
        </row>
        <row r="202">
          <cell r="F202">
            <v>6.2</v>
          </cell>
        </row>
        <row r="203">
          <cell r="F203">
            <v>76</v>
          </cell>
        </row>
        <row r="204">
          <cell r="F204">
            <v>0</v>
          </cell>
        </row>
        <row r="205">
          <cell r="F205">
            <v>117.80000000000003</v>
          </cell>
        </row>
        <row r="208">
          <cell r="F208">
            <v>80</v>
          </cell>
        </row>
        <row r="209">
          <cell r="F209">
            <v>80</v>
          </cell>
        </row>
        <row r="213">
          <cell r="F213">
            <v>132</v>
          </cell>
        </row>
        <row r="214">
          <cell r="F214">
            <v>42</v>
          </cell>
        </row>
        <row r="215">
          <cell r="F215">
            <v>47</v>
          </cell>
        </row>
        <row r="216">
          <cell r="F216">
            <v>23</v>
          </cell>
        </row>
        <row r="217">
          <cell r="F217">
            <v>244</v>
          </cell>
        </row>
        <row r="218">
          <cell r="F218">
            <v>244</v>
          </cell>
        </row>
        <row r="219">
          <cell r="F219">
            <v>174</v>
          </cell>
        </row>
        <row r="222">
          <cell r="F222">
            <v>7</v>
          </cell>
        </row>
        <row r="223">
          <cell r="F223">
            <v>0.35</v>
          </cell>
        </row>
        <row r="224">
          <cell r="F224">
            <v>3</v>
          </cell>
        </row>
        <row r="225">
          <cell r="F225">
            <v>6</v>
          </cell>
        </row>
        <row r="226">
          <cell r="F226">
            <v>7</v>
          </cell>
        </row>
        <row r="227">
          <cell r="F227">
            <v>3</v>
          </cell>
        </row>
        <row r="228">
          <cell r="F228">
            <v>1</v>
          </cell>
        </row>
        <row r="231">
          <cell r="F231">
            <v>18</v>
          </cell>
        </row>
        <row r="232">
          <cell r="F232">
            <v>18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F729-CE92-4E66-8FA3-8426D61469F2}">
  <dimension ref="B1:S32"/>
  <sheetViews>
    <sheetView showGridLines="0" showZeros="0" view="pageBreakPreview" zoomScale="80" zoomScaleNormal="90" zoomScaleSheetLayoutView="80" workbookViewId="0">
      <selection activeCell="D25" sqref="D25"/>
    </sheetView>
  </sheetViews>
  <sheetFormatPr baseColWidth="10" defaultColWidth="10.33203125" defaultRowHeight="13.2" x14ac:dyDescent="0.25"/>
  <cols>
    <col min="1" max="1" width="1.109375" style="791" customWidth="1"/>
    <col min="2" max="2" width="18.88671875" style="791" customWidth="1"/>
    <col min="3" max="3" width="1.109375" style="791" customWidth="1"/>
    <col min="4" max="4" width="43.44140625" style="806" customWidth="1"/>
    <col min="5" max="5" width="18.44140625" style="791" customWidth="1"/>
    <col min="6" max="6" width="14.6640625" style="791" customWidth="1"/>
    <col min="7" max="7" width="17.88671875" style="791" customWidth="1"/>
    <col min="8" max="8" width="18.109375" style="791" customWidth="1"/>
    <col min="9" max="9" width="14.6640625" style="791" customWidth="1"/>
    <col min="10" max="10" width="17.88671875" style="791" customWidth="1"/>
    <col min="11" max="11" width="10.33203125" style="790"/>
    <col min="12" max="12" width="12.33203125" style="790" customWidth="1"/>
    <col min="13" max="13" width="12.109375" style="790" customWidth="1"/>
    <col min="14" max="19" width="10.33203125" style="790"/>
    <col min="20" max="20" width="10.33203125" style="791"/>
    <col min="21" max="21" width="9.109375" style="791" customWidth="1"/>
    <col min="22" max="16384" width="10.33203125" style="791"/>
  </cols>
  <sheetData>
    <row r="1" spans="2:19" ht="34.5" customHeight="1" x14ac:dyDescent="0.25">
      <c r="B1" s="814"/>
      <c r="C1" s="814"/>
      <c r="D1" s="815"/>
      <c r="E1" s="816"/>
      <c r="F1" s="816"/>
      <c r="G1" s="816"/>
      <c r="H1" s="789"/>
      <c r="I1" s="816"/>
      <c r="J1" s="817"/>
    </row>
    <row r="2" spans="2:19" ht="24" customHeight="1" x14ac:dyDescent="0.25">
      <c r="B2" s="1176" t="s">
        <v>912</v>
      </c>
      <c r="C2" s="1176"/>
      <c r="D2" s="1176"/>
      <c r="E2" s="1176"/>
      <c r="F2" s="1176"/>
      <c r="G2" s="1176"/>
      <c r="H2" s="1176"/>
      <c r="I2" s="1176"/>
      <c r="J2" s="1176"/>
    </row>
    <row r="3" spans="2:19" ht="7.5" customHeight="1" x14ac:dyDescent="0.25">
      <c r="B3" s="818"/>
      <c r="C3" s="818"/>
      <c r="D3" s="819"/>
      <c r="E3" s="820"/>
      <c r="F3" s="820"/>
      <c r="G3" s="820"/>
      <c r="I3" s="820"/>
      <c r="J3" s="820"/>
    </row>
    <row r="4" spans="2:19" ht="37.5" customHeight="1" x14ac:dyDescent="0.25">
      <c r="B4" s="24" t="s">
        <v>79</v>
      </c>
      <c r="C4" s="792" t="s">
        <v>1</v>
      </c>
      <c r="D4" s="1177" t="s">
        <v>298</v>
      </c>
      <c r="E4" s="1177"/>
      <c r="F4" s="1177"/>
      <c r="G4" s="1177"/>
      <c r="H4" s="1177"/>
      <c r="I4" s="1177"/>
      <c r="J4" s="1177"/>
      <c r="K4" s="793"/>
      <c r="L4" s="793"/>
      <c r="M4" s="793"/>
    </row>
    <row r="5" spans="2:19" s="789" customFormat="1" ht="24" customHeight="1" x14ac:dyDescent="0.25">
      <c r="B5" s="24" t="s">
        <v>103</v>
      </c>
      <c r="C5" s="792" t="s">
        <v>1</v>
      </c>
      <c r="D5" s="1178" t="s">
        <v>299</v>
      </c>
      <c r="E5" s="1178"/>
      <c r="F5" s="1178"/>
      <c r="G5" s="1178"/>
      <c r="H5" s="1178"/>
      <c r="I5" s="1178"/>
      <c r="J5" s="821"/>
      <c r="K5" s="794"/>
      <c r="L5" s="794"/>
      <c r="M5" s="794"/>
      <c r="N5" s="794"/>
      <c r="O5" s="794"/>
      <c r="P5" s="794"/>
      <c r="Q5" s="794"/>
      <c r="R5" s="794"/>
      <c r="S5" s="794"/>
    </row>
    <row r="6" spans="2:19" ht="16.5" customHeight="1" x14ac:dyDescent="0.25">
      <c r="B6" s="823"/>
      <c r="C6" s="824"/>
      <c r="D6" s="824"/>
      <c r="E6" s="824"/>
      <c r="G6" s="824"/>
      <c r="H6" s="824"/>
      <c r="I6" s="824"/>
      <c r="J6" s="825" t="s">
        <v>300</v>
      </c>
    </row>
    <row r="7" spans="2:19" ht="16.5" customHeight="1" x14ac:dyDescent="0.25">
      <c r="B7" s="822"/>
      <c r="C7" s="822"/>
      <c r="D7" s="822"/>
      <c r="E7" s="822"/>
      <c r="F7" s="822"/>
      <c r="G7" s="822"/>
      <c r="H7" s="822"/>
      <c r="I7" s="822"/>
      <c r="J7" s="826" t="s">
        <v>301</v>
      </c>
    </row>
    <row r="8" spans="2:19" ht="9.75" customHeight="1" x14ac:dyDescent="0.25">
      <c r="B8" s="822"/>
      <c r="C8" s="822"/>
      <c r="D8" s="822"/>
      <c r="E8" s="822"/>
      <c r="F8" s="822"/>
      <c r="G8" s="822"/>
      <c r="H8" s="822"/>
      <c r="I8" s="822"/>
      <c r="J8" s="822"/>
    </row>
    <row r="9" spans="2:19" s="796" customFormat="1" ht="27.75" customHeight="1" x14ac:dyDescent="0.25">
      <c r="B9" s="811"/>
      <c r="C9" s="811"/>
      <c r="D9" s="811"/>
      <c r="E9" s="1179" t="s">
        <v>104</v>
      </c>
      <c r="F9" s="1180"/>
      <c r="G9" s="1181"/>
      <c r="H9" s="1182" t="s">
        <v>302</v>
      </c>
      <c r="I9" s="1182"/>
      <c r="J9" s="1183"/>
      <c r="K9" s="795"/>
      <c r="L9" s="795"/>
      <c r="M9" s="795"/>
      <c r="N9" s="795"/>
      <c r="O9" s="795"/>
      <c r="P9" s="795"/>
      <c r="Q9" s="795"/>
      <c r="R9" s="795"/>
      <c r="S9" s="795"/>
    </row>
    <row r="10" spans="2:19" s="796" customFormat="1" ht="41.25" customHeight="1" x14ac:dyDescent="0.25">
      <c r="B10" s="797" t="s">
        <v>3</v>
      </c>
      <c r="C10" s="798"/>
      <c r="D10" s="799" t="s">
        <v>913</v>
      </c>
      <c r="E10" s="800" t="s">
        <v>918</v>
      </c>
      <c r="F10" s="801" t="s">
        <v>914</v>
      </c>
      <c r="G10" s="802" t="s">
        <v>915</v>
      </c>
      <c r="H10" s="803" t="s">
        <v>919</v>
      </c>
      <c r="I10" s="804" t="s">
        <v>914</v>
      </c>
      <c r="J10" s="805" t="s">
        <v>915</v>
      </c>
      <c r="K10" s="795"/>
      <c r="L10" s="1126"/>
      <c r="M10" s="1126"/>
      <c r="N10" s="795"/>
      <c r="O10" s="795"/>
      <c r="P10" s="795"/>
      <c r="Q10" s="795"/>
      <c r="R10" s="795"/>
      <c r="S10" s="795"/>
    </row>
    <row r="11" spans="2:19" ht="3" customHeight="1" x14ac:dyDescent="0.25">
      <c r="B11" s="827"/>
      <c r="C11" s="827"/>
      <c r="D11" s="847"/>
      <c r="E11" s="828"/>
      <c r="F11" s="828"/>
      <c r="G11" s="828"/>
      <c r="H11" s="828"/>
      <c r="I11" s="827"/>
      <c r="J11" s="827"/>
    </row>
    <row r="12" spans="2:19" s="789" customFormat="1" ht="30.75" customHeight="1" x14ac:dyDescent="0.25">
      <c r="B12" s="829" t="s">
        <v>86</v>
      </c>
      <c r="C12" s="830"/>
      <c r="D12" s="831" t="s">
        <v>916</v>
      </c>
      <c r="E12" s="832">
        <f>+'RES-GRAL OBRA'!G15</f>
        <v>2658762.13</v>
      </c>
      <c r="F12" s="831">
        <f>+'RES-GRAL OBRA'!G16</f>
        <v>478577.18</v>
      </c>
      <c r="G12" s="833">
        <f>+SUM(E12:F12)</f>
        <v>3137339.31</v>
      </c>
      <c r="H12" s="833">
        <f>+'RES-GRAL OBRA'!H15</f>
        <v>3055209.0500000003</v>
      </c>
      <c r="I12" s="831">
        <f>+'RES-GRAL OBRA'!H16</f>
        <v>549937.63</v>
      </c>
      <c r="J12" s="831">
        <f>+SUM(H12:I12)</f>
        <v>3605146.68</v>
      </c>
      <c r="K12" s="794"/>
      <c r="L12" s="1126"/>
      <c r="M12" s="1126"/>
      <c r="N12" s="794"/>
      <c r="O12" s="794"/>
      <c r="P12" s="794"/>
      <c r="Q12" s="794"/>
      <c r="R12" s="794"/>
      <c r="S12" s="794"/>
    </row>
    <row r="13" spans="2:19" s="789" customFormat="1" ht="3" customHeight="1" x14ac:dyDescent="0.25">
      <c r="B13" s="848"/>
      <c r="C13" s="830"/>
      <c r="D13" s="836"/>
      <c r="E13" s="834"/>
      <c r="F13" s="834"/>
      <c r="G13" s="835"/>
      <c r="H13" s="834"/>
      <c r="I13" s="836"/>
      <c r="J13" s="830"/>
      <c r="K13" s="794"/>
      <c r="L13" s="794"/>
      <c r="M13" s="794"/>
      <c r="N13" s="794"/>
      <c r="O13" s="794"/>
      <c r="P13" s="794"/>
      <c r="Q13" s="794"/>
      <c r="R13" s="794"/>
      <c r="S13" s="794"/>
    </row>
    <row r="14" spans="2:19" s="789" customFormat="1" ht="30.75" customHeight="1" x14ac:dyDescent="0.25">
      <c r="B14" s="829" t="s">
        <v>88</v>
      </c>
      <c r="C14" s="830"/>
      <c r="D14" s="831" t="s">
        <v>917</v>
      </c>
      <c r="E14" s="837">
        <v>200121.88</v>
      </c>
      <c r="F14" s="831">
        <v>36021.94</v>
      </c>
      <c r="G14" s="833">
        <f>+SUM(E14:F14)</f>
        <v>236143.82</v>
      </c>
      <c r="H14" s="837">
        <f>+E14</f>
        <v>200121.88</v>
      </c>
      <c r="I14" s="831">
        <f>+F14</f>
        <v>36021.94</v>
      </c>
      <c r="J14" s="833">
        <f>+SUM(H14:I14)</f>
        <v>236143.82</v>
      </c>
      <c r="K14" s="794"/>
      <c r="L14" s="794"/>
      <c r="M14" s="794"/>
      <c r="N14" s="794"/>
      <c r="O14" s="794"/>
      <c r="P14" s="794"/>
      <c r="Q14" s="794"/>
      <c r="R14" s="794"/>
      <c r="S14" s="794"/>
    </row>
    <row r="15" spans="2:19" s="792" customFormat="1" ht="3" customHeight="1" x14ac:dyDescent="0.25">
      <c r="B15" s="839"/>
      <c r="C15" s="839"/>
      <c r="D15" s="849"/>
      <c r="E15" s="849"/>
      <c r="F15" s="849"/>
      <c r="G15" s="849">
        <f>+SUM(E15:F15)</f>
        <v>0</v>
      </c>
      <c r="H15" s="849"/>
      <c r="I15" s="849"/>
      <c r="J15" s="839"/>
      <c r="K15" s="810"/>
      <c r="L15" s="810"/>
      <c r="M15" s="810"/>
      <c r="N15" s="810"/>
      <c r="O15" s="810"/>
      <c r="P15" s="810"/>
      <c r="Q15" s="810"/>
      <c r="R15" s="810"/>
      <c r="S15" s="810"/>
    </row>
    <row r="16" spans="2:19" s="792" customFormat="1" ht="30.75" customHeight="1" x14ac:dyDescent="0.25">
      <c r="B16" s="838"/>
      <c r="C16" s="839"/>
      <c r="D16" s="841" t="s">
        <v>7</v>
      </c>
      <c r="E16" s="842">
        <f t="shared" ref="E16:J16" si="0">E12+E14</f>
        <v>2858884.01</v>
      </c>
      <c r="F16" s="842">
        <f t="shared" si="0"/>
        <v>514599.12</v>
      </c>
      <c r="G16" s="842">
        <f t="shared" si="0"/>
        <v>3373483.13</v>
      </c>
      <c r="H16" s="842">
        <f t="shared" si="0"/>
        <v>3255330.93</v>
      </c>
      <c r="I16" s="842">
        <f t="shared" si="0"/>
        <v>585959.57000000007</v>
      </c>
      <c r="J16" s="840">
        <f t="shared" si="0"/>
        <v>3841290.5</v>
      </c>
      <c r="K16" s="810"/>
      <c r="L16" s="1126"/>
      <c r="M16" s="1126"/>
      <c r="N16" s="810"/>
      <c r="O16" s="810"/>
      <c r="P16" s="810"/>
      <c r="Q16" s="810"/>
      <c r="R16" s="810"/>
      <c r="S16" s="810"/>
    </row>
    <row r="17" spans="2:19" s="789" customFormat="1" ht="15.6" thickBot="1" x14ac:dyDescent="0.3">
      <c r="B17" s="812"/>
      <c r="C17" s="812"/>
      <c r="D17" s="813"/>
      <c r="E17" s="812"/>
      <c r="F17" s="812"/>
      <c r="G17" s="812"/>
      <c r="H17" s="812"/>
      <c r="I17" s="812"/>
      <c r="J17" s="812"/>
      <c r="K17" s="794"/>
      <c r="L17" s="794"/>
      <c r="M17" s="794"/>
      <c r="N17" s="794"/>
      <c r="O17" s="794"/>
      <c r="P17" s="794"/>
      <c r="Q17" s="794"/>
      <c r="R17" s="794"/>
      <c r="S17" s="794"/>
    </row>
    <row r="18" spans="2:19" ht="33" customHeight="1" thickTop="1" thickBot="1" x14ac:dyDescent="0.3">
      <c r="B18" s="843"/>
      <c r="C18" s="843"/>
      <c r="D18" s="844"/>
      <c r="E18" s="843"/>
      <c r="F18" s="843"/>
      <c r="G18" s="1173" t="s">
        <v>920</v>
      </c>
      <c r="H18" s="1174"/>
      <c r="I18" s="1175"/>
      <c r="J18" s="846">
        <f>ROUND((J16/G16),4)</f>
        <v>1.1387</v>
      </c>
      <c r="L18" s="1125"/>
    </row>
    <row r="19" spans="2:19" ht="13.8" thickTop="1" x14ac:dyDescent="0.25">
      <c r="J19" s="806"/>
      <c r="L19" s="1125"/>
    </row>
    <row r="20" spans="2:19" s="790" customFormat="1" ht="15" customHeight="1" x14ac:dyDescent="0.25">
      <c r="D20" s="807"/>
      <c r="E20" s="807"/>
      <c r="F20" s="807"/>
      <c r="G20" s="807"/>
      <c r="H20" s="808"/>
      <c r="L20" s="1125"/>
    </row>
    <row r="21" spans="2:19" s="790" customFormat="1" ht="15" customHeight="1" x14ac:dyDescent="0.25">
      <c r="D21" s="807"/>
      <c r="E21" s="807"/>
      <c r="F21" s="807"/>
      <c r="G21" s="807"/>
      <c r="H21" s="807"/>
      <c r="I21" s="809"/>
      <c r="J21" s="845">
        <f>+J12/G12</f>
        <v>1.1491095873847321</v>
      </c>
      <c r="L21" s="1125"/>
    </row>
    <row r="22" spans="2:19" s="790" customFormat="1" ht="15" customHeight="1" x14ac:dyDescent="0.25">
      <c r="D22" s="807"/>
      <c r="E22" s="807"/>
      <c r="F22" s="807"/>
      <c r="G22" s="807"/>
      <c r="H22" s="807"/>
      <c r="L22" s="1128"/>
    </row>
    <row r="23" spans="2:19" s="790" customFormat="1" ht="15" customHeight="1" x14ac:dyDescent="0.25">
      <c r="D23" s="807"/>
      <c r="E23" s="807"/>
      <c r="F23" s="807"/>
      <c r="G23" s="807"/>
      <c r="H23" s="807"/>
      <c r="L23" s="1126"/>
    </row>
    <row r="24" spans="2:19" s="790" customFormat="1" ht="15" customHeight="1" x14ac:dyDescent="0.25">
      <c r="D24" s="807"/>
      <c r="E24" s="807"/>
      <c r="F24" s="807"/>
      <c r="G24" s="807"/>
      <c r="H24" s="807"/>
    </row>
    <row r="25" spans="2:19" s="790" customFormat="1" ht="15" customHeight="1" x14ac:dyDescent="0.25">
      <c r="D25" s="807"/>
      <c r="E25" s="807"/>
      <c r="F25" s="807"/>
      <c r="G25" s="807"/>
      <c r="H25" s="1158"/>
    </row>
    <row r="26" spans="2:19" s="790" customFormat="1" ht="15" customHeight="1" x14ac:dyDescent="0.25">
      <c r="D26" s="807"/>
      <c r="E26" s="807"/>
      <c r="F26" s="807"/>
      <c r="G26" s="807"/>
      <c r="H26" s="807"/>
      <c r="I26" s="807"/>
    </row>
    <row r="27" spans="2:19" s="790" customFormat="1" ht="15" customHeight="1" x14ac:dyDescent="0.25">
      <c r="D27" s="807"/>
      <c r="E27" s="807"/>
      <c r="F27" s="807"/>
      <c r="G27" s="807"/>
      <c r="H27" s="807"/>
    </row>
    <row r="28" spans="2:19" s="790" customFormat="1" ht="15" customHeight="1" x14ac:dyDescent="0.25">
      <c r="D28" s="807"/>
      <c r="E28" s="807"/>
      <c r="F28" s="807"/>
      <c r="G28" s="807"/>
      <c r="H28" s="807"/>
      <c r="I28" s="807"/>
    </row>
    <row r="29" spans="2:19" s="790" customFormat="1" ht="15" customHeight="1" x14ac:dyDescent="0.25">
      <c r="D29" s="807"/>
      <c r="E29" s="807"/>
      <c r="F29" s="807"/>
      <c r="G29" s="807"/>
      <c r="H29" s="807"/>
    </row>
    <row r="30" spans="2:19" s="790" customFormat="1" ht="15" customHeight="1" x14ac:dyDescent="0.25">
      <c r="D30" s="807"/>
      <c r="E30" s="807"/>
      <c r="F30" s="807"/>
      <c r="G30" s="807"/>
      <c r="H30" s="807"/>
    </row>
    <row r="31" spans="2:19" s="790" customFormat="1" ht="15" customHeight="1" x14ac:dyDescent="0.25">
      <c r="D31" s="807"/>
    </row>
    <row r="32" spans="2:19" s="790" customFormat="1" x14ac:dyDescent="0.25">
      <c r="D32" s="807"/>
    </row>
  </sheetData>
  <mergeCells count="6">
    <mergeCell ref="G18:I18"/>
    <mergeCell ref="B2:J2"/>
    <mergeCell ref="D4:J4"/>
    <mergeCell ref="D5:I5"/>
    <mergeCell ref="E9:G9"/>
    <mergeCell ref="H9:J9"/>
  </mergeCells>
  <printOptions horizontalCentered="1"/>
  <pageMargins left="0.19685039370078741" right="0.19685039370078741" top="1.1811023622047245" bottom="0.98425196850393704" header="0" footer="0"/>
  <pageSetup paperSize="9" scale="85" orientation="landscape" r:id="rId1"/>
  <headerFooter alignWithMargins="0">
    <oddHeader>&amp;L&amp;"Arial,Negrita"&amp;16&amp;K0000FF&amp;G&amp;R&amp;G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R32"/>
  <sheetViews>
    <sheetView showGridLines="0" view="pageBreakPreview" zoomScale="70" zoomScaleNormal="65" zoomScaleSheetLayoutView="70" workbookViewId="0">
      <selection activeCell="F4" sqref="F4:L4"/>
    </sheetView>
  </sheetViews>
  <sheetFormatPr baseColWidth="10" defaultColWidth="11.44140625" defaultRowHeight="13.2" x14ac:dyDescent="0.25"/>
  <cols>
    <col min="1" max="1" width="1.88671875" style="4" customWidth="1"/>
    <col min="2" max="2" width="11.44140625" style="4"/>
    <col min="3" max="3" width="1.88671875" style="4" customWidth="1"/>
    <col min="4" max="4" width="16.44140625" style="4" customWidth="1"/>
    <col min="5" max="5" width="2.6640625" style="4" customWidth="1"/>
    <col min="6" max="6" width="61.88671875" style="4" customWidth="1"/>
    <col min="7" max="7" width="30.44140625" style="4" customWidth="1"/>
    <col min="8" max="8" width="28.6640625" style="4" customWidth="1"/>
    <col min="9" max="12" width="23.109375" style="4" hidden="1" customWidth="1"/>
    <col min="13" max="13" width="15.33203125" customWidth="1"/>
    <col min="14" max="14" width="16.109375" style="746" customWidth="1"/>
    <col min="15" max="15" width="28.88671875" style="752" customWidth="1"/>
    <col min="16" max="18" width="11.44140625" style="752"/>
    <col min="19" max="16384" width="11.44140625" style="4"/>
  </cols>
  <sheetData>
    <row r="1" spans="2:18" ht="34.5" customHeight="1" x14ac:dyDescent="0.25"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</row>
    <row r="2" spans="2:18" ht="45.6" customHeight="1" x14ac:dyDescent="0.25">
      <c r="B2" s="1185" t="s">
        <v>1025</v>
      </c>
      <c r="C2" s="1185"/>
      <c r="D2" s="1185"/>
      <c r="E2" s="1185"/>
      <c r="F2" s="1185"/>
      <c r="G2" s="1185"/>
      <c r="H2" s="1185"/>
      <c r="I2" s="1185"/>
      <c r="J2" s="1185"/>
      <c r="K2" s="1185"/>
      <c r="L2" s="1185"/>
    </row>
    <row r="3" spans="2:18" ht="2.4" customHeight="1" x14ac:dyDescent="0.2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2:18" ht="41.25" customHeight="1" x14ac:dyDescent="0.25">
      <c r="B4" s="24" t="s">
        <v>79</v>
      </c>
      <c r="C4" s="25"/>
      <c r="D4" s="26"/>
      <c r="E4" s="27" t="s">
        <v>1</v>
      </c>
      <c r="F4" s="1186" t="s">
        <v>298</v>
      </c>
      <c r="G4" s="1186"/>
      <c r="H4" s="1186"/>
      <c r="I4" s="1186"/>
      <c r="J4" s="1186"/>
      <c r="K4" s="1186"/>
      <c r="L4" s="1186"/>
    </row>
    <row r="5" spans="2:18" ht="24" customHeight="1" x14ac:dyDescent="0.25">
      <c r="B5" s="24" t="s">
        <v>103</v>
      </c>
      <c r="C5" s="28"/>
      <c r="D5" s="26"/>
      <c r="E5" s="27" t="s">
        <v>1</v>
      </c>
      <c r="F5" s="29" t="s">
        <v>299</v>
      </c>
      <c r="G5" s="29"/>
      <c r="H5" s="412" t="s">
        <v>300</v>
      </c>
      <c r="I5" s="30"/>
      <c r="J5" s="30"/>
      <c r="K5" s="30"/>
    </row>
    <row r="6" spans="2:18" ht="21.75" customHeight="1" x14ac:dyDescent="0.25">
      <c r="B6" s="32"/>
      <c r="C6" s="2"/>
      <c r="D6" s="1"/>
      <c r="E6" s="1"/>
      <c r="F6" s="1"/>
      <c r="G6" s="1"/>
      <c r="H6" s="413" t="s">
        <v>301</v>
      </c>
      <c r="I6" s="1"/>
      <c r="J6" s="1"/>
      <c r="K6" s="1"/>
    </row>
    <row r="7" spans="2:18" ht="33.75" customHeight="1" x14ac:dyDescent="0.25">
      <c r="B7" s="1197" t="s">
        <v>3</v>
      </c>
      <c r="C7" s="1191" t="s">
        <v>84</v>
      </c>
      <c r="D7" s="1192"/>
      <c r="E7" s="1192"/>
      <c r="F7" s="1193"/>
      <c r="G7" s="1189" t="s">
        <v>106</v>
      </c>
      <c r="H7" s="1189" t="s">
        <v>615</v>
      </c>
      <c r="I7" s="1199" t="s">
        <v>433</v>
      </c>
      <c r="J7" s="1200"/>
      <c r="K7" s="1201" t="s">
        <v>294</v>
      </c>
      <c r="L7" s="1201"/>
    </row>
    <row r="8" spans="2:18" ht="54" customHeight="1" x14ac:dyDescent="0.25">
      <c r="B8" s="1198"/>
      <c r="C8" s="1194"/>
      <c r="D8" s="1195"/>
      <c r="E8" s="1195"/>
      <c r="F8" s="1196"/>
      <c r="G8" s="1190"/>
      <c r="H8" s="1190"/>
      <c r="I8" s="691" t="s">
        <v>114</v>
      </c>
      <c r="J8" s="691" t="s">
        <v>434</v>
      </c>
      <c r="K8" s="675" t="s">
        <v>297</v>
      </c>
      <c r="L8" s="675" t="s">
        <v>115</v>
      </c>
    </row>
    <row r="9" spans="2:18" ht="34.5" customHeight="1" x14ac:dyDescent="0.25">
      <c r="B9" s="696" t="s">
        <v>86</v>
      </c>
      <c r="C9" s="702"/>
      <c r="D9" s="21" t="s">
        <v>87</v>
      </c>
      <c r="E9" s="21"/>
      <c r="F9" s="703"/>
      <c r="G9" s="699">
        <f>+'RES-LP'!G12+'RES-RP'!G12+'RES-RS'!G12+'RES- SFV'!G12</f>
        <v>1356698.56</v>
      </c>
      <c r="H9" s="699">
        <f>+'RES-LP'!H12+'RES-RP'!H12+'RES-RS'!H12+'RES- SFV'!H12</f>
        <v>1559314.78</v>
      </c>
      <c r="I9" s="699">
        <f>+'RES-LP'!I12+'RES-RP'!I12+'RES-RS'!I12+'RES- SFV'!I12</f>
        <v>165194.76</v>
      </c>
      <c r="J9" s="699">
        <f>+'RES-LP'!J12+'RES-RP'!J12+'RES-RS'!J12+'RES- SFV'!J12</f>
        <v>387288.27999999997</v>
      </c>
      <c r="K9" s="699">
        <f>+'RES-LP'!K12+'RES-RP'!K12+'RES-RS'!K12+'RES- SFV'!K12</f>
        <v>349866.83999999997</v>
      </c>
      <c r="L9" s="699">
        <f>+'RES-LP'!L12+'RES-RP'!L12+'RES-RS'!L12+'RES- SFV'!L12</f>
        <v>196109.06</v>
      </c>
      <c r="N9" s="1141"/>
      <c r="O9" s="1141"/>
      <c r="Q9" s="754"/>
    </row>
    <row r="10" spans="2:18" ht="34.5" customHeight="1" x14ac:dyDescent="0.25">
      <c r="B10" s="696" t="s">
        <v>88</v>
      </c>
      <c r="C10" s="702"/>
      <c r="D10" s="21" t="s">
        <v>89</v>
      </c>
      <c r="E10" s="21"/>
      <c r="F10" s="704"/>
      <c r="G10" s="699">
        <f>+'RES-LP'!G13+'RES-RP'!G13+'RES-RS'!G13+'RES- SFV'!G13</f>
        <v>872009.12000000011</v>
      </c>
      <c r="H10" s="699">
        <f>+'RES-LP'!H13+'RES-RP'!H13+'RES-RS'!H13+'RES- SFV'!H13</f>
        <v>1009873.92</v>
      </c>
      <c r="I10" s="699">
        <f>+'RES-LP'!I13+'RES-RP'!I13+'RES-RS'!I13+'RES- SFV'!I13</f>
        <v>124806.45000000003</v>
      </c>
      <c r="J10" s="699">
        <f>+'RES-LP'!J13+'RES-RP'!J13+'RES-RS'!J13+'RES- SFV'!J13</f>
        <v>116126.84</v>
      </c>
      <c r="K10" s="699">
        <f>+'RES-LP'!K13+'RES-RP'!K13+'RES-RS'!K13+'RES- SFV'!K13</f>
        <v>103068.48</v>
      </c>
      <c r="L10" s="699">
        <f>+'RES-LP'!L13+'RES-RP'!L13+'RES-RS'!L13+'RES- SFV'!L13</f>
        <v>81998.259999999995</v>
      </c>
      <c r="N10" s="1141"/>
      <c r="O10" s="1141"/>
      <c r="Q10" s="754"/>
    </row>
    <row r="11" spans="2:18" ht="34.5" customHeight="1" x14ac:dyDescent="0.25">
      <c r="B11" s="696" t="s">
        <v>90</v>
      </c>
      <c r="C11" s="702"/>
      <c r="D11" s="21" t="s">
        <v>91</v>
      </c>
      <c r="E11" s="21"/>
      <c r="F11" s="705"/>
      <c r="G11" s="699">
        <f>+'RES-LP'!G14+'RES-RP'!G14+'RES-RS'!G14+'RES- SFV'!G14</f>
        <v>121683.17</v>
      </c>
      <c r="H11" s="699">
        <f>+'RES-LP'!H14+'RES-RP'!H14+'RES-RS'!H14+'RES- SFV'!H14</f>
        <v>131667.96000000002</v>
      </c>
      <c r="I11" s="699">
        <f>+'RES-LP'!I14+'RES-RP'!I14+'RES-RS'!I14+'RES- SFV'!I14</f>
        <v>16270.730000000001</v>
      </c>
      <c r="J11" s="699">
        <f>+'RES-LP'!J14+'RES-RP'!J14+'RES-RS'!J14+'RES- SFV'!J14</f>
        <v>19445.259999999998</v>
      </c>
      <c r="K11" s="699">
        <f>+'RES-LP'!K14+'RES-RP'!K14+'RES-RS'!K14+'RES- SFV'!K14</f>
        <v>25731.199999999997</v>
      </c>
      <c r="L11" s="699">
        <f>+'RES-LP'!L14+'RES-RP'!L14+'RES-RS'!L14+'RES- SFV'!L14</f>
        <v>16682.919999999998</v>
      </c>
      <c r="N11" s="1141"/>
      <c r="O11" s="1141"/>
      <c r="Q11" s="754"/>
    </row>
    <row r="12" spans="2:18" s="731" customFormat="1" ht="45.75" customHeight="1" x14ac:dyDescent="0.25">
      <c r="B12" s="737" t="s">
        <v>92</v>
      </c>
      <c r="C12" s="692"/>
      <c r="D12" s="693" t="s">
        <v>93</v>
      </c>
      <c r="E12" s="693"/>
      <c r="F12" s="738"/>
      <c r="G12" s="739">
        <f t="shared" ref="G12:L12" si="0">ROUND(SUM(G9:G11),2)</f>
        <v>2350390.85</v>
      </c>
      <c r="H12" s="739">
        <f t="shared" si="0"/>
        <v>2700856.66</v>
      </c>
      <c r="I12" s="739">
        <f t="shared" si="0"/>
        <v>306271.94</v>
      </c>
      <c r="J12" s="739">
        <f t="shared" si="0"/>
        <v>522860.38</v>
      </c>
      <c r="K12" s="739">
        <f t="shared" si="0"/>
        <v>478666.52</v>
      </c>
      <c r="L12" s="739">
        <f t="shared" si="0"/>
        <v>294790.24</v>
      </c>
      <c r="M12" s="733"/>
      <c r="N12" s="1140"/>
      <c r="O12" s="1140"/>
      <c r="P12" s="1153"/>
      <c r="Q12" s="1153"/>
      <c r="R12" s="1153"/>
    </row>
    <row r="13" spans="2:18" ht="43.5" customHeight="1" x14ac:dyDescent="0.25">
      <c r="B13" s="697" t="s">
        <v>94</v>
      </c>
      <c r="C13" s="46"/>
      <c r="D13" s="760" t="s">
        <v>807</v>
      </c>
      <c r="E13" s="21"/>
      <c r="F13" s="706"/>
      <c r="G13" s="699">
        <f>ROUND(G12*10.12%,2)</f>
        <v>237859.55</v>
      </c>
      <c r="H13" s="699">
        <f>ROUND(H12*10.12%,2)</f>
        <v>273326.69</v>
      </c>
      <c r="I13" s="699">
        <f t="shared" ref="I13:L13" si="1">ROUND(I12*10.12%,2)</f>
        <v>30994.720000000001</v>
      </c>
      <c r="J13" s="699">
        <f t="shared" si="1"/>
        <v>52913.47</v>
      </c>
      <c r="K13" s="699">
        <f t="shared" si="1"/>
        <v>48441.05</v>
      </c>
      <c r="L13" s="699">
        <f t="shared" si="1"/>
        <v>29832.77</v>
      </c>
      <c r="M13" s="690">
        <f>+H13-G13</f>
        <v>35467.140000000014</v>
      </c>
      <c r="N13" s="19"/>
    </row>
    <row r="14" spans="2:18" ht="43.5" customHeight="1" x14ac:dyDescent="0.25">
      <c r="B14" s="697" t="s">
        <v>95</v>
      </c>
      <c r="C14" s="46"/>
      <c r="D14" s="761" t="s">
        <v>808</v>
      </c>
      <c r="E14" s="21"/>
      <c r="F14" s="706"/>
      <c r="G14" s="699">
        <f>ROUND(G12*3%,2)</f>
        <v>70511.73</v>
      </c>
      <c r="H14" s="699">
        <f>ROUND(H12*3%,2)</f>
        <v>81025.7</v>
      </c>
      <c r="I14" s="699">
        <f t="shared" ref="I14:L14" si="2">ROUND(I12*3%,2)</f>
        <v>9188.16</v>
      </c>
      <c r="J14" s="699">
        <f t="shared" si="2"/>
        <v>15685.81</v>
      </c>
      <c r="K14" s="699">
        <f t="shared" si="2"/>
        <v>14360</v>
      </c>
      <c r="L14" s="699">
        <f t="shared" si="2"/>
        <v>8843.7099999999991</v>
      </c>
      <c r="M14" s="690">
        <f>+H14-G14</f>
        <v>10513.970000000001</v>
      </c>
      <c r="N14" s="19"/>
    </row>
    <row r="15" spans="2:18" s="731" customFormat="1" ht="45.75" customHeight="1" x14ac:dyDescent="0.25">
      <c r="B15" s="734"/>
      <c r="C15" s="694"/>
      <c r="D15" s="695" t="s">
        <v>96</v>
      </c>
      <c r="E15" s="695"/>
      <c r="F15" s="735"/>
      <c r="G15" s="736">
        <f t="shared" ref="G15:L15" si="3">G14+G13+G12</f>
        <v>2658762.13</v>
      </c>
      <c r="H15" s="736">
        <f t="shared" si="3"/>
        <v>3055209.0500000003</v>
      </c>
      <c r="I15" s="736">
        <f t="shared" si="3"/>
        <v>346454.82</v>
      </c>
      <c r="J15" s="736">
        <f t="shared" si="3"/>
        <v>591459.66</v>
      </c>
      <c r="K15" s="736">
        <f t="shared" si="3"/>
        <v>541467.57000000007</v>
      </c>
      <c r="L15" s="736">
        <f t="shared" si="3"/>
        <v>333466.71999999997</v>
      </c>
      <c r="M15" s="690">
        <f>+H15-G15</f>
        <v>396446.92000000039</v>
      </c>
      <c r="N15" s="690"/>
      <c r="O15" s="1153"/>
      <c r="P15" s="1153"/>
      <c r="Q15" s="1153"/>
      <c r="R15" s="1153"/>
    </row>
    <row r="16" spans="2:18" ht="40.5" customHeight="1" x14ac:dyDescent="0.3">
      <c r="B16" s="701"/>
      <c r="C16" s="698"/>
      <c r="D16" s="693" t="s">
        <v>97</v>
      </c>
      <c r="E16" s="693"/>
      <c r="F16" s="707"/>
      <c r="G16" s="700">
        <f t="shared" ref="G16:L16" si="4">ROUND(G15*0.18,2)</f>
        <v>478577.18</v>
      </c>
      <c r="H16" s="700">
        <f t="shared" si="4"/>
        <v>549937.63</v>
      </c>
      <c r="I16" s="700">
        <f t="shared" si="4"/>
        <v>62361.87</v>
      </c>
      <c r="J16" s="700">
        <f t="shared" si="4"/>
        <v>106462.74</v>
      </c>
      <c r="K16" s="700">
        <f t="shared" si="4"/>
        <v>97464.16</v>
      </c>
      <c r="L16" s="700">
        <f t="shared" si="4"/>
        <v>60024.01</v>
      </c>
    </row>
    <row r="17" spans="1:18" s="731" customFormat="1" ht="45.75" customHeight="1" x14ac:dyDescent="0.25">
      <c r="B17" s="737"/>
      <c r="C17" s="692"/>
      <c r="D17" s="693" t="s">
        <v>98</v>
      </c>
      <c r="E17" s="693"/>
      <c r="F17" s="738"/>
      <c r="G17" s="739">
        <f t="shared" ref="G17:L17" si="5">G15+G16</f>
        <v>3137339.31</v>
      </c>
      <c r="H17" s="739">
        <f t="shared" si="5"/>
        <v>3605146.68</v>
      </c>
      <c r="I17" s="732">
        <f t="shared" si="5"/>
        <v>408816.69</v>
      </c>
      <c r="J17" s="732">
        <f t="shared" si="5"/>
        <v>697922.4</v>
      </c>
      <c r="K17" s="732">
        <f t="shared" si="5"/>
        <v>638931.7300000001</v>
      </c>
      <c r="L17" s="732">
        <f t="shared" si="5"/>
        <v>393490.73</v>
      </c>
      <c r="M17" s="778"/>
      <c r="N17" s="1141"/>
      <c r="O17" s="1153"/>
      <c r="P17" s="1153"/>
      <c r="Q17" s="1153"/>
      <c r="R17" s="1153"/>
    </row>
    <row r="18" spans="1:18" s="731" customFormat="1" ht="6.75" customHeight="1" x14ac:dyDescent="0.25">
      <c r="B18" s="1133"/>
      <c r="C18" s="693"/>
      <c r="D18" s="693"/>
      <c r="E18" s="693"/>
      <c r="F18" s="693"/>
      <c r="G18" s="1134"/>
      <c r="H18" s="1134"/>
      <c r="I18" s="1132"/>
      <c r="J18" s="732"/>
      <c r="K18" s="732"/>
      <c r="L18" s="732"/>
      <c r="M18" s="778"/>
      <c r="N18" s="1154"/>
      <c r="O18" s="1153"/>
      <c r="P18" s="1153"/>
      <c r="Q18" s="1153"/>
      <c r="R18" s="1153"/>
    </row>
    <row r="19" spans="1:18" s="60" customFormat="1" ht="37.5" customHeight="1" x14ac:dyDescent="0.3">
      <c r="B19" s="708"/>
      <c r="C19" s="709"/>
      <c r="D19" s="1187" t="s">
        <v>288</v>
      </c>
      <c r="E19" s="1187"/>
      <c r="F19" s="1188"/>
      <c r="G19" s="710"/>
      <c r="H19" s="710">
        <f>+ROUND(H17/$G$17,4)</f>
        <v>1.1491</v>
      </c>
      <c r="I19" s="710">
        <f>+ROUND(I17/$G$17,4)</f>
        <v>0.1303</v>
      </c>
      <c r="J19" s="710">
        <f>+ROUND(J17/$G$17,4)</f>
        <v>0.2225</v>
      </c>
      <c r="K19" s="710">
        <f>+ROUND(K17/$G$17,4)</f>
        <v>0.20369999999999999</v>
      </c>
      <c r="L19" s="710">
        <f>+ROUND(L17/$G$17,4)</f>
        <v>0.12540000000000001</v>
      </c>
      <c r="M19" s="61"/>
      <c r="N19" s="1171"/>
      <c r="O19" s="45"/>
      <c r="P19" s="45"/>
      <c r="Q19" s="45"/>
      <c r="R19" s="45"/>
    </row>
    <row r="20" spans="1:18" s="60" customFormat="1" ht="8.25" customHeight="1" x14ac:dyDescent="0.3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1155"/>
      <c r="O20" s="45"/>
      <c r="P20" s="45"/>
      <c r="Q20" s="45"/>
      <c r="R20" s="45"/>
    </row>
    <row r="21" spans="1:18" ht="15.6" x14ac:dyDescent="0.25">
      <c r="B21" s="394"/>
      <c r="C21" s="395"/>
      <c r="D21" s="396"/>
      <c r="E21" s="396"/>
      <c r="F21" s="396"/>
      <c r="G21" s="397"/>
      <c r="H21"/>
      <c r="I21"/>
      <c r="J21"/>
      <c r="K21"/>
      <c r="L21"/>
    </row>
    <row r="22" spans="1:18" s="746" customFormat="1" ht="27" customHeight="1" x14ac:dyDescent="0.25">
      <c r="G22" s="747"/>
      <c r="H22" s="747"/>
      <c r="I22" s="747"/>
      <c r="J22" s="748"/>
      <c r="K22" s="748"/>
    </row>
    <row r="23" spans="1:18" s="746" customFormat="1" ht="27" customHeight="1" x14ac:dyDescent="0.25">
      <c r="G23" s="747"/>
      <c r="H23" s="747">
        <f>+G17+I17+J17-K17</f>
        <v>3605146.6700000004</v>
      </c>
      <c r="I23" s="747">
        <f>+H17-G17</f>
        <v>467807.37000000011</v>
      </c>
      <c r="J23" s="747">
        <f>+I17+J17-K17</f>
        <v>467807.36</v>
      </c>
      <c r="K23" s="749"/>
      <c r="L23" s="749"/>
    </row>
    <row r="24" spans="1:18" s="746" customFormat="1" ht="27" customHeight="1" x14ac:dyDescent="0.25">
      <c r="G24" s="747"/>
      <c r="H24" s="747">
        <f>+H17-H23</f>
        <v>9.9999997764825821E-3</v>
      </c>
      <c r="I24" s="747"/>
      <c r="J24" s="749">
        <f>+I23-J23</f>
        <v>1.0000000125728548E-2</v>
      </c>
      <c r="K24" s="750"/>
      <c r="L24" s="751"/>
    </row>
    <row r="25" spans="1:18" s="752" customFormat="1" ht="27" customHeight="1" x14ac:dyDescent="0.25">
      <c r="G25" s="753"/>
      <c r="H25" s="747"/>
      <c r="I25" s="747"/>
      <c r="J25" s="749"/>
      <c r="K25" s="749"/>
      <c r="L25" s="424"/>
      <c r="M25" s="746"/>
      <c r="N25" s="746"/>
    </row>
    <row r="26" spans="1:18" s="752" customFormat="1" ht="27" customHeight="1" x14ac:dyDescent="0.25">
      <c r="G26" s="753"/>
      <c r="H26" s="753"/>
      <c r="I26" s="753"/>
      <c r="J26" s="754"/>
      <c r="K26" s="754"/>
      <c r="M26" s="746"/>
      <c r="N26" s="746"/>
    </row>
    <row r="27" spans="1:18" s="752" customFormat="1" ht="27" customHeight="1" x14ac:dyDescent="0.25">
      <c r="G27" s="754"/>
      <c r="H27" s="754"/>
      <c r="I27" s="754"/>
      <c r="J27" s="754"/>
      <c r="K27" s="754"/>
      <c r="M27" s="746"/>
      <c r="N27" s="746"/>
    </row>
    <row r="28" spans="1:18" s="752" customFormat="1" ht="27" customHeight="1" x14ac:dyDescent="0.25">
      <c r="H28" s="754"/>
      <c r="I28" s="754"/>
      <c r="M28" s="746"/>
      <c r="N28" s="746"/>
    </row>
    <row r="29" spans="1:18" s="752" customFormat="1" ht="27" customHeight="1" x14ac:dyDescent="0.25">
      <c r="M29" s="746"/>
      <c r="N29" s="746"/>
    </row>
    <row r="30" spans="1:18" ht="27" customHeight="1" x14ac:dyDescent="0.25"/>
    <row r="31" spans="1:18" ht="27" customHeight="1" x14ac:dyDescent="0.25"/>
    <row r="32" spans="1:18" ht="27" customHeight="1" x14ac:dyDescent="0.25"/>
  </sheetData>
  <mergeCells count="10">
    <mergeCell ref="B1:L1"/>
    <mergeCell ref="B2:L2"/>
    <mergeCell ref="F4:L4"/>
    <mergeCell ref="D19:F19"/>
    <mergeCell ref="H7:H8"/>
    <mergeCell ref="G7:G8"/>
    <mergeCell ref="C7:F8"/>
    <mergeCell ref="B7:B8"/>
    <mergeCell ref="I7:J7"/>
    <mergeCell ref="K7:L7"/>
  </mergeCells>
  <printOptions horizontalCentered="1"/>
  <pageMargins left="0.23622047244094491" right="0.23622047244094491" top="1.0629921259842521" bottom="0.74803149606299213" header="0.31496062992125984" footer="0.31496062992125984"/>
  <pageSetup paperSize="9" scale="70" fitToWidth="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AB53"/>
  <sheetViews>
    <sheetView view="pageBreakPreview" zoomScale="70" zoomScaleNormal="55" zoomScaleSheetLayoutView="70" workbookViewId="0">
      <selection activeCell="I16" sqref="I16"/>
    </sheetView>
  </sheetViews>
  <sheetFormatPr baseColWidth="10" defaultColWidth="11.44140625" defaultRowHeight="13.2" x14ac:dyDescent="0.25"/>
  <cols>
    <col min="1" max="1" width="1.88671875" style="4" customWidth="1"/>
    <col min="2" max="2" width="8.88671875" style="4" customWidth="1"/>
    <col min="3" max="3" width="1.88671875" style="4" customWidth="1"/>
    <col min="4" max="4" width="16.44140625" style="4" customWidth="1"/>
    <col min="5" max="5" width="2.6640625" style="4" customWidth="1"/>
    <col min="6" max="6" width="45.5546875" style="4" customWidth="1"/>
    <col min="7" max="7" width="18" style="4" bestFit="1" customWidth="1"/>
    <col min="8" max="8" width="19.44140625" style="4" bestFit="1" customWidth="1"/>
    <col min="9" max="12" width="18" style="4" bestFit="1" customWidth="1"/>
    <col min="13" max="13" width="19.44140625" style="4" bestFit="1" customWidth="1"/>
    <col min="14" max="14" width="19.44140625" bestFit="1" customWidth="1"/>
    <col min="15" max="15" width="17.109375" bestFit="1" customWidth="1"/>
    <col min="16" max="16" width="16.44140625" bestFit="1" customWidth="1"/>
    <col min="17" max="18" width="11.44140625" customWidth="1"/>
    <col min="19" max="19" width="1.88671875" customWidth="1"/>
    <col min="20" max="20" width="16.44140625" customWidth="1"/>
    <col min="21" max="21" width="2.6640625" customWidth="1"/>
    <col min="22" max="22" width="22.44140625" customWidth="1"/>
    <col min="23" max="23" width="20" customWidth="1"/>
    <col min="24" max="24" width="18.5546875" customWidth="1"/>
    <col min="25" max="25" width="23.109375" customWidth="1"/>
    <col min="26" max="26" width="31.33203125" bestFit="1" customWidth="1"/>
    <col min="27" max="28" width="11.5546875" customWidth="1"/>
    <col min="29" max="16384" width="11.44140625" style="4"/>
  </cols>
  <sheetData>
    <row r="1" spans="2:14" ht="34.5" customHeight="1" x14ac:dyDescent="0.25"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</row>
    <row r="2" spans="2:14" ht="45.6" customHeight="1" x14ac:dyDescent="0.25">
      <c r="B2" s="1185" t="s">
        <v>292</v>
      </c>
      <c r="C2" s="1185"/>
      <c r="D2" s="1185"/>
      <c r="E2" s="1185"/>
      <c r="F2" s="1185"/>
      <c r="G2" s="1185"/>
      <c r="H2" s="1185"/>
      <c r="I2" s="1185"/>
      <c r="J2" s="1185"/>
      <c r="K2" s="1185"/>
      <c r="L2" s="1185"/>
      <c r="M2" s="1185"/>
      <c r="N2" s="1185"/>
    </row>
    <row r="3" spans="2:14" ht="2.4" customHeight="1" x14ac:dyDescent="0.2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4" ht="41.25" customHeight="1" x14ac:dyDescent="0.25">
      <c r="B4" s="24" t="s">
        <v>79</v>
      </c>
      <c r="C4" s="25"/>
      <c r="D4" s="26"/>
      <c r="E4" s="27" t="s">
        <v>1</v>
      </c>
      <c r="F4" s="1214" t="s">
        <v>80</v>
      </c>
      <c r="G4" s="1214"/>
      <c r="H4" s="1214"/>
      <c r="I4" s="1214"/>
      <c r="J4" s="1214"/>
      <c r="K4" s="1214"/>
      <c r="L4" s="1214"/>
      <c r="M4" s="1214"/>
      <c r="N4" s="1214"/>
    </row>
    <row r="5" spans="2:14" ht="24" customHeight="1" thickBot="1" x14ac:dyDescent="0.3">
      <c r="B5" s="24" t="s">
        <v>81</v>
      </c>
      <c r="C5" s="28"/>
      <c r="D5" s="26"/>
      <c r="E5" s="27" t="s">
        <v>1</v>
      </c>
      <c r="F5" s="29" t="s">
        <v>82</v>
      </c>
      <c r="G5" s="29"/>
      <c r="H5" s="30"/>
      <c r="I5" s="30"/>
      <c r="J5" s="30"/>
      <c r="K5" s="30"/>
      <c r="L5" s="30"/>
      <c r="M5" s="31"/>
    </row>
    <row r="6" spans="2:14" ht="21.75" customHeight="1" thickBot="1" x14ac:dyDescent="0.3">
      <c r="B6" s="1202" t="s">
        <v>3</v>
      </c>
      <c r="C6" s="1202" t="s">
        <v>84</v>
      </c>
      <c r="D6" s="1210"/>
      <c r="E6" s="1210"/>
      <c r="F6" s="1211"/>
      <c r="G6" s="1206" t="s">
        <v>85</v>
      </c>
      <c r="H6" s="1206"/>
      <c r="I6" s="1207" t="s">
        <v>36</v>
      </c>
      <c r="J6" s="1206"/>
      <c r="K6" s="1207" t="s">
        <v>41</v>
      </c>
      <c r="L6" s="1206"/>
      <c r="M6" s="1208" t="s">
        <v>7</v>
      </c>
      <c r="N6" s="1209"/>
    </row>
    <row r="7" spans="2:14" ht="79.5" customHeight="1" thickBot="1" x14ac:dyDescent="0.3">
      <c r="B7" s="1203"/>
      <c r="C7" s="1203"/>
      <c r="D7" s="1212"/>
      <c r="E7" s="1212"/>
      <c r="F7" s="1213"/>
      <c r="G7" s="403" t="s">
        <v>106</v>
      </c>
      <c r="H7" s="62" t="s">
        <v>107</v>
      </c>
      <c r="I7" s="62" t="s">
        <v>106</v>
      </c>
      <c r="J7" s="62" t="s">
        <v>107</v>
      </c>
      <c r="K7" s="62" t="s">
        <v>106</v>
      </c>
      <c r="L7" s="404" t="s">
        <v>107</v>
      </c>
      <c r="M7" s="62" t="s">
        <v>106</v>
      </c>
      <c r="N7" s="62" t="s">
        <v>107</v>
      </c>
    </row>
    <row r="8" spans="2:14" ht="15.75" customHeight="1" x14ac:dyDescent="0.25">
      <c r="B8" s="33"/>
      <c r="C8" s="21"/>
      <c r="D8" s="34"/>
      <c r="E8" s="34"/>
      <c r="F8" s="34"/>
      <c r="G8" s="35"/>
      <c r="H8" s="35"/>
      <c r="I8" s="35"/>
      <c r="J8" s="35"/>
      <c r="K8" s="35"/>
      <c r="L8" s="393"/>
      <c r="M8" s="393"/>
      <c r="N8" s="393"/>
    </row>
    <row r="9" spans="2:14" ht="30.75" customHeight="1" x14ac:dyDescent="0.25">
      <c r="B9" s="36" t="s">
        <v>86</v>
      </c>
      <c r="C9" s="37"/>
      <c r="D9" s="21" t="s">
        <v>87</v>
      </c>
      <c r="E9" s="21"/>
      <c r="F9" s="34"/>
      <c r="G9" s="405" t="e">
        <f>+#REF!</f>
        <v>#REF!</v>
      </c>
      <c r="H9" s="405" t="e">
        <f>+#REF!</f>
        <v>#REF!</v>
      </c>
      <c r="I9" s="405" t="e">
        <f>+#REF!</f>
        <v>#REF!</v>
      </c>
      <c r="J9" s="405" t="e">
        <f>+#REF!</f>
        <v>#REF!</v>
      </c>
      <c r="K9" s="405">
        <f>+'RES-RS'!G12</f>
        <v>301377.10000000003</v>
      </c>
      <c r="L9" s="405">
        <f>+'RES-RS'!H12</f>
        <v>420410.61000000004</v>
      </c>
      <c r="M9" s="405" t="e">
        <f>+G9+I9+K9</f>
        <v>#REF!</v>
      </c>
      <c r="N9" s="405" t="e">
        <f>+H9+J9+L9</f>
        <v>#REF!</v>
      </c>
    </row>
    <row r="10" spans="2:14" ht="30.75" customHeight="1" x14ac:dyDescent="0.25">
      <c r="B10" s="36" t="s">
        <v>88</v>
      </c>
      <c r="C10" s="37"/>
      <c r="D10" s="21" t="s">
        <v>89</v>
      </c>
      <c r="E10" s="21"/>
      <c r="F10" s="38"/>
      <c r="G10" s="405" t="e">
        <f>+#REF!</f>
        <v>#REF!</v>
      </c>
      <c r="H10" s="405" t="e">
        <f>+#REF!</f>
        <v>#REF!</v>
      </c>
      <c r="I10" s="405" t="e">
        <f>+#REF!</f>
        <v>#REF!</v>
      </c>
      <c r="J10" s="405" t="e">
        <f>+#REF!</f>
        <v>#REF!</v>
      </c>
      <c r="K10" s="405">
        <f>+'RES-RS'!G13</f>
        <v>273560.14</v>
      </c>
      <c r="L10" s="405">
        <f>+'RES-RS'!H13</f>
        <v>323016.92000000004</v>
      </c>
      <c r="M10" s="405" t="e">
        <f t="shared" ref="M10:M11" si="0">+G10+I10+K10</f>
        <v>#REF!</v>
      </c>
      <c r="N10" s="405" t="e">
        <f t="shared" ref="N10" si="1">+H10+J10+L10</f>
        <v>#REF!</v>
      </c>
    </row>
    <row r="11" spans="2:14" ht="30.75" customHeight="1" x14ac:dyDescent="0.25">
      <c r="B11" s="36" t="s">
        <v>90</v>
      </c>
      <c r="C11" s="37"/>
      <c r="D11" s="21" t="s">
        <v>91</v>
      </c>
      <c r="E11" s="21"/>
      <c r="F11" s="21"/>
      <c r="G11" s="405" t="e">
        <f>+#REF!</f>
        <v>#REF!</v>
      </c>
      <c r="H11" s="405" t="e">
        <f>+#REF!</f>
        <v>#REF!</v>
      </c>
      <c r="I11" s="405" t="e">
        <f>+#REF!</f>
        <v>#REF!</v>
      </c>
      <c r="J11" s="405" t="e">
        <f>+#REF!</f>
        <v>#REF!</v>
      </c>
      <c r="K11" s="405">
        <f>+'RES-RS'!G14</f>
        <v>39859.509999999987</v>
      </c>
      <c r="L11" s="405">
        <f>+'RES-RS'!H14</f>
        <v>46723.13</v>
      </c>
      <c r="M11" s="405" t="e">
        <f t="shared" si="0"/>
        <v>#REF!</v>
      </c>
      <c r="N11" s="405" t="e">
        <f>+H11+J11+L11</f>
        <v>#REF!</v>
      </c>
    </row>
    <row r="12" spans="2:14" ht="12.75" customHeight="1" thickBot="1" x14ac:dyDescent="0.3">
      <c r="B12" s="36"/>
      <c r="C12" s="37"/>
      <c r="D12" s="21"/>
      <c r="E12" s="21"/>
      <c r="F12" s="21"/>
      <c r="G12" s="405"/>
      <c r="H12" s="405"/>
      <c r="I12" s="405"/>
      <c r="J12" s="405"/>
      <c r="K12" s="405"/>
      <c r="L12" s="405"/>
      <c r="M12" s="405"/>
      <c r="N12" s="405"/>
    </row>
    <row r="13" spans="2:14" ht="25.5" customHeight="1" thickBot="1" x14ac:dyDescent="0.3">
      <c r="B13" s="39" t="s">
        <v>92</v>
      </c>
      <c r="C13" s="40"/>
      <c r="D13" s="41" t="s">
        <v>93</v>
      </c>
      <c r="E13" s="41"/>
      <c r="F13" s="42"/>
      <c r="G13" s="406" t="e">
        <f t="shared" ref="G13:N13" si="2">SUM(G9:G12)</f>
        <v>#REF!</v>
      </c>
      <c r="H13" s="406" t="e">
        <f t="shared" si="2"/>
        <v>#REF!</v>
      </c>
      <c r="I13" s="406" t="e">
        <f t="shared" si="2"/>
        <v>#REF!</v>
      </c>
      <c r="J13" s="406" t="e">
        <f t="shared" si="2"/>
        <v>#REF!</v>
      </c>
      <c r="K13" s="406">
        <f t="shared" si="2"/>
        <v>614796.75</v>
      </c>
      <c r="L13" s="406">
        <f t="shared" si="2"/>
        <v>790150.66</v>
      </c>
      <c r="M13" s="406" t="e">
        <f t="shared" si="2"/>
        <v>#REF!</v>
      </c>
      <c r="N13" s="406" t="e">
        <f t="shared" si="2"/>
        <v>#REF!</v>
      </c>
    </row>
    <row r="14" spans="2:14" ht="11.25" customHeight="1" x14ac:dyDescent="0.25">
      <c r="B14" s="43"/>
      <c r="C14" s="44"/>
      <c r="D14" s="21"/>
      <c r="E14" s="21"/>
      <c r="F14" s="45"/>
      <c r="G14" s="405"/>
      <c r="H14" s="405"/>
      <c r="I14" s="405"/>
      <c r="J14" s="405"/>
      <c r="K14" s="405"/>
      <c r="L14" s="405"/>
      <c r="M14" s="405"/>
      <c r="N14" s="405"/>
    </row>
    <row r="15" spans="2:14" ht="29.25" customHeight="1" x14ac:dyDescent="0.25">
      <c r="B15" s="43" t="s">
        <v>94</v>
      </c>
      <c r="C15" s="46"/>
      <c r="D15" s="47" t="s">
        <v>109</v>
      </c>
      <c r="E15" s="21"/>
      <c r="F15" s="47"/>
      <c r="G15" s="405" t="e">
        <f>ROUND(G13*30.52%,2)</f>
        <v>#REF!</v>
      </c>
      <c r="H15" s="405" t="e">
        <f t="shared" ref="H15:M15" si="3">ROUND(H13*30.52%,2)</f>
        <v>#REF!</v>
      </c>
      <c r="I15" s="405" t="e">
        <f t="shared" si="3"/>
        <v>#REF!</v>
      </c>
      <c r="J15" s="405" t="e">
        <f t="shared" si="3"/>
        <v>#REF!</v>
      </c>
      <c r="K15" s="405">
        <f t="shared" si="3"/>
        <v>187635.97</v>
      </c>
      <c r="L15" s="405">
        <f t="shared" si="3"/>
        <v>241153.98</v>
      </c>
      <c r="M15" s="405" t="e">
        <f t="shared" si="3"/>
        <v>#REF!</v>
      </c>
      <c r="N15" s="405" t="e">
        <f>ROUND(N13*30.52%,2)</f>
        <v>#REF!</v>
      </c>
    </row>
    <row r="16" spans="2:14" ht="29.25" customHeight="1" x14ac:dyDescent="0.25">
      <c r="B16" s="43" t="s">
        <v>95</v>
      </c>
      <c r="C16" s="46"/>
      <c r="D16" s="47" t="s">
        <v>110</v>
      </c>
      <c r="E16" s="21"/>
      <c r="F16" s="47"/>
      <c r="G16" s="405" t="e">
        <f>ROUND(G13*4.01%,2)</f>
        <v>#REF!</v>
      </c>
      <c r="H16" s="405" t="e">
        <f t="shared" ref="H16:M16" si="4">ROUND(H13*4.01%,2)</f>
        <v>#REF!</v>
      </c>
      <c r="I16" s="405" t="e">
        <f t="shared" si="4"/>
        <v>#REF!</v>
      </c>
      <c r="J16" s="405" t="e">
        <f t="shared" si="4"/>
        <v>#REF!</v>
      </c>
      <c r="K16" s="405">
        <f t="shared" si="4"/>
        <v>24653.35</v>
      </c>
      <c r="L16" s="405">
        <f t="shared" si="4"/>
        <v>31685.040000000001</v>
      </c>
      <c r="M16" s="405" t="e">
        <f t="shared" si="4"/>
        <v>#REF!</v>
      </c>
      <c r="N16" s="405" t="e">
        <f>ROUND(N13*4.01%,2)</f>
        <v>#REF!</v>
      </c>
    </row>
    <row r="17" spans="2:28" ht="12.75" customHeight="1" thickBot="1" x14ac:dyDescent="0.3">
      <c r="B17" s="43"/>
      <c r="C17" s="46"/>
      <c r="D17" s="21"/>
      <c r="E17" s="21"/>
      <c r="F17" s="21"/>
      <c r="G17" s="407"/>
      <c r="H17" s="407"/>
      <c r="I17" s="407"/>
      <c r="J17" s="407"/>
      <c r="K17" s="407"/>
      <c r="L17" s="407"/>
      <c r="M17" s="407"/>
      <c r="N17" s="407"/>
    </row>
    <row r="18" spans="2:28" ht="12.75" customHeight="1" x14ac:dyDescent="0.25">
      <c r="B18" s="48"/>
      <c r="C18" s="49"/>
      <c r="D18" s="49"/>
      <c r="E18" s="49"/>
      <c r="F18" s="50"/>
      <c r="G18" s="408"/>
      <c r="H18" s="408"/>
      <c r="I18" s="408"/>
      <c r="J18" s="408"/>
      <c r="K18" s="408"/>
      <c r="L18" s="408"/>
      <c r="M18" s="408"/>
      <c r="N18" s="408"/>
    </row>
    <row r="19" spans="2:28" ht="25.5" customHeight="1" x14ac:dyDescent="0.25">
      <c r="B19" s="51"/>
      <c r="C19" s="22"/>
      <c r="D19" s="22" t="s">
        <v>96</v>
      </c>
      <c r="E19" s="22"/>
      <c r="F19" s="52"/>
      <c r="G19" s="409" t="e">
        <f>G16+G15+G13</f>
        <v>#REF!</v>
      </c>
      <c r="H19" s="409" t="e">
        <f t="shared" ref="H19:N19" si="5">H16+H15+H13</f>
        <v>#REF!</v>
      </c>
      <c r="I19" s="409" t="e">
        <f t="shared" si="5"/>
        <v>#REF!</v>
      </c>
      <c r="J19" s="409" t="e">
        <f t="shared" si="5"/>
        <v>#REF!</v>
      </c>
      <c r="K19" s="409">
        <f t="shared" si="5"/>
        <v>827086.07000000007</v>
      </c>
      <c r="L19" s="409">
        <f t="shared" si="5"/>
        <v>1062989.6800000002</v>
      </c>
      <c r="M19" s="409" t="e">
        <f t="shared" si="5"/>
        <v>#REF!</v>
      </c>
      <c r="N19" s="409" t="e">
        <f t="shared" si="5"/>
        <v>#REF!</v>
      </c>
    </row>
    <row r="20" spans="2:28" ht="13.5" customHeight="1" thickBot="1" x14ac:dyDescent="0.3">
      <c r="B20" s="53"/>
      <c r="C20" s="54"/>
      <c r="D20" s="54"/>
      <c r="E20" s="54"/>
      <c r="F20" s="55"/>
      <c r="G20" s="410"/>
      <c r="H20" s="410"/>
      <c r="I20" s="410"/>
      <c r="J20" s="410"/>
      <c r="K20" s="410"/>
      <c r="L20" s="410"/>
      <c r="M20" s="410"/>
      <c r="N20" s="410"/>
    </row>
    <row r="21" spans="2:28" ht="40.5" customHeight="1" thickBot="1" x14ac:dyDescent="0.35">
      <c r="B21" s="56"/>
      <c r="C21" s="57"/>
      <c r="D21" s="41" t="s">
        <v>97</v>
      </c>
      <c r="E21" s="41"/>
      <c r="F21" s="57"/>
      <c r="G21" s="406" t="e">
        <f>ROUND(G19*0.18,2)</f>
        <v>#REF!</v>
      </c>
      <c r="H21" s="406" t="e">
        <f t="shared" ref="H21:L21" si="6">ROUND(H19*0.18,2)</f>
        <v>#REF!</v>
      </c>
      <c r="I21" s="406" t="e">
        <f t="shared" si="6"/>
        <v>#REF!</v>
      </c>
      <c r="J21" s="406" t="e">
        <f t="shared" si="6"/>
        <v>#REF!</v>
      </c>
      <c r="K21" s="406">
        <f t="shared" si="6"/>
        <v>148875.49</v>
      </c>
      <c r="L21" s="406">
        <f t="shared" si="6"/>
        <v>191338.14</v>
      </c>
      <c r="M21" s="406" t="e">
        <f>ROUND(M19*0.18,2)</f>
        <v>#REF!</v>
      </c>
      <c r="N21" s="406" t="e">
        <f>ROUND(N19*0.18,2)</f>
        <v>#REF!</v>
      </c>
    </row>
    <row r="22" spans="2:28" ht="38.25" customHeight="1" thickBot="1" x14ac:dyDescent="0.35">
      <c r="B22" s="56"/>
      <c r="C22" s="57"/>
      <c r="D22" s="41" t="s">
        <v>98</v>
      </c>
      <c r="E22" s="41"/>
      <c r="F22" s="57"/>
      <c r="G22" s="411" t="e">
        <f>G19+G21</f>
        <v>#REF!</v>
      </c>
      <c r="H22" s="411" t="e">
        <f t="shared" ref="H22:N22" si="7">H19+H21</f>
        <v>#REF!</v>
      </c>
      <c r="I22" s="411" t="e">
        <f t="shared" si="7"/>
        <v>#REF!</v>
      </c>
      <c r="J22" s="411" t="e">
        <f t="shared" si="7"/>
        <v>#REF!</v>
      </c>
      <c r="K22" s="411">
        <f t="shared" si="7"/>
        <v>975961.56</v>
      </c>
      <c r="L22" s="411">
        <f t="shared" si="7"/>
        <v>1254327.8200000003</v>
      </c>
      <c r="M22" s="411" t="e">
        <f t="shared" si="7"/>
        <v>#REF!</v>
      </c>
      <c r="N22" s="411" t="e">
        <f t="shared" si="7"/>
        <v>#REF!</v>
      </c>
    </row>
    <row r="23" spans="2:28" s="60" customFormat="1" ht="37.5" customHeight="1" thickBot="1" x14ac:dyDescent="0.35">
      <c r="B23" s="398"/>
      <c r="C23" s="399"/>
      <c r="D23" s="1204" t="s">
        <v>288</v>
      </c>
      <c r="E23" s="1204"/>
      <c r="F23" s="1205"/>
      <c r="G23" s="400"/>
      <c r="H23" s="400" t="e">
        <f>+H22/$G$22</f>
        <v>#REF!</v>
      </c>
      <c r="I23" s="400"/>
      <c r="J23" s="400" t="e">
        <f>+J22/$I$22</f>
        <v>#REF!</v>
      </c>
      <c r="K23" s="400"/>
      <c r="L23" s="400">
        <f>+L22/$L$22</f>
        <v>1</v>
      </c>
      <c r="M23" s="400"/>
      <c r="N23" s="400" t="e">
        <f>+N22/$M$22</f>
        <v>#REF!</v>
      </c>
      <c r="O23"/>
      <c r="P23"/>
      <c r="Q23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</row>
    <row r="24" spans="2:28" s="60" customFormat="1" ht="37.5" hidden="1" customHeight="1" thickBot="1" x14ac:dyDescent="0.35">
      <c r="B24" s="398"/>
      <c r="C24" s="399"/>
      <c r="D24" s="401" t="s">
        <v>289</v>
      </c>
      <c r="E24" s="401"/>
      <c r="F24" s="402"/>
      <c r="G24" s="400" t="e">
        <f>+(I22+J22-L22)/G22</f>
        <v>#REF!</v>
      </c>
      <c r="H24" s="61"/>
      <c r="I24" s="61"/>
      <c r="J24" s="61"/>
      <c r="K24" s="61"/>
      <c r="L24" s="61"/>
      <c r="M24" s="61"/>
      <c r="N24" s="61"/>
      <c r="O24"/>
      <c r="P24"/>
      <c r="Q24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</row>
    <row r="25" spans="2:28" s="60" customFormat="1" ht="37.5" hidden="1" customHeight="1" thickBot="1" x14ac:dyDescent="0.35">
      <c r="B25" s="398"/>
      <c r="C25" s="399"/>
      <c r="D25" s="401" t="s">
        <v>290</v>
      </c>
      <c r="E25" s="401"/>
      <c r="F25" s="402"/>
      <c r="G25" s="400" t="e">
        <f>+K22/G22</f>
        <v>#REF!</v>
      </c>
      <c r="H25" s="61"/>
      <c r="I25" s="61"/>
      <c r="J25" s="61"/>
      <c r="K25" s="61"/>
      <c r="L25" s="61"/>
      <c r="M25" s="61"/>
      <c r="N25" s="61"/>
      <c r="O25"/>
      <c r="P25"/>
      <c r="Q25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</row>
    <row r="26" spans="2:28" ht="37.5" hidden="1" customHeight="1" thickBot="1" x14ac:dyDescent="0.3">
      <c r="B26" s="398"/>
      <c r="C26" s="399"/>
      <c r="D26" s="401" t="s">
        <v>291</v>
      </c>
      <c r="E26" s="401"/>
      <c r="F26" s="402"/>
      <c r="G26" s="400" t="e">
        <f>+(I22+J22+K22-L22)/G22</f>
        <v>#REF!</v>
      </c>
      <c r="H26"/>
      <c r="I26"/>
      <c r="J26"/>
      <c r="K26"/>
      <c r="M26"/>
    </row>
    <row r="27" spans="2:28" ht="15.6" x14ac:dyDescent="0.25">
      <c r="B27" s="394"/>
      <c r="C27" s="395"/>
      <c r="D27" s="396"/>
      <c r="E27" s="396"/>
      <c r="F27" s="396"/>
      <c r="G27" s="397"/>
      <c r="H27"/>
      <c r="I27"/>
      <c r="J27"/>
      <c r="K27"/>
      <c r="L27"/>
      <c r="M27"/>
    </row>
    <row r="28" spans="2:28" customFormat="1" ht="30" customHeight="1" thickBot="1" x14ac:dyDescent="0.3"/>
    <row r="29" spans="2:28" customFormat="1" ht="29.25" customHeight="1" thickBot="1" x14ac:dyDescent="0.3">
      <c r="H29" s="58" t="e">
        <f>+H22-K22+M22</f>
        <v>#REF!</v>
      </c>
      <c r="I29" s="392"/>
      <c r="J29" s="392"/>
      <c r="M29" s="58">
        <v>1495463.11</v>
      </c>
      <c r="N29">
        <v>1557304.55</v>
      </c>
    </row>
    <row r="30" spans="2:28" customFormat="1" ht="30" customHeight="1" thickBot="1" x14ac:dyDescent="0.3">
      <c r="H30" s="58" t="e">
        <f>+H29-G22</f>
        <v>#REF!</v>
      </c>
      <c r="I30" s="392"/>
      <c r="J30" s="392"/>
    </row>
    <row r="31" spans="2:28" customFormat="1" ht="30" customHeight="1" x14ac:dyDescent="0.4">
      <c r="M31" s="59"/>
    </row>
    <row r="32" spans="2:28" customFormat="1" ht="30" customHeight="1" x14ac:dyDescent="0.25"/>
    <row r="33" customFormat="1" ht="30" customHeight="1" x14ac:dyDescent="0.25"/>
    <row r="34" customFormat="1" ht="30" customHeight="1" x14ac:dyDescent="0.25"/>
    <row r="35" customFormat="1" x14ac:dyDescent="0.25"/>
    <row r="36" customFormat="1" x14ac:dyDescent="0.25"/>
    <row r="37" customFormat="1" ht="30" customHeigh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</sheetData>
  <mergeCells count="10">
    <mergeCell ref="B6:B7"/>
    <mergeCell ref="B2:N2"/>
    <mergeCell ref="B1:M1"/>
    <mergeCell ref="D23:F23"/>
    <mergeCell ref="G6:H6"/>
    <mergeCell ref="I6:J6"/>
    <mergeCell ref="K6:L6"/>
    <mergeCell ref="M6:N6"/>
    <mergeCell ref="C6:F7"/>
    <mergeCell ref="F4:N4"/>
  </mergeCells>
  <pageMargins left="0.25" right="0.25" top="0.75" bottom="0.75" header="0.3" footer="0.3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rgb="FFFFCCCC"/>
  </sheetPr>
  <dimension ref="B1:L230"/>
  <sheetViews>
    <sheetView showGridLines="0" view="pageBreakPreview" topLeftCell="A30" zoomScale="75" zoomScaleNormal="75" zoomScaleSheetLayoutView="75" workbookViewId="0">
      <selection activeCell="I15" sqref="I15"/>
    </sheetView>
  </sheetViews>
  <sheetFormatPr baseColWidth="10" defaultColWidth="11.44140625" defaultRowHeight="13.2" x14ac:dyDescent="0.25"/>
  <cols>
    <col min="1" max="1" width="11.44140625" style="64"/>
    <col min="2" max="2" width="6.6640625" style="71" customWidth="1"/>
    <col min="3" max="3" width="45.33203125" style="71" customWidth="1"/>
    <col min="4" max="4" width="8" style="71" customWidth="1"/>
    <col min="5" max="5" width="14" style="71" customWidth="1"/>
    <col min="6" max="6" width="12.5546875" style="71" customWidth="1"/>
    <col min="7" max="7" width="14.88671875" style="71" customWidth="1"/>
    <col min="8" max="8" width="15.33203125" style="71" customWidth="1"/>
    <col min="9" max="9" width="14.6640625" style="78" customWidth="1"/>
    <col min="10" max="10" width="2.44140625" customWidth="1"/>
    <col min="11" max="11" width="11.44140625" style="64"/>
    <col min="12" max="12" width="14.109375" style="64" customWidth="1"/>
    <col min="13" max="16384" width="11.44140625" style="64"/>
  </cols>
  <sheetData>
    <row r="1" spans="2:11" ht="53.25" customHeight="1" x14ac:dyDescent="0.25">
      <c r="B1" s="1216" t="s">
        <v>80</v>
      </c>
      <c r="C1" s="1216"/>
      <c r="D1" s="1216"/>
      <c r="E1" s="1216"/>
      <c r="F1" s="1216"/>
      <c r="G1" s="1216"/>
      <c r="H1" s="1216"/>
      <c r="I1" s="1216"/>
    </row>
    <row r="2" spans="2:11" ht="9.75" customHeight="1" x14ac:dyDescent="0.25">
      <c r="B2" s="65"/>
      <c r="C2" s="65"/>
      <c r="D2" s="65"/>
      <c r="E2" s="65"/>
      <c r="F2" s="64"/>
      <c r="G2" s="64"/>
      <c r="H2" s="64"/>
      <c r="I2" s="66"/>
    </row>
    <row r="3" spans="2:11" ht="17.25" customHeight="1" x14ac:dyDescent="0.25">
      <c r="B3" s="1217" t="s">
        <v>116</v>
      </c>
      <c r="C3" s="1217"/>
      <c r="D3" s="1217"/>
      <c r="E3" s="1217"/>
      <c r="F3" s="1217"/>
      <c r="G3" s="1217"/>
      <c r="H3" s="1217"/>
      <c r="I3" s="1217"/>
    </row>
    <row r="4" spans="2:11" ht="15" customHeight="1" x14ac:dyDescent="0.25">
      <c r="B4" s="1217"/>
      <c r="C4" s="1217"/>
      <c r="D4" s="1217"/>
      <c r="E4" s="1217"/>
      <c r="F4" s="1217"/>
      <c r="G4" s="1217"/>
      <c r="H4" s="1217"/>
      <c r="I4" s="1217"/>
    </row>
    <row r="5" spans="2:11" s="71" customFormat="1" ht="15.6" x14ac:dyDescent="0.25">
      <c r="B5" s="67"/>
      <c r="C5" s="68" t="s">
        <v>117</v>
      </c>
      <c r="D5" s="69" t="s">
        <v>118</v>
      </c>
      <c r="E5" s="67"/>
      <c r="F5" s="67"/>
      <c r="G5" s="67"/>
      <c r="H5" s="67"/>
      <c r="I5" s="70"/>
      <c r="J5"/>
    </row>
    <row r="6" spans="2:11" s="71" customFormat="1" ht="15.6" x14ac:dyDescent="0.25">
      <c r="B6" s="67"/>
      <c r="C6" s="68" t="s">
        <v>119</v>
      </c>
      <c r="D6" s="72" t="s">
        <v>82</v>
      </c>
      <c r="E6" s="67"/>
      <c r="F6" s="67"/>
      <c r="G6" s="67"/>
      <c r="H6" s="67"/>
      <c r="I6" s="73"/>
      <c r="J6"/>
      <c r="K6" s="74">
        <f>I190/E69</f>
        <v>0.30530482787933094</v>
      </c>
    </row>
    <row r="7" spans="2:11" s="71" customFormat="1" ht="15.6" x14ac:dyDescent="0.25">
      <c r="B7" s="67"/>
      <c r="C7" s="68" t="s">
        <v>120</v>
      </c>
      <c r="D7" s="75">
        <v>5</v>
      </c>
      <c r="E7" s="68" t="s">
        <v>121</v>
      </c>
      <c r="F7" s="67"/>
      <c r="G7" s="67"/>
      <c r="I7" s="76"/>
      <c r="J7"/>
    </row>
    <row r="8" spans="2:11" s="71" customFormat="1" ht="15.75" customHeight="1" x14ac:dyDescent="0.25">
      <c r="B8" s="67"/>
      <c r="C8" s="68"/>
      <c r="D8" s="77"/>
      <c r="E8" s="68"/>
      <c r="F8" s="67"/>
      <c r="G8" s="67"/>
      <c r="I8" s="78"/>
      <c r="J8"/>
    </row>
    <row r="9" spans="2:11" s="80" customFormat="1" ht="15.6" x14ac:dyDescent="0.25">
      <c r="B9" s="79" t="s">
        <v>122</v>
      </c>
      <c r="C9" s="68" t="s">
        <v>123</v>
      </c>
      <c r="D9" s="67"/>
      <c r="E9" s="67"/>
      <c r="F9" s="67"/>
      <c r="G9" s="67"/>
      <c r="H9" s="67"/>
      <c r="I9" s="70">
        <v>942051.30000000016</v>
      </c>
      <c r="J9"/>
    </row>
    <row r="10" spans="2:11" s="80" customFormat="1" x14ac:dyDescent="0.25">
      <c r="B10" s="81"/>
      <c r="C10" s="67"/>
      <c r="D10" s="67"/>
      <c r="E10" s="67"/>
      <c r="F10" s="67"/>
      <c r="G10" s="67"/>
      <c r="H10" s="67"/>
      <c r="I10" s="70"/>
      <c r="J10"/>
    </row>
    <row r="11" spans="2:11" s="80" customFormat="1" ht="13.8" thickBot="1" x14ac:dyDescent="0.3">
      <c r="B11" s="82">
        <v>1.1000000000000001</v>
      </c>
      <c r="C11" s="83" t="s">
        <v>124</v>
      </c>
      <c r="D11" s="67"/>
      <c r="E11" s="67"/>
      <c r="F11" s="67"/>
      <c r="G11" s="67"/>
      <c r="H11" s="67"/>
      <c r="I11" s="70"/>
      <c r="J11"/>
    </row>
    <row r="12" spans="2:11" s="80" customFormat="1" x14ac:dyDescent="0.25">
      <c r="B12" s="81"/>
      <c r="C12" s="84" t="s">
        <v>125</v>
      </c>
      <c r="D12" s="85" t="s">
        <v>126</v>
      </c>
      <c r="E12" s="85" t="s">
        <v>127</v>
      </c>
      <c r="F12" s="86" t="s">
        <v>128</v>
      </c>
      <c r="G12" s="85" t="s">
        <v>129</v>
      </c>
      <c r="H12" s="86" t="s">
        <v>130</v>
      </c>
      <c r="I12" s="87" t="s">
        <v>131</v>
      </c>
      <c r="J12"/>
    </row>
    <row r="13" spans="2:11" s="80" customFormat="1" x14ac:dyDescent="0.25">
      <c r="B13" s="81"/>
      <c r="C13" s="88"/>
      <c r="D13" s="89"/>
      <c r="E13" s="89"/>
      <c r="F13" s="90" t="s">
        <v>132</v>
      </c>
      <c r="G13" s="89" t="s">
        <v>133</v>
      </c>
      <c r="H13" s="90" t="s">
        <v>134</v>
      </c>
      <c r="I13" s="91" t="s">
        <v>134</v>
      </c>
      <c r="J13"/>
    </row>
    <row r="14" spans="2:11" s="80" customFormat="1" hidden="1" x14ac:dyDescent="0.25">
      <c r="B14" s="81"/>
      <c r="C14" s="92" t="s">
        <v>135</v>
      </c>
      <c r="D14" s="93" t="s">
        <v>136</v>
      </c>
      <c r="E14" s="93">
        <v>0</v>
      </c>
      <c r="F14" s="94">
        <v>0.5</v>
      </c>
      <c r="G14" s="95">
        <v>2.5</v>
      </c>
      <c r="H14" s="96">
        <v>10000</v>
      </c>
      <c r="I14" s="97">
        <v>0</v>
      </c>
      <c r="J14"/>
    </row>
    <row r="15" spans="2:11" s="80" customFormat="1" x14ac:dyDescent="0.25">
      <c r="B15" s="81"/>
      <c r="C15" s="92" t="s">
        <v>137</v>
      </c>
      <c r="D15" s="93" t="s">
        <v>136</v>
      </c>
      <c r="E15" s="93">
        <v>1</v>
      </c>
      <c r="F15" s="94">
        <v>1</v>
      </c>
      <c r="G15" s="95">
        <v>5</v>
      </c>
      <c r="H15" s="96">
        <v>6000</v>
      </c>
      <c r="I15" s="97">
        <f>ROUND(E15*F15*G15*H15,2)</f>
        <v>30000</v>
      </c>
      <c r="J15"/>
    </row>
    <row r="16" spans="2:11" s="80" customFormat="1" hidden="1" x14ac:dyDescent="0.25">
      <c r="B16" s="81"/>
      <c r="C16" s="92" t="s">
        <v>138</v>
      </c>
      <c r="D16" s="93" t="s">
        <v>136</v>
      </c>
      <c r="E16" s="93">
        <v>0</v>
      </c>
      <c r="F16" s="94">
        <v>0.82</v>
      </c>
      <c r="G16" s="95">
        <v>4.0999999999999996</v>
      </c>
      <c r="H16" s="96">
        <v>6500</v>
      </c>
      <c r="I16" s="97">
        <v>0</v>
      </c>
      <c r="J16"/>
    </row>
    <row r="17" spans="2:10" s="80" customFormat="1" ht="12.75" hidden="1" customHeight="1" x14ac:dyDescent="0.25">
      <c r="B17" s="81"/>
      <c r="C17" s="92" t="s">
        <v>139</v>
      </c>
      <c r="D17" s="93" t="s">
        <v>136</v>
      </c>
      <c r="E17" s="93">
        <v>0</v>
      </c>
      <c r="F17" s="94">
        <v>0.5</v>
      </c>
      <c r="G17" s="95">
        <v>2.5</v>
      </c>
      <c r="H17" s="96">
        <v>4500</v>
      </c>
      <c r="I17" s="97">
        <v>0</v>
      </c>
      <c r="J17"/>
    </row>
    <row r="18" spans="2:10" s="98" customFormat="1" ht="12.75" customHeight="1" x14ac:dyDescent="0.25">
      <c r="B18" s="81"/>
      <c r="C18" s="92" t="s">
        <v>140</v>
      </c>
      <c r="D18" s="93" t="s">
        <v>136</v>
      </c>
      <c r="E18" s="93">
        <v>1</v>
      </c>
      <c r="F18" s="94">
        <v>1</v>
      </c>
      <c r="G18" s="95">
        <v>5</v>
      </c>
      <c r="H18" s="96">
        <v>4500</v>
      </c>
      <c r="I18" s="97">
        <f t="shared" ref="I18:I19" si="0">ROUND(E18*F18*G18*H18,2)</f>
        <v>22500</v>
      </c>
      <c r="J18"/>
    </row>
    <row r="19" spans="2:10" s="80" customFormat="1" ht="12.75" customHeight="1" x14ac:dyDescent="0.25">
      <c r="B19" s="81"/>
      <c r="C19" s="92" t="s">
        <v>141</v>
      </c>
      <c r="D19" s="93" t="s">
        <v>136</v>
      </c>
      <c r="E19" s="93">
        <v>1</v>
      </c>
      <c r="F19" s="94">
        <v>1</v>
      </c>
      <c r="G19" s="95">
        <v>5</v>
      </c>
      <c r="H19" s="96">
        <v>4000</v>
      </c>
      <c r="I19" s="97">
        <f t="shared" si="0"/>
        <v>20000</v>
      </c>
      <c r="J19"/>
    </row>
    <row r="20" spans="2:10" s="80" customFormat="1" x14ac:dyDescent="0.25">
      <c r="B20" s="81"/>
      <c r="C20" s="99"/>
      <c r="D20" s="100"/>
      <c r="E20" s="100"/>
      <c r="F20" s="378"/>
      <c r="G20" s="95"/>
      <c r="H20" s="96"/>
      <c r="I20" s="97"/>
      <c r="J20"/>
    </row>
    <row r="21" spans="2:10" s="80" customFormat="1" ht="13.8" thickBot="1" x14ac:dyDescent="0.3">
      <c r="B21" s="81"/>
      <c r="C21" s="101" t="s">
        <v>142</v>
      </c>
      <c r="D21" s="102"/>
      <c r="E21" s="102"/>
      <c r="F21" s="103"/>
      <c r="G21" s="104"/>
      <c r="H21" s="104"/>
      <c r="I21" s="105">
        <f>SUM(I14:I20)</f>
        <v>72500</v>
      </c>
      <c r="J21"/>
    </row>
    <row r="22" spans="2:10" s="80" customFormat="1" x14ac:dyDescent="0.25">
      <c r="B22" s="81"/>
      <c r="C22" s="106" t="s">
        <v>143</v>
      </c>
      <c r="D22" s="67"/>
      <c r="E22" s="67"/>
      <c r="F22" s="107"/>
      <c r="G22" s="108"/>
      <c r="H22" s="108"/>
      <c r="I22" s="109"/>
      <c r="J22"/>
    </row>
    <row r="23" spans="2:10" s="80" customFormat="1" ht="6" customHeight="1" x14ac:dyDescent="0.25">
      <c r="B23" s="81"/>
      <c r="C23" s="67"/>
      <c r="D23" s="67"/>
      <c r="E23" s="67"/>
      <c r="F23" s="107"/>
      <c r="G23" s="108"/>
      <c r="H23" s="108"/>
      <c r="I23" s="70"/>
      <c r="J23"/>
    </row>
    <row r="24" spans="2:10" s="80" customFormat="1" ht="15" customHeight="1" thickBot="1" x14ac:dyDescent="0.3">
      <c r="B24" s="82">
        <v>1.2</v>
      </c>
      <c r="C24" s="83" t="s">
        <v>144</v>
      </c>
      <c r="D24" s="67"/>
      <c r="E24" s="67"/>
      <c r="F24" s="107"/>
      <c r="G24" s="108"/>
      <c r="H24" s="108"/>
      <c r="I24" s="70"/>
      <c r="J24"/>
    </row>
    <row r="25" spans="2:10" s="80" customFormat="1" x14ac:dyDescent="0.25">
      <c r="B25" s="81"/>
      <c r="C25" s="84" t="s">
        <v>125</v>
      </c>
      <c r="D25" s="85" t="s">
        <v>136</v>
      </c>
      <c r="E25" s="110" t="s">
        <v>127</v>
      </c>
      <c r="F25" s="111" t="s">
        <v>128</v>
      </c>
      <c r="G25" s="112" t="s">
        <v>129</v>
      </c>
      <c r="H25" s="113" t="s">
        <v>130</v>
      </c>
      <c r="I25" s="87" t="s">
        <v>131</v>
      </c>
      <c r="J25"/>
    </row>
    <row r="26" spans="2:10" s="80" customFormat="1" x14ac:dyDescent="0.25">
      <c r="B26" s="81"/>
      <c r="C26" s="114"/>
      <c r="D26" s="89"/>
      <c r="E26" s="115"/>
      <c r="F26" s="116" t="s">
        <v>132</v>
      </c>
      <c r="G26" s="117" t="s">
        <v>133</v>
      </c>
      <c r="H26" s="90" t="s">
        <v>134</v>
      </c>
      <c r="I26" s="91" t="s">
        <v>134</v>
      </c>
      <c r="J26"/>
    </row>
    <row r="27" spans="2:10" s="98" customFormat="1" x14ac:dyDescent="0.25">
      <c r="B27" s="81"/>
      <c r="C27" s="118" t="s">
        <v>145</v>
      </c>
      <c r="D27" s="93" t="s">
        <v>136</v>
      </c>
      <c r="E27" s="119">
        <v>1</v>
      </c>
      <c r="F27" s="120">
        <v>1</v>
      </c>
      <c r="G27" s="121">
        <v>5</v>
      </c>
      <c r="H27" s="122">
        <v>3500</v>
      </c>
      <c r="I27" s="97">
        <f t="shared" ref="I27:I34" si="1">ROUND(E27*F27*G27*H27,2)</f>
        <v>17500</v>
      </c>
      <c r="J27"/>
    </row>
    <row r="28" spans="2:10" s="80" customFormat="1" hidden="1" x14ac:dyDescent="0.25">
      <c r="B28" s="81"/>
      <c r="C28" s="92" t="s">
        <v>146</v>
      </c>
      <c r="D28" s="93" t="s">
        <v>136</v>
      </c>
      <c r="E28" s="81">
        <v>0</v>
      </c>
      <c r="F28" s="124">
        <v>0.8</v>
      </c>
      <c r="G28" s="121">
        <v>4</v>
      </c>
      <c r="H28" s="121">
        <v>1500</v>
      </c>
      <c r="I28" s="97">
        <f t="shared" si="1"/>
        <v>0</v>
      </c>
      <c r="J28"/>
    </row>
    <row r="29" spans="2:10" s="80" customFormat="1" x14ac:dyDescent="0.25">
      <c r="B29" s="81"/>
      <c r="C29" s="92" t="s">
        <v>147</v>
      </c>
      <c r="D29" s="93" t="s">
        <v>136</v>
      </c>
      <c r="E29" s="81">
        <v>1</v>
      </c>
      <c r="F29" s="124">
        <v>1</v>
      </c>
      <c r="G29" s="121">
        <v>5</v>
      </c>
      <c r="H29" s="121">
        <v>1500</v>
      </c>
      <c r="I29" s="97">
        <f t="shared" si="1"/>
        <v>7500</v>
      </c>
      <c r="J29"/>
    </row>
    <row r="30" spans="2:10" s="80" customFormat="1" x14ac:dyDescent="0.25">
      <c r="B30" s="81"/>
      <c r="C30" s="92" t="s">
        <v>148</v>
      </c>
      <c r="D30" s="93" t="s">
        <v>136</v>
      </c>
      <c r="E30" s="81">
        <v>1</v>
      </c>
      <c r="F30" s="124">
        <v>1</v>
      </c>
      <c r="G30" s="121">
        <v>5</v>
      </c>
      <c r="H30" s="121">
        <v>1800</v>
      </c>
      <c r="I30" s="97">
        <f t="shared" si="1"/>
        <v>9000</v>
      </c>
      <c r="J30"/>
    </row>
    <row r="31" spans="2:10" s="80" customFormat="1" hidden="1" x14ac:dyDescent="0.25">
      <c r="B31" s="81"/>
      <c r="C31" s="92" t="s">
        <v>149</v>
      </c>
      <c r="D31" s="93" t="s">
        <v>136</v>
      </c>
      <c r="E31" s="81">
        <v>0</v>
      </c>
      <c r="F31" s="124">
        <v>1</v>
      </c>
      <c r="G31" s="121">
        <v>5</v>
      </c>
      <c r="H31" s="121">
        <v>1050</v>
      </c>
      <c r="I31" s="97">
        <f t="shared" si="1"/>
        <v>0</v>
      </c>
      <c r="J31"/>
    </row>
    <row r="32" spans="2:10" s="80" customFormat="1" hidden="1" x14ac:dyDescent="0.25">
      <c r="B32" s="81"/>
      <c r="C32" s="92" t="s">
        <v>150</v>
      </c>
      <c r="D32" s="93" t="s">
        <v>136</v>
      </c>
      <c r="E32" s="81">
        <v>0</v>
      </c>
      <c r="F32" s="124">
        <v>1</v>
      </c>
      <c r="G32" s="121">
        <v>5</v>
      </c>
      <c r="H32" s="121">
        <v>1200</v>
      </c>
      <c r="I32" s="97">
        <f t="shared" si="1"/>
        <v>0</v>
      </c>
      <c r="J32"/>
    </row>
    <row r="33" spans="2:11" s="80" customFormat="1" x14ac:dyDescent="0.25">
      <c r="B33" s="81"/>
      <c r="C33" s="92" t="s">
        <v>151</v>
      </c>
      <c r="D33" s="93" t="s">
        <v>136</v>
      </c>
      <c r="E33" s="81">
        <v>1</v>
      </c>
      <c r="F33" s="124">
        <v>1</v>
      </c>
      <c r="G33" s="121">
        <v>5</v>
      </c>
      <c r="H33" s="121">
        <v>1500</v>
      </c>
      <c r="I33" s="97">
        <f t="shared" si="1"/>
        <v>7500</v>
      </c>
      <c r="J33"/>
    </row>
    <row r="34" spans="2:11" s="80" customFormat="1" x14ac:dyDescent="0.25">
      <c r="B34" s="81"/>
      <c r="C34" s="92" t="s">
        <v>152</v>
      </c>
      <c r="D34" s="93" t="s">
        <v>136</v>
      </c>
      <c r="E34" s="81">
        <v>1</v>
      </c>
      <c r="F34" s="124">
        <v>1</v>
      </c>
      <c r="G34" s="121">
        <v>5</v>
      </c>
      <c r="H34" s="121">
        <v>1047</v>
      </c>
      <c r="I34" s="97">
        <f t="shared" si="1"/>
        <v>5235</v>
      </c>
      <c r="J34"/>
    </row>
    <row r="35" spans="2:11" s="80" customFormat="1" x14ac:dyDescent="0.25">
      <c r="B35" s="81"/>
      <c r="C35" s="99"/>
      <c r="D35" s="100"/>
      <c r="E35" s="125"/>
      <c r="F35" s="126"/>
      <c r="G35" s="127"/>
      <c r="H35" s="128"/>
      <c r="I35" s="129"/>
      <c r="J35"/>
    </row>
    <row r="36" spans="2:11" s="80" customFormat="1" ht="13.8" thickBot="1" x14ac:dyDescent="0.3">
      <c r="B36" s="81"/>
      <c r="C36" s="101" t="s">
        <v>153</v>
      </c>
      <c r="D36" s="130"/>
      <c r="E36" s="131"/>
      <c r="F36" s="132"/>
      <c r="G36" s="133"/>
      <c r="H36" s="133"/>
      <c r="I36" s="134">
        <f>SUM(I27:I35)</f>
        <v>46735</v>
      </c>
      <c r="J36"/>
      <c r="K36" s="134">
        <v>46735</v>
      </c>
    </row>
    <row r="37" spans="2:11" s="80" customFormat="1" x14ac:dyDescent="0.25">
      <c r="B37" s="81"/>
      <c r="C37" s="106" t="s">
        <v>154</v>
      </c>
      <c r="D37" s="67"/>
      <c r="E37" s="81"/>
      <c r="F37" s="107"/>
      <c r="G37" s="108"/>
      <c r="H37" s="108"/>
      <c r="I37" s="109"/>
      <c r="J37"/>
    </row>
    <row r="38" spans="2:11" s="80" customFormat="1" ht="6" customHeight="1" x14ac:dyDescent="0.25">
      <c r="B38" s="81"/>
      <c r="C38" s="67"/>
      <c r="D38" s="67"/>
      <c r="E38" s="81"/>
      <c r="F38" s="107"/>
      <c r="G38" s="108"/>
      <c r="H38" s="108"/>
      <c r="I38" s="70"/>
      <c r="J38"/>
    </row>
    <row r="39" spans="2:11" s="80" customFormat="1" ht="13.8" thickBot="1" x14ac:dyDescent="0.3">
      <c r="B39" s="82">
        <v>1.3</v>
      </c>
      <c r="C39" s="83" t="s">
        <v>155</v>
      </c>
      <c r="D39" s="83"/>
      <c r="E39" s="81"/>
      <c r="F39" s="107"/>
      <c r="G39" s="108"/>
      <c r="H39" s="108"/>
      <c r="I39" s="70"/>
      <c r="J39"/>
    </row>
    <row r="40" spans="2:11" s="80" customFormat="1" x14ac:dyDescent="0.25">
      <c r="B40" s="81"/>
      <c r="C40" s="84" t="s">
        <v>125</v>
      </c>
      <c r="D40" s="85" t="s">
        <v>136</v>
      </c>
      <c r="E40" s="86" t="s">
        <v>127</v>
      </c>
      <c r="F40" s="111" t="s">
        <v>128</v>
      </c>
      <c r="G40" s="135" t="s">
        <v>129</v>
      </c>
      <c r="H40" s="113" t="s">
        <v>156</v>
      </c>
      <c r="I40" s="87" t="s">
        <v>131</v>
      </c>
      <c r="J40"/>
    </row>
    <row r="41" spans="2:11" s="80" customFormat="1" x14ac:dyDescent="0.25">
      <c r="B41" s="81"/>
      <c r="C41" s="136"/>
      <c r="D41" s="89"/>
      <c r="E41" s="90"/>
      <c r="F41" s="116" t="s">
        <v>132</v>
      </c>
      <c r="G41" s="137" t="s">
        <v>133</v>
      </c>
      <c r="H41" s="89" t="s">
        <v>134</v>
      </c>
      <c r="I41" s="91" t="s">
        <v>134</v>
      </c>
      <c r="J41"/>
    </row>
    <row r="42" spans="2:11" s="80" customFormat="1" ht="12.75" customHeight="1" x14ac:dyDescent="0.25">
      <c r="B42" s="81"/>
      <c r="C42" s="138" t="s">
        <v>157</v>
      </c>
      <c r="D42" s="93" t="s">
        <v>158</v>
      </c>
      <c r="E42" s="81">
        <v>1</v>
      </c>
      <c r="F42" s="124">
        <v>1</v>
      </c>
      <c r="G42" s="95">
        <v>5</v>
      </c>
      <c r="H42" s="95">
        <v>1500</v>
      </c>
      <c r="I42" s="97">
        <f t="shared" ref="I42:I47" si="2">ROUND(E42*F42*G42*H42,2)</f>
        <v>7500</v>
      </c>
      <c r="J42"/>
    </row>
    <row r="43" spans="2:11" s="98" customFormat="1" x14ac:dyDescent="0.25">
      <c r="B43" s="81"/>
      <c r="C43" s="139" t="s">
        <v>159</v>
      </c>
      <c r="D43" s="93" t="s">
        <v>158</v>
      </c>
      <c r="E43" s="81">
        <v>1</v>
      </c>
      <c r="F43" s="123">
        <v>1</v>
      </c>
      <c r="G43" s="95">
        <v>5</v>
      </c>
      <c r="H43" s="95">
        <v>849.88</v>
      </c>
      <c r="I43" s="97">
        <f t="shared" si="2"/>
        <v>4249.3999999999996</v>
      </c>
      <c r="J43"/>
    </row>
    <row r="44" spans="2:11" s="80" customFormat="1" hidden="1" x14ac:dyDescent="0.25">
      <c r="B44" s="81"/>
      <c r="C44" s="92" t="s">
        <v>160</v>
      </c>
      <c r="D44" s="93" t="s">
        <v>158</v>
      </c>
      <c r="E44" s="81">
        <v>0</v>
      </c>
      <c r="F44" s="124">
        <v>1</v>
      </c>
      <c r="G44" s="95">
        <v>5</v>
      </c>
      <c r="H44" s="95">
        <v>450</v>
      </c>
      <c r="I44" s="97">
        <f t="shared" si="2"/>
        <v>0</v>
      </c>
      <c r="J44"/>
    </row>
    <row r="45" spans="2:11" s="80" customFormat="1" x14ac:dyDescent="0.25">
      <c r="B45" s="81"/>
      <c r="C45" s="92" t="s">
        <v>161</v>
      </c>
      <c r="D45" s="93" t="s">
        <v>158</v>
      </c>
      <c r="E45" s="81">
        <v>1</v>
      </c>
      <c r="F45" s="124">
        <v>1</v>
      </c>
      <c r="G45" s="95">
        <v>5</v>
      </c>
      <c r="H45" s="95">
        <v>550</v>
      </c>
      <c r="I45" s="97">
        <f t="shared" si="2"/>
        <v>2750</v>
      </c>
      <c r="J45"/>
    </row>
    <row r="46" spans="2:11" s="80" customFormat="1" x14ac:dyDescent="0.25">
      <c r="B46" s="81"/>
      <c r="C46" s="92" t="s">
        <v>162</v>
      </c>
      <c r="D46" s="93" t="s">
        <v>158</v>
      </c>
      <c r="E46" s="81">
        <v>1</v>
      </c>
      <c r="F46" s="124">
        <v>1</v>
      </c>
      <c r="G46" s="95">
        <v>5</v>
      </c>
      <c r="H46" s="140">
        <v>2000</v>
      </c>
      <c r="I46" s="97">
        <f t="shared" si="2"/>
        <v>10000</v>
      </c>
      <c r="J46"/>
    </row>
    <row r="47" spans="2:11" s="80" customFormat="1" x14ac:dyDescent="0.25">
      <c r="B47" s="81"/>
      <c r="C47" s="92" t="s">
        <v>163</v>
      </c>
      <c r="D47" s="93" t="s">
        <v>158</v>
      </c>
      <c r="E47" s="81">
        <v>1</v>
      </c>
      <c r="F47" s="124">
        <v>1</v>
      </c>
      <c r="G47" s="95">
        <v>5</v>
      </c>
      <c r="H47" s="140">
        <v>650</v>
      </c>
      <c r="I47" s="97">
        <f t="shared" si="2"/>
        <v>3250</v>
      </c>
      <c r="J47"/>
    </row>
    <row r="48" spans="2:11" s="80" customFormat="1" x14ac:dyDescent="0.25">
      <c r="B48" s="81"/>
      <c r="C48" s="99"/>
      <c r="D48" s="100"/>
      <c r="E48" s="125"/>
      <c r="F48" s="141"/>
      <c r="G48" s="142"/>
      <c r="H48" s="128"/>
      <c r="I48" s="143"/>
      <c r="J48"/>
    </row>
    <row r="49" spans="2:11" s="80" customFormat="1" ht="13.8" thickBot="1" x14ac:dyDescent="0.3">
      <c r="B49" s="81"/>
      <c r="C49" s="101" t="s">
        <v>164</v>
      </c>
      <c r="D49" s="130"/>
      <c r="E49" s="131"/>
      <c r="F49" s="132"/>
      <c r="G49" s="133"/>
      <c r="H49" s="133"/>
      <c r="I49" s="105">
        <f>SUM(I42:I48)</f>
        <v>27749.4</v>
      </c>
      <c r="J49"/>
    </row>
    <row r="50" spans="2:11" s="80" customFormat="1" ht="8.25" customHeight="1" x14ac:dyDescent="0.25">
      <c r="B50" s="81"/>
      <c r="C50" s="67"/>
      <c r="D50" s="67"/>
      <c r="E50" s="81"/>
      <c r="F50" s="107"/>
      <c r="G50" s="108"/>
      <c r="H50" s="108"/>
      <c r="I50" s="70"/>
      <c r="J50"/>
    </row>
    <row r="51" spans="2:11" s="80" customFormat="1" ht="13.8" thickBot="1" x14ac:dyDescent="0.3">
      <c r="B51" s="82">
        <v>1.4</v>
      </c>
      <c r="C51" s="83" t="s">
        <v>165</v>
      </c>
      <c r="D51" s="83"/>
      <c r="E51" s="81"/>
      <c r="F51" s="107"/>
      <c r="G51" s="108"/>
      <c r="H51" s="108"/>
      <c r="I51" s="70"/>
      <c r="J51"/>
    </row>
    <row r="52" spans="2:11" s="80" customFormat="1" x14ac:dyDescent="0.25">
      <c r="B52" s="81"/>
      <c r="C52" s="84" t="s">
        <v>125</v>
      </c>
      <c r="D52" s="85" t="s">
        <v>136</v>
      </c>
      <c r="E52" s="86" t="s">
        <v>127</v>
      </c>
      <c r="F52" s="111" t="s">
        <v>166</v>
      </c>
      <c r="G52" s="135" t="s">
        <v>129</v>
      </c>
      <c r="H52" s="144" t="s">
        <v>167</v>
      </c>
      <c r="I52" s="87" t="s">
        <v>131</v>
      </c>
      <c r="J52"/>
    </row>
    <row r="53" spans="2:11" s="80" customFormat="1" x14ac:dyDescent="0.25">
      <c r="B53" s="81"/>
      <c r="C53" s="114"/>
      <c r="D53" s="89"/>
      <c r="E53" s="90"/>
      <c r="F53" s="116" t="s">
        <v>132</v>
      </c>
      <c r="G53" s="137" t="s">
        <v>133</v>
      </c>
      <c r="H53" s="89" t="s">
        <v>134</v>
      </c>
      <c r="I53" s="91" t="s">
        <v>134</v>
      </c>
      <c r="J53"/>
    </row>
    <row r="54" spans="2:11" s="80" customFormat="1" x14ac:dyDescent="0.25">
      <c r="B54" s="81"/>
      <c r="C54" s="118" t="s">
        <v>168</v>
      </c>
      <c r="D54" s="93" t="s">
        <v>158</v>
      </c>
      <c r="E54" s="294">
        <v>3</v>
      </c>
      <c r="F54" s="124">
        <v>2.0833333333333332E-2</v>
      </c>
      <c r="G54" s="140">
        <v>5</v>
      </c>
      <c r="H54" s="140">
        <v>2500</v>
      </c>
      <c r="I54" s="97">
        <f t="shared" ref="I54:I60" si="3">ROUND(E54*F54*G54*H54,2)</f>
        <v>781.25</v>
      </c>
      <c r="J54"/>
    </row>
    <row r="55" spans="2:11" s="80" customFormat="1" x14ac:dyDescent="0.25">
      <c r="B55" s="81"/>
      <c r="C55" s="92" t="s">
        <v>169</v>
      </c>
      <c r="D55" s="93" t="s">
        <v>158</v>
      </c>
      <c r="E55" s="294">
        <v>3</v>
      </c>
      <c r="F55" s="124">
        <v>2.0833333333333332E-2</v>
      </c>
      <c r="G55" s="140">
        <v>5</v>
      </c>
      <c r="H55" s="140">
        <v>3500</v>
      </c>
      <c r="I55" s="97">
        <f t="shared" si="3"/>
        <v>1093.75</v>
      </c>
      <c r="J55"/>
    </row>
    <row r="56" spans="2:11" s="80" customFormat="1" x14ac:dyDescent="0.25">
      <c r="B56" s="81"/>
      <c r="C56" s="92" t="s">
        <v>170</v>
      </c>
      <c r="D56" s="93" t="s">
        <v>158</v>
      </c>
      <c r="E56" s="294">
        <v>2</v>
      </c>
      <c r="F56" s="124">
        <v>2.0833333333333332E-2</v>
      </c>
      <c r="G56" s="140">
        <v>5</v>
      </c>
      <c r="H56" s="140">
        <v>1000</v>
      </c>
      <c r="I56" s="97">
        <f t="shared" si="3"/>
        <v>208.33</v>
      </c>
      <c r="J56"/>
    </row>
    <row r="57" spans="2:11" s="71" customFormat="1" x14ac:dyDescent="0.25">
      <c r="B57" s="81"/>
      <c r="C57" s="92" t="s">
        <v>171</v>
      </c>
      <c r="D57" s="93" t="s">
        <v>158</v>
      </c>
      <c r="E57" s="294">
        <v>1</v>
      </c>
      <c r="F57" s="124">
        <v>2.0833333333333332E-2</v>
      </c>
      <c r="G57" s="140">
        <v>5</v>
      </c>
      <c r="H57" s="140">
        <v>1200</v>
      </c>
      <c r="I57" s="97">
        <f t="shared" si="3"/>
        <v>125</v>
      </c>
      <c r="J57"/>
    </row>
    <row r="58" spans="2:11" s="151" customFormat="1" x14ac:dyDescent="0.25">
      <c r="B58" s="150"/>
      <c r="C58" s="149" t="s">
        <v>172</v>
      </c>
      <c r="D58" s="145" t="s">
        <v>158</v>
      </c>
      <c r="E58" s="146">
        <v>1</v>
      </c>
      <c r="F58" s="147">
        <v>6.3131499999999993E-2</v>
      </c>
      <c r="G58" s="148">
        <v>5</v>
      </c>
      <c r="H58" s="148">
        <v>118800</v>
      </c>
      <c r="I58" s="97">
        <f t="shared" si="3"/>
        <v>37500.11</v>
      </c>
      <c r="J58"/>
    </row>
    <row r="59" spans="2:11" s="80" customFormat="1" x14ac:dyDescent="0.25">
      <c r="B59" s="81"/>
      <c r="C59" s="92" t="s">
        <v>173</v>
      </c>
      <c r="D59" s="93" t="s">
        <v>158</v>
      </c>
      <c r="E59" s="294">
        <v>1</v>
      </c>
      <c r="F59" s="124">
        <v>1</v>
      </c>
      <c r="G59" s="140">
        <v>5</v>
      </c>
      <c r="H59" s="140">
        <v>3000</v>
      </c>
      <c r="I59" s="97">
        <f t="shared" si="3"/>
        <v>15000</v>
      </c>
      <c r="J59"/>
    </row>
    <row r="60" spans="2:11" s="80" customFormat="1" x14ac:dyDescent="0.25">
      <c r="B60" s="81"/>
      <c r="C60" s="92" t="s">
        <v>174</v>
      </c>
      <c r="D60" s="93" t="s">
        <v>158</v>
      </c>
      <c r="E60" s="294">
        <v>1</v>
      </c>
      <c r="F60" s="124">
        <v>0.7</v>
      </c>
      <c r="G60" s="140">
        <v>5</v>
      </c>
      <c r="H60" s="140">
        <v>1500</v>
      </c>
      <c r="I60" s="97">
        <f t="shared" si="3"/>
        <v>5250</v>
      </c>
      <c r="J60"/>
    </row>
    <row r="61" spans="2:11" s="80" customFormat="1" x14ac:dyDescent="0.25">
      <c r="B61" s="81"/>
      <c r="C61" s="99"/>
      <c r="D61" s="100"/>
      <c r="E61" s="125"/>
      <c r="F61" s="141"/>
      <c r="G61" s="142"/>
      <c r="H61" s="142"/>
      <c r="I61" s="143"/>
      <c r="J61"/>
    </row>
    <row r="62" spans="2:11" s="80" customFormat="1" ht="13.8" thickBot="1" x14ac:dyDescent="0.3">
      <c r="B62" s="81"/>
      <c r="C62" s="101" t="s">
        <v>175</v>
      </c>
      <c r="D62" s="130"/>
      <c r="E62" s="130"/>
      <c r="F62" s="132"/>
      <c r="G62" s="133"/>
      <c r="H62" s="133"/>
      <c r="I62" s="134">
        <f>SUM(I54:I61)</f>
        <v>59958.44</v>
      </c>
      <c r="J62"/>
      <c r="K62" s="134">
        <v>59958.44</v>
      </c>
    </row>
    <row r="63" spans="2:11" s="80" customFormat="1" x14ac:dyDescent="0.25">
      <c r="B63" s="81"/>
      <c r="C63" s="106" t="s">
        <v>176</v>
      </c>
      <c r="D63" s="67"/>
      <c r="E63" s="67"/>
      <c r="F63" s="107"/>
      <c r="G63" s="108"/>
      <c r="H63" s="108"/>
      <c r="I63" s="70"/>
      <c r="J63"/>
    </row>
    <row r="64" spans="2:11" s="80" customFormat="1" x14ac:dyDescent="0.25">
      <c r="B64" s="81"/>
      <c r="C64" s="106" t="s">
        <v>177</v>
      </c>
      <c r="D64" s="67"/>
      <c r="E64" s="67"/>
      <c r="F64" s="107"/>
      <c r="G64" s="108"/>
      <c r="H64" s="108"/>
      <c r="I64" s="70"/>
      <c r="J64"/>
    </row>
    <row r="65" spans="2:11" s="80" customFormat="1" ht="7.5" customHeight="1" x14ac:dyDescent="0.25">
      <c r="B65" s="81"/>
      <c r="C65" s="67"/>
      <c r="D65" s="67"/>
      <c r="E65" s="67"/>
      <c r="F65" s="107"/>
      <c r="G65" s="108"/>
      <c r="H65" s="108"/>
      <c r="I65" s="70"/>
      <c r="J65"/>
    </row>
    <row r="66" spans="2:11" s="80" customFormat="1" ht="13.8" thickBot="1" x14ac:dyDescent="0.3">
      <c r="B66" s="82">
        <v>1.5</v>
      </c>
      <c r="C66" s="83" t="s">
        <v>178</v>
      </c>
      <c r="D66" s="67"/>
      <c r="E66" s="67"/>
      <c r="F66" s="107"/>
      <c r="G66" s="108"/>
      <c r="H66" s="108"/>
      <c r="I66" s="70"/>
      <c r="J66"/>
    </row>
    <row r="67" spans="2:11" s="80" customFormat="1" x14ac:dyDescent="0.25">
      <c r="B67" s="81"/>
      <c r="C67" s="153" t="s">
        <v>125</v>
      </c>
      <c r="D67" s="85" t="s">
        <v>136</v>
      </c>
      <c r="E67" s="154" t="s">
        <v>179</v>
      </c>
      <c r="F67" s="111" t="s">
        <v>180</v>
      </c>
      <c r="G67" s="113" t="s">
        <v>181</v>
      </c>
      <c r="H67" s="155" t="s">
        <v>182</v>
      </c>
      <c r="I67" s="87" t="s">
        <v>131</v>
      </c>
      <c r="J67"/>
    </row>
    <row r="68" spans="2:11" s="80" customFormat="1" ht="13.8" x14ac:dyDescent="0.25">
      <c r="B68" s="81"/>
      <c r="C68" s="88"/>
      <c r="D68" s="89"/>
      <c r="E68" s="156" t="s">
        <v>183</v>
      </c>
      <c r="F68" s="116" t="s">
        <v>184</v>
      </c>
      <c r="G68" s="157" t="s">
        <v>10</v>
      </c>
      <c r="H68" s="158" t="s">
        <v>133</v>
      </c>
      <c r="I68" s="91" t="s">
        <v>10</v>
      </c>
      <c r="J68"/>
    </row>
    <row r="69" spans="2:11" s="80" customFormat="1" x14ac:dyDescent="0.25">
      <c r="B69" s="81"/>
      <c r="C69" s="118" t="s">
        <v>185</v>
      </c>
      <c r="D69" s="93" t="s">
        <v>186</v>
      </c>
      <c r="E69" s="390">
        <v>942051.30000000016</v>
      </c>
      <c r="F69" s="159">
        <v>5.0000000000000001E-4</v>
      </c>
      <c r="G69" s="95">
        <v>495.26</v>
      </c>
      <c r="H69" s="95">
        <v>7</v>
      </c>
      <c r="I69" s="97">
        <f>ROUND(G69*H69,2)</f>
        <v>3466.82</v>
      </c>
      <c r="J69"/>
      <c r="K69" s="80">
        <f>+G69*H69</f>
        <v>3466.8199999999997</v>
      </c>
    </row>
    <row r="70" spans="2:11" s="80" customFormat="1" x14ac:dyDescent="0.25">
      <c r="B70" s="81"/>
      <c r="C70" s="92" t="s">
        <v>187</v>
      </c>
      <c r="D70" s="93" t="s">
        <v>188</v>
      </c>
      <c r="E70" s="391">
        <v>942051.30000000016</v>
      </c>
      <c r="F70" s="159">
        <v>2.0000000000000001E-4</v>
      </c>
      <c r="G70" s="95">
        <v>198.1</v>
      </c>
      <c r="H70" s="95">
        <v>6</v>
      </c>
      <c r="I70" s="97">
        <f>ROUND(G70*H70,2)</f>
        <v>1188.5999999999999</v>
      </c>
      <c r="J70"/>
    </row>
    <row r="71" spans="2:11" s="80" customFormat="1" x14ac:dyDescent="0.25">
      <c r="B71" s="81"/>
      <c r="C71" s="92"/>
      <c r="D71" s="93"/>
      <c r="E71" s="93"/>
      <c r="F71" s="124"/>
      <c r="G71" s="95"/>
      <c r="H71" s="95"/>
      <c r="I71" s="97"/>
      <c r="J71"/>
    </row>
    <row r="72" spans="2:11" s="80" customFormat="1" ht="13.8" thickBot="1" x14ac:dyDescent="0.3">
      <c r="B72" s="81"/>
      <c r="C72" s="101" t="s">
        <v>189</v>
      </c>
      <c r="D72" s="102"/>
      <c r="E72" s="160"/>
      <c r="F72" s="103"/>
      <c r="G72" s="104"/>
      <c r="H72" s="104"/>
      <c r="I72" s="105">
        <f>SUM(I69:I71)</f>
        <v>4655.42</v>
      </c>
      <c r="J72"/>
      <c r="K72" s="105">
        <v>4655.42</v>
      </c>
    </row>
    <row r="73" spans="2:11" s="80" customFormat="1" ht="6" customHeight="1" thickBot="1" x14ac:dyDescent="0.3">
      <c r="B73" s="81"/>
      <c r="C73" s="67"/>
      <c r="D73" s="67"/>
      <c r="E73" s="81"/>
      <c r="F73" s="161"/>
      <c r="G73" s="96"/>
      <c r="H73" s="96"/>
      <c r="I73" s="162"/>
      <c r="J73"/>
    </row>
    <row r="74" spans="2:11" s="80" customFormat="1" ht="14.4" thickBot="1" x14ac:dyDescent="0.3">
      <c r="B74" s="81"/>
      <c r="C74" s="163" t="s">
        <v>190</v>
      </c>
      <c r="D74" s="164"/>
      <c r="E74" s="165"/>
      <c r="F74" s="166"/>
      <c r="G74" s="167"/>
      <c r="H74" s="167"/>
      <c r="I74" s="168">
        <f>+I72+I62+I49+I36+I21</f>
        <v>211598.26</v>
      </c>
      <c r="J74"/>
      <c r="K74" s="168">
        <v>256598.26</v>
      </c>
    </row>
    <row r="75" spans="2:11" s="80" customFormat="1" ht="7.5" customHeight="1" x14ac:dyDescent="0.25">
      <c r="B75" s="81"/>
      <c r="C75" s="67"/>
      <c r="D75" s="67"/>
      <c r="E75" s="67"/>
      <c r="F75" s="107"/>
      <c r="G75" s="108"/>
      <c r="H75" s="108"/>
      <c r="I75" s="70"/>
      <c r="J75"/>
    </row>
    <row r="76" spans="2:11" s="80" customFormat="1" ht="7.5" customHeight="1" x14ac:dyDescent="0.25">
      <c r="B76" s="81"/>
      <c r="C76" s="67"/>
      <c r="D76" s="67"/>
      <c r="E76" s="67"/>
      <c r="F76" s="107"/>
      <c r="G76" s="108"/>
      <c r="H76" s="108"/>
      <c r="I76" s="70"/>
      <c r="J76"/>
    </row>
    <row r="77" spans="2:11" s="152" customFormat="1" ht="15" customHeight="1" x14ac:dyDescent="0.25">
      <c r="B77" s="169">
        <v>1.6</v>
      </c>
      <c r="C77" s="170" t="s">
        <v>191</v>
      </c>
      <c r="D77" s="171"/>
      <c r="E77" s="171"/>
      <c r="F77" s="172"/>
      <c r="G77" s="173"/>
      <c r="H77" s="174"/>
      <c r="I77" s="175"/>
      <c r="J77"/>
    </row>
    <row r="78" spans="2:11" s="152" customFormat="1" x14ac:dyDescent="0.25">
      <c r="B78" s="176"/>
      <c r="C78" s="177" t="s">
        <v>125</v>
      </c>
      <c r="D78" s="178" t="s">
        <v>136</v>
      </c>
      <c r="E78" s="179" t="s">
        <v>127</v>
      </c>
      <c r="F78" s="180" t="s">
        <v>128</v>
      </c>
      <c r="G78" s="181" t="s">
        <v>129</v>
      </c>
      <c r="H78" s="182" t="s">
        <v>181</v>
      </c>
      <c r="I78" s="182" t="s">
        <v>131</v>
      </c>
      <c r="J78"/>
    </row>
    <row r="79" spans="2:11" s="152" customFormat="1" x14ac:dyDescent="0.25">
      <c r="B79" s="176"/>
      <c r="C79" s="183"/>
      <c r="D79" s="184"/>
      <c r="E79" s="184"/>
      <c r="F79" s="185" t="s">
        <v>132</v>
      </c>
      <c r="G79" s="186" t="s">
        <v>133</v>
      </c>
      <c r="H79" s="187" t="s">
        <v>134</v>
      </c>
      <c r="I79" s="184" t="s">
        <v>134</v>
      </c>
      <c r="J79"/>
    </row>
    <row r="80" spans="2:11" s="152" customFormat="1" ht="13.8" x14ac:dyDescent="0.25">
      <c r="B80" s="176"/>
      <c r="C80" s="188" t="s">
        <v>192</v>
      </c>
      <c r="D80" s="189"/>
      <c r="E80" s="190"/>
      <c r="F80" s="191"/>
      <c r="G80" s="192"/>
      <c r="H80" s="192"/>
      <c r="I80" s="193"/>
      <c r="J80"/>
    </row>
    <row r="81" spans="2:11" s="152" customFormat="1" ht="13.8" x14ac:dyDescent="0.25">
      <c r="B81" s="176"/>
      <c r="C81" s="194" t="s">
        <v>193</v>
      </c>
      <c r="D81" s="195" t="s">
        <v>29</v>
      </c>
      <c r="E81" s="190">
        <v>1</v>
      </c>
      <c r="F81" s="191"/>
      <c r="G81" s="196"/>
      <c r="H81" s="197">
        <v>3000</v>
      </c>
      <c r="I81" s="198">
        <f>ROUND(E81*H81,2)</f>
        <v>3000</v>
      </c>
      <c r="J81"/>
    </row>
    <row r="82" spans="2:11" s="152" customFormat="1" ht="13.8" x14ac:dyDescent="0.25">
      <c r="B82" s="176"/>
      <c r="C82" s="200" t="s">
        <v>194</v>
      </c>
      <c r="D82" s="189"/>
      <c r="E82" s="190"/>
      <c r="F82" s="191"/>
      <c r="G82" s="196"/>
      <c r="H82" s="192"/>
      <c r="I82" s="193"/>
      <c r="J82"/>
    </row>
    <row r="83" spans="2:11" s="152" customFormat="1" ht="30" customHeight="1" x14ac:dyDescent="0.25">
      <c r="B83" s="176"/>
      <c r="C83" s="194" t="s">
        <v>195</v>
      </c>
      <c r="D83" s="195" t="s">
        <v>29</v>
      </c>
      <c r="E83" s="190">
        <v>1</v>
      </c>
      <c r="F83" s="191"/>
      <c r="G83" s="196"/>
      <c r="H83" s="197">
        <v>1800</v>
      </c>
      <c r="I83" s="198">
        <f>ROUND(E83*H83,2)</f>
        <v>1800</v>
      </c>
      <c r="J83"/>
    </row>
    <row r="84" spans="2:11" s="152" customFormat="1" ht="13.8" x14ac:dyDescent="0.25">
      <c r="B84" s="176"/>
      <c r="C84" s="201" t="s">
        <v>196</v>
      </c>
      <c r="D84" s="202"/>
      <c r="E84" s="203"/>
      <c r="F84" s="204"/>
      <c r="G84" s="205"/>
      <c r="H84" s="205"/>
      <c r="I84" s="206">
        <f>SUM(I80:I83)</f>
        <v>4800</v>
      </c>
      <c r="J84"/>
      <c r="K84" s="206">
        <v>8550</v>
      </c>
    </row>
    <row r="85" spans="2:11" s="152" customFormat="1" ht="13.8" x14ac:dyDescent="0.25">
      <c r="B85" s="176"/>
      <c r="C85" s="207"/>
      <c r="D85" s="202"/>
      <c r="E85" s="203"/>
      <c r="F85" s="204"/>
      <c r="G85" s="205"/>
      <c r="H85" s="205"/>
      <c r="I85" s="208"/>
      <c r="J85"/>
    </row>
    <row r="86" spans="2:11" s="152" customFormat="1" ht="13.8" x14ac:dyDescent="0.25">
      <c r="B86" s="176"/>
      <c r="C86" s="209" t="s">
        <v>125</v>
      </c>
      <c r="D86" s="210" t="s">
        <v>136</v>
      </c>
      <c r="E86" s="211" t="s">
        <v>127</v>
      </c>
      <c r="F86" s="212" t="s">
        <v>128</v>
      </c>
      <c r="G86" s="213" t="s">
        <v>129</v>
      </c>
      <c r="H86" s="214" t="s">
        <v>156</v>
      </c>
      <c r="I86" s="206" t="s">
        <v>131</v>
      </c>
      <c r="J86"/>
    </row>
    <row r="87" spans="2:11" s="152" customFormat="1" ht="13.8" x14ac:dyDescent="0.25">
      <c r="B87" s="176"/>
      <c r="C87" s="215"/>
      <c r="D87" s="216"/>
      <c r="E87" s="217"/>
      <c r="F87" s="218" t="s">
        <v>132</v>
      </c>
      <c r="G87" s="219" t="s">
        <v>133</v>
      </c>
      <c r="H87" s="216" t="s">
        <v>134</v>
      </c>
      <c r="I87" s="220" t="s">
        <v>134</v>
      </c>
      <c r="J87"/>
    </row>
    <row r="88" spans="2:11" s="152" customFormat="1" ht="27.6" x14ac:dyDescent="0.25">
      <c r="B88" s="176"/>
      <c r="C88" s="221" t="s">
        <v>197</v>
      </c>
      <c r="D88" s="189"/>
      <c r="E88" s="190"/>
      <c r="F88" s="191"/>
      <c r="G88" s="192"/>
      <c r="H88" s="192"/>
      <c r="I88" s="193"/>
      <c r="J88"/>
    </row>
    <row r="89" spans="2:11" s="152" customFormat="1" ht="13.8" x14ac:dyDescent="0.25">
      <c r="B89" s="176"/>
      <c r="C89" s="194" t="s">
        <v>198</v>
      </c>
      <c r="D89" s="195" t="s">
        <v>29</v>
      </c>
      <c r="E89" s="190">
        <v>1</v>
      </c>
      <c r="F89" s="191"/>
      <c r="G89" s="196"/>
      <c r="H89" s="197">
        <v>1200</v>
      </c>
      <c r="I89" s="198">
        <f>ROUND(E89*H89,2)</f>
        <v>1200</v>
      </c>
      <c r="J89"/>
    </row>
    <row r="90" spans="2:11" s="152" customFormat="1" ht="13.8" x14ac:dyDescent="0.25">
      <c r="B90" s="176"/>
      <c r="C90" s="200" t="s">
        <v>199</v>
      </c>
      <c r="D90" s="189"/>
      <c r="E90" s="190"/>
      <c r="F90" s="191"/>
      <c r="G90" s="192"/>
      <c r="H90" s="192"/>
      <c r="I90" s="193"/>
      <c r="J90"/>
    </row>
    <row r="91" spans="2:11" s="152" customFormat="1" ht="13.8" x14ac:dyDescent="0.25">
      <c r="B91" s="176"/>
      <c r="C91" s="194" t="s">
        <v>200</v>
      </c>
      <c r="D91" s="195" t="s">
        <v>136</v>
      </c>
      <c r="E91" s="190">
        <v>1</v>
      </c>
      <c r="F91" s="191">
        <v>8.3333333333333329E-2</v>
      </c>
      <c r="G91" s="196">
        <v>5</v>
      </c>
      <c r="H91" s="192">
        <v>590</v>
      </c>
      <c r="I91" s="97">
        <f t="shared" ref="I91" si="4">ROUND(E91*F91*G91*H91,2)</f>
        <v>245.83</v>
      </c>
      <c r="J91"/>
    </row>
    <row r="92" spans="2:11" s="152" customFormat="1" ht="13.8" x14ac:dyDescent="0.25">
      <c r="B92" s="176"/>
      <c r="C92" s="194" t="s">
        <v>201</v>
      </c>
      <c r="D92" s="195" t="s">
        <v>29</v>
      </c>
      <c r="E92" s="190">
        <v>1</v>
      </c>
      <c r="F92" s="191"/>
      <c r="G92" s="196"/>
      <c r="H92" s="197">
        <v>4993.2000000000007</v>
      </c>
      <c r="I92" s="198">
        <f>ROUND(E92*H92,2)</f>
        <v>4993.2</v>
      </c>
      <c r="J92"/>
    </row>
    <row r="93" spans="2:11" s="152" customFormat="1" ht="13.8" x14ac:dyDescent="0.25">
      <c r="B93" s="176"/>
      <c r="C93" s="200" t="s">
        <v>202</v>
      </c>
      <c r="D93" s="189"/>
      <c r="E93" s="190"/>
      <c r="F93" s="191"/>
      <c r="G93" s="192"/>
      <c r="H93" s="192"/>
      <c r="I93" s="193"/>
      <c r="J93"/>
    </row>
    <row r="94" spans="2:11" s="152" customFormat="1" ht="36.6" customHeight="1" x14ac:dyDescent="0.25">
      <c r="B94" s="176"/>
      <c r="C94" s="194" t="s">
        <v>203</v>
      </c>
      <c r="D94" s="195" t="s">
        <v>136</v>
      </c>
      <c r="E94" s="222">
        <v>60</v>
      </c>
      <c r="F94" s="191">
        <v>1</v>
      </c>
      <c r="G94" s="196">
        <v>5</v>
      </c>
      <c r="H94" s="192">
        <v>0.8</v>
      </c>
      <c r="I94" s="97">
        <f t="shared" ref="I94" si="5">ROUND(E94*F94*G94*H94,2)</f>
        <v>240</v>
      </c>
      <c r="J94"/>
    </row>
    <row r="95" spans="2:11" s="152" customFormat="1" ht="13.8" x14ac:dyDescent="0.25">
      <c r="B95" s="176"/>
      <c r="C95" s="194" t="s">
        <v>204</v>
      </c>
      <c r="D95" s="195" t="s">
        <v>29</v>
      </c>
      <c r="E95" s="190">
        <v>1</v>
      </c>
      <c r="F95" s="191"/>
      <c r="G95" s="196"/>
      <c r="H95" s="197">
        <v>558.70000000000005</v>
      </c>
      <c r="I95" s="198">
        <f t="shared" ref="I95:I96" si="6">ROUND(E95*H95,2)</f>
        <v>558.70000000000005</v>
      </c>
      <c r="J95"/>
    </row>
    <row r="96" spans="2:11" s="152" customFormat="1" ht="13.8" x14ac:dyDescent="0.25">
      <c r="B96" s="176"/>
      <c r="C96" s="223" t="s">
        <v>205</v>
      </c>
      <c r="D96" s="195" t="s">
        <v>29</v>
      </c>
      <c r="E96" s="190">
        <v>1</v>
      </c>
      <c r="F96" s="191"/>
      <c r="G96" s="196"/>
      <c r="H96" s="197">
        <v>2567</v>
      </c>
      <c r="I96" s="198">
        <f t="shared" si="6"/>
        <v>2567</v>
      </c>
      <c r="J96"/>
    </row>
    <row r="97" spans="2:11" s="152" customFormat="1" ht="13.8" x14ac:dyDescent="0.25">
      <c r="B97" s="176"/>
      <c r="C97" s="194" t="s">
        <v>206</v>
      </c>
      <c r="D97" s="195" t="s">
        <v>136</v>
      </c>
      <c r="E97" s="222">
        <v>60</v>
      </c>
      <c r="F97" s="191">
        <v>1</v>
      </c>
      <c r="G97" s="196">
        <v>5</v>
      </c>
      <c r="H97" s="192">
        <v>0.75</v>
      </c>
      <c r="I97" s="198">
        <f>ROUND(E97*G97*H97,2)</f>
        <v>225</v>
      </c>
      <c r="J97"/>
      <c r="K97" s="379">
        <f>+E97*G97*H97</f>
        <v>225</v>
      </c>
    </row>
    <row r="98" spans="2:11" s="152" customFormat="1" ht="13.8" x14ac:dyDescent="0.25">
      <c r="B98" s="176"/>
      <c r="C98" s="223" t="s">
        <v>207</v>
      </c>
      <c r="D98" s="195" t="s">
        <v>136</v>
      </c>
      <c r="E98" s="222">
        <v>1</v>
      </c>
      <c r="F98" s="191">
        <v>1</v>
      </c>
      <c r="G98" s="196">
        <v>5</v>
      </c>
      <c r="H98" s="192">
        <v>12</v>
      </c>
      <c r="I98" s="198">
        <f>ROUND(E98*G98*H98,2)</f>
        <v>60</v>
      </c>
      <c r="J98"/>
    </row>
    <row r="99" spans="2:11" s="152" customFormat="1" ht="27.6" x14ac:dyDescent="0.25">
      <c r="B99" s="176"/>
      <c r="C99" s="221" t="s">
        <v>208</v>
      </c>
      <c r="D99" s="189"/>
      <c r="E99" s="190"/>
      <c r="F99" s="191"/>
      <c r="G99" s="192"/>
      <c r="H99" s="192"/>
      <c r="I99" s="193"/>
      <c r="J99"/>
    </row>
    <row r="100" spans="2:11" s="152" customFormat="1" ht="27.6" x14ac:dyDescent="0.25">
      <c r="B100" s="176"/>
      <c r="C100" s="224" t="s">
        <v>209</v>
      </c>
      <c r="D100" s="195" t="s">
        <v>158</v>
      </c>
      <c r="E100" s="190">
        <v>1</v>
      </c>
      <c r="F100" s="191">
        <v>1</v>
      </c>
      <c r="G100" s="196">
        <v>5</v>
      </c>
      <c r="H100" s="192">
        <v>726.85</v>
      </c>
      <c r="I100" s="198">
        <f>ROUND(G100*H100,2)</f>
        <v>3634.25</v>
      </c>
      <c r="J100"/>
      <c r="K100" s="198">
        <v>3634.25</v>
      </c>
    </row>
    <row r="101" spans="2:11" s="152" customFormat="1" ht="41.4" x14ac:dyDescent="0.25">
      <c r="B101" s="176"/>
      <c r="C101" s="221" t="s">
        <v>210</v>
      </c>
      <c r="D101" s="189"/>
      <c r="E101" s="190"/>
      <c r="F101" s="191"/>
      <c r="G101" s="192"/>
      <c r="H101" s="192"/>
      <c r="I101" s="193"/>
      <c r="J101"/>
      <c r="K101" s="193"/>
    </row>
    <row r="102" spans="2:11" s="152" customFormat="1" ht="30.6" customHeight="1" x14ac:dyDescent="0.25">
      <c r="B102" s="176"/>
      <c r="C102" s="224" t="s">
        <v>211</v>
      </c>
      <c r="D102" s="195" t="s">
        <v>158</v>
      </c>
      <c r="E102" s="190">
        <v>1</v>
      </c>
      <c r="F102" s="191">
        <v>1</v>
      </c>
      <c r="G102" s="196">
        <v>5</v>
      </c>
      <c r="H102" s="192">
        <v>564.20000000000005</v>
      </c>
      <c r="I102" s="198">
        <f t="shared" ref="I102:I104" si="7">ROUND(G102*H102,2)</f>
        <v>2821</v>
      </c>
      <c r="J102"/>
      <c r="K102" s="198">
        <v>2821</v>
      </c>
    </row>
    <row r="103" spans="2:11" s="152" customFormat="1" ht="30.6" customHeight="1" x14ac:dyDescent="0.25">
      <c r="B103" s="176"/>
      <c r="C103" s="200" t="s">
        <v>212</v>
      </c>
      <c r="D103" s="189"/>
      <c r="E103" s="190"/>
      <c r="F103" s="191"/>
      <c r="G103" s="192"/>
      <c r="H103" s="192"/>
      <c r="I103" s="198" t="s">
        <v>286</v>
      </c>
      <c r="J103"/>
      <c r="K103" s="193"/>
    </row>
    <row r="104" spans="2:11" s="152" customFormat="1" ht="51" customHeight="1" x14ac:dyDescent="0.25">
      <c r="B104" s="176"/>
      <c r="C104" s="224" t="s">
        <v>213</v>
      </c>
      <c r="D104" s="195" t="s">
        <v>158</v>
      </c>
      <c r="E104" s="190">
        <v>1</v>
      </c>
      <c r="F104" s="191">
        <v>1</v>
      </c>
      <c r="G104" s="196">
        <v>5</v>
      </c>
      <c r="H104" s="192">
        <v>250</v>
      </c>
      <c r="I104" s="198">
        <f t="shared" si="7"/>
        <v>1250</v>
      </c>
      <c r="J104"/>
      <c r="K104" s="198">
        <v>1250</v>
      </c>
    </row>
    <row r="105" spans="2:11" s="152" customFormat="1" ht="42.6" customHeight="1" x14ac:dyDescent="0.25">
      <c r="B105" s="176"/>
      <c r="C105" s="224" t="s">
        <v>214</v>
      </c>
      <c r="D105" s="195" t="s">
        <v>29</v>
      </c>
      <c r="E105" s="190">
        <v>1</v>
      </c>
      <c r="F105" s="191"/>
      <c r="G105" s="196"/>
      <c r="H105" s="192">
        <v>350</v>
      </c>
      <c r="I105" s="198">
        <f t="shared" ref="I105" si="8">ROUND(E105*H105,2)</f>
        <v>350</v>
      </c>
      <c r="J105"/>
      <c r="K105" s="198">
        <v>350</v>
      </c>
    </row>
    <row r="106" spans="2:11" s="152" customFormat="1" ht="30.6" customHeight="1" x14ac:dyDescent="0.25">
      <c r="B106" s="176"/>
      <c r="C106" s="223" t="s">
        <v>215</v>
      </c>
      <c r="D106" s="195" t="s">
        <v>136</v>
      </c>
      <c r="E106" s="190">
        <v>2</v>
      </c>
      <c r="F106" s="191">
        <v>1</v>
      </c>
      <c r="G106" s="196">
        <v>1</v>
      </c>
      <c r="H106" s="192">
        <v>350</v>
      </c>
      <c r="I106" s="97">
        <f t="shared" ref="I106:I112" si="9">ROUND(E106*F106*G106*H106,2)</f>
        <v>700</v>
      </c>
      <c r="J106"/>
      <c r="K106" s="198">
        <v>700</v>
      </c>
    </row>
    <row r="107" spans="2:11" s="152" customFormat="1" ht="30.6" customHeight="1" x14ac:dyDescent="0.25">
      <c r="B107" s="176"/>
      <c r="C107" s="221" t="s">
        <v>216</v>
      </c>
      <c r="D107" s="195"/>
      <c r="E107" s="190"/>
      <c r="F107" s="191"/>
      <c r="G107" s="196"/>
      <c r="H107" s="192"/>
      <c r="I107" s="97" t="s">
        <v>286</v>
      </c>
      <c r="J107"/>
      <c r="K107" s="198"/>
    </row>
    <row r="108" spans="2:11" s="152" customFormat="1" ht="30.6" customHeight="1" x14ac:dyDescent="0.25">
      <c r="B108" s="176"/>
      <c r="C108" s="225" t="s">
        <v>217</v>
      </c>
      <c r="D108" s="195" t="s">
        <v>158</v>
      </c>
      <c r="E108" s="226">
        <v>1</v>
      </c>
      <c r="F108" s="227">
        <v>1</v>
      </c>
      <c r="G108" s="196">
        <v>5</v>
      </c>
      <c r="H108" s="196">
        <v>200</v>
      </c>
      <c r="I108" s="97">
        <f t="shared" si="9"/>
        <v>1000</v>
      </c>
      <c r="J108"/>
      <c r="K108" s="198">
        <v>1000</v>
      </c>
    </row>
    <row r="109" spans="2:11" s="152" customFormat="1" ht="30.6" customHeight="1" x14ac:dyDescent="0.25">
      <c r="B109" s="176"/>
      <c r="C109" s="225" t="s">
        <v>218</v>
      </c>
      <c r="D109" s="195" t="s">
        <v>158</v>
      </c>
      <c r="E109" s="226">
        <v>1</v>
      </c>
      <c r="F109" s="227">
        <v>1</v>
      </c>
      <c r="G109" s="196">
        <v>5</v>
      </c>
      <c r="H109" s="196">
        <v>250</v>
      </c>
      <c r="I109" s="97">
        <f t="shared" si="9"/>
        <v>1250</v>
      </c>
      <c r="J109"/>
      <c r="K109" s="198">
        <v>1250</v>
      </c>
    </row>
    <row r="110" spans="2:11" s="152" customFormat="1" ht="30.6" customHeight="1" x14ac:dyDescent="0.25">
      <c r="B110" s="176"/>
      <c r="C110" s="228" t="s">
        <v>219</v>
      </c>
      <c r="D110" s="195" t="s">
        <v>158</v>
      </c>
      <c r="E110" s="226">
        <v>1</v>
      </c>
      <c r="F110" s="227">
        <v>1</v>
      </c>
      <c r="G110" s="196">
        <v>5</v>
      </c>
      <c r="H110" s="229">
        <v>110</v>
      </c>
      <c r="I110" s="97">
        <f t="shared" si="9"/>
        <v>550</v>
      </c>
      <c r="J110"/>
      <c r="K110" s="198">
        <v>550</v>
      </c>
    </row>
    <row r="111" spans="2:11" s="152" customFormat="1" ht="30.6" customHeight="1" x14ac:dyDescent="0.25">
      <c r="B111" s="176"/>
      <c r="C111" s="228" t="s">
        <v>220</v>
      </c>
      <c r="D111" s="195" t="s">
        <v>158</v>
      </c>
      <c r="E111" s="226">
        <v>1</v>
      </c>
      <c r="F111" s="227">
        <v>1</v>
      </c>
      <c r="G111" s="196">
        <v>5</v>
      </c>
      <c r="H111" s="229">
        <v>610</v>
      </c>
      <c r="I111" s="97">
        <f t="shared" si="9"/>
        <v>3050</v>
      </c>
      <c r="J111"/>
      <c r="K111" s="198">
        <v>3050</v>
      </c>
    </row>
    <row r="112" spans="2:11" s="152" customFormat="1" ht="30.6" customHeight="1" x14ac:dyDescent="0.25">
      <c r="B112" s="176"/>
      <c r="C112" s="230" t="s">
        <v>221</v>
      </c>
      <c r="D112" s="231" t="s">
        <v>158</v>
      </c>
      <c r="E112" s="232">
        <v>1</v>
      </c>
      <c r="F112" s="233">
        <v>1</v>
      </c>
      <c r="G112" s="234">
        <v>5</v>
      </c>
      <c r="H112" s="235">
        <v>125</v>
      </c>
      <c r="I112" s="97">
        <f t="shared" si="9"/>
        <v>625</v>
      </c>
      <c r="J112"/>
      <c r="K112" s="236">
        <v>625</v>
      </c>
    </row>
    <row r="113" spans="2:11" s="152" customFormat="1" ht="30.6" customHeight="1" x14ac:dyDescent="0.25">
      <c r="B113" s="176"/>
      <c r="C113" s="237" t="s">
        <v>222</v>
      </c>
      <c r="D113" s="238"/>
      <c r="E113" s="239"/>
      <c r="F113" s="240"/>
      <c r="G113" s="241"/>
      <c r="H113" s="241"/>
      <c r="I113" s="242"/>
      <c r="J113"/>
    </row>
    <row r="114" spans="2:11" s="152" customFormat="1" ht="54.6" customHeight="1" x14ac:dyDescent="0.25">
      <c r="B114" s="176"/>
      <c r="C114" s="224" t="s">
        <v>223</v>
      </c>
      <c r="D114" s="195" t="s">
        <v>29</v>
      </c>
      <c r="E114" s="190">
        <v>1</v>
      </c>
      <c r="F114" s="191"/>
      <c r="G114" s="196"/>
      <c r="H114" s="197">
        <v>2479.5</v>
      </c>
      <c r="I114" s="198">
        <f t="shared" ref="I114" si="10">ROUND(E114*H114,2)</f>
        <v>2479.5</v>
      </c>
      <c r="J114"/>
    </row>
    <row r="115" spans="2:11" s="152" customFormat="1" ht="13.8" x14ac:dyDescent="0.25">
      <c r="B115" s="176"/>
      <c r="C115" s="221" t="s">
        <v>224</v>
      </c>
      <c r="D115" s="195"/>
      <c r="E115" s="243"/>
      <c r="F115" s="227"/>
      <c r="G115" s="196"/>
      <c r="H115" s="229"/>
      <c r="I115" s="198"/>
      <c r="J115"/>
    </row>
    <row r="116" spans="2:11" s="152" customFormat="1" ht="27.6" x14ac:dyDescent="0.25">
      <c r="B116" s="176"/>
      <c r="C116" s="225" t="s">
        <v>225</v>
      </c>
      <c r="D116" s="195" t="s">
        <v>158</v>
      </c>
      <c r="E116" s="244">
        <v>1</v>
      </c>
      <c r="F116" s="227">
        <v>0.05</v>
      </c>
      <c r="G116" s="196">
        <v>5</v>
      </c>
      <c r="H116" s="229">
        <v>1800</v>
      </c>
      <c r="I116" s="97">
        <f t="shared" ref="I116:I120" si="11">ROUND(E116*F116*G116*H116,2)</f>
        <v>450</v>
      </c>
      <c r="J116"/>
    </row>
    <row r="117" spans="2:11" s="152" customFormat="1" ht="13.8" x14ac:dyDescent="0.25">
      <c r="B117" s="176"/>
      <c r="C117" s="228" t="s">
        <v>226</v>
      </c>
      <c r="D117" s="195" t="s">
        <v>158</v>
      </c>
      <c r="E117" s="244">
        <v>1</v>
      </c>
      <c r="F117" s="227">
        <v>0.05</v>
      </c>
      <c r="G117" s="196">
        <v>5</v>
      </c>
      <c r="H117" s="229">
        <v>1200</v>
      </c>
      <c r="I117" s="97">
        <f t="shared" si="11"/>
        <v>300</v>
      </c>
      <c r="J117"/>
    </row>
    <row r="118" spans="2:11" s="152" customFormat="1" ht="13.8" x14ac:dyDescent="0.25">
      <c r="B118" s="176"/>
      <c r="C118" s="228" t="s">
        <v>227</v>
      </c>
      <c r="D118" s="195" t="s">
        <v>158</v>
      </c>
      <c r="E118" s="244">
        <v>1</v>
      </c>
      <c r="F118" s="227">
        <v>0.05</v>
      </c>
      <c r="G118" s="196">
        <v>5</v>
      </c>
      <c r="H118" s="229">
        <v>2600</v>
      </c>
      <c r="I118" s="97">
        <f t="shared" si="11"/>
        <v>650</v>
      </c>
      <c r="J118"/>
    </row>
    <row r="119" spans="2:11" s="152" customFormat="1" ht="13.8" x14ac:dyDescent="0.25">
      <c r="B119" s="176"/>
      <c r="C119" s="228" t="s">
        <v>228</v>
      </c>
      <c r="D119" s="195" t="s">
        <v>158</v>
      </c>
      <c r="E119" s="244">
        <v>1</v>
      </c>
      <c r="F119" s="227">
        <v>0.05</v>
      </c>
      <c r="G119" s="196">
        <v>5</v>
      </c>
      <c r="H119" s="229">
        <v>650</v>
      </c>
      <c r="I119" s="97">
        <f t="shared" si="11"/>
        <v>162.5</v>
      </c>
      <c r="J119"/>
    </row>
    <row r="120" spans="2:11" s="152" customFormat="1" ht="13.8" x14ac:dyDescent="0.25">
      <c r="B120" s="176"/>
      <c r="C120" s="228" t="s">
        <v>229</v>
      </c>
      <c r="D120" s="195" t="s">
        <v>158</v>
      </c>
      <c r="E120" s="244">
        <v>1</v>
      </c>
      <c r="F120" s="227">
        <v>0.5</v>
      </c>
      <c r="G120" s="196">
        <v>5</v>
      </c>
      <c r="H120" s="229">
        <v>310</v>
      </c>
      <c r="I120" s="97">
        <f t="shared" si="11"/>
        <v>775</v>
      </c>
      <c r="J120"/>
    </row>
    <row r="121" spans="2:11" s="152" customFormat="1" ht="13.8" x14ac:dyDescent="0.25">
      <c r="B121" s="176"/>
      <c r="C121" s="223"/>
      <c r="D121" s="195"/>
      <c r="E121" s="190"/>
      <c r="F121" s="191"/>
      <c r="G121" s="196"/>
      <c r="H121" s="192"/>
      <c r="I121" s="198"/>
      <c r="J121"/>
    </row>
    <row r="122" spans="2:11" s="152" customFormat="1" ht="14.4" thickBot="1" x14ac:dyDescent="0.3">
      <c r="B122" s="176"/>
      <c r="C122" s="201" t="s">
        <v>230</v>
      </c>
      <c r="D122" s="202"/>
      <c r="E122" s="203"/>
      <c r="F122" s="204"/>
      <c r="G122" s="205"/>
      <c r="H122" s="205"/>
      <c r="I122" s="206">
        <f>SUM(I88:I121)</f>
        <v>30136.98</v>
      </c>
      <c r="J122"/>
      <c r="K122" s="206">
        <v>30136.98</v>
      </c>
    </row>
    <row r="123" spans="2:11" s="152" customFormat="1" ht="14.4" thickBot="1" x14ac:dyDescent="0.3">
      <c r="B123" s="176"/>
      <c r="C123" s="245" t="s">
        <v>231</v>
      </c>
      <c r="D123" s="246"/>
      <c r="E123" s="247"/>
      <c r="F123" s="248"/>
      <c r="G123" s="249"/>
      <c r="H123" s="249"/>
      <c r="I123" s="250">
        <f>+I122+I84</f>
        <v>34936.979999999996</v>
      </c>
      <c r="J123"/>
      <c r="K123" s="250">
        <v>38686.979999999996</v>
      </c>
    </row>
    <row r="124" spans="2:11" s="152" customFormat="1" x14ac:dyDescent="0.25">
      <c r="B124" s="176"/>
      <c r="C124" s="1218"/>
      <c r="D124" s="1218"/>
      <c r="E124" s="1218"/>
      <c r="F124" s="1218"/>
      <c r="G124" s="1218"/>
      <c r="H124" s="1218"/>
      <c r="I124" s="380"/>
      <c r="J124"/>
    </row>
    <row r="125" spans="2:11" s="152" customFormat="1" x14ac:dyDescent="0.25">
      <c r="B125" s="176"/>
      <c r="C125" s="381"/>
      <c r="D125" s="171"/>
      <c r="E125" s="176"/>
      <c r="F125" s="382"/>
      <c r="G125" s="199"/>
      <c r="H125" s="199"/>
      <c r="I125" s="383"/>
      <c r="J125"/>
    </row>
    <row r="126" spans="2:11" s="152" customFormat="1" x14ac:dyDescent="0.25">
      <c r="B126" s="176"/>
      <c r="C126" s="384" t="s">
        <v>232</v>
      </c>
      <c r="D126" s="171"/>
      <c r="E126" s="176"/>
      <c r="F126" s="382"/>
      <c r="G126" s="199"/>
      <c r="H126" s="199"/>
      <c r="I126" s="199"/>
      <c r="J126"/>
    </row>
    <row r="127" spans="2:11" s="152" customFormat="1" ht="13.2" customHeight="1" x14ac:dyDescent="0.25">
      <c r="B127" s="176"/>
      <c r="C127" s="1219" t="s">
        <v>233</v>
      </c>
      <c r="D127" s="1219"/>
      <c r="E127" s="1219"/>
      <c r="F127" s="1219"/>
      <c r="G127" s="1219"/>
      <c r="H127" s="1219"/>
      <c r="I127" s="1219"/>
      <c r="J127"/>
    </row>
    <row r="128" spans="2:11" s="152" customFormat="1" ht="42" customHeight="1" x14ac:dyDescent="0.25">
      <c r="B128" s="176"/>
      <c r="C128" s="1215" t="s">
        <v>234</v>
      </c>
      <c r="D128" s="1215"/>
      <c r="E128" s="1215"/>
      <c r="F128" s="1215"/>
      <c r="G128" s="1215"/>
      <c r="H128" s="1215"/>
      <c r="I128" s="1215"/>
      <c r="J128"/>
    </row>
    <row r="129" spans="2:11" s="152" customFormat="1" ht="37.5" customHeight="1" x14ac:dyDescent="0.25">
      <c r="B129" s="176"/>
      <c r="C129" s="1215" t="s">
        <v>235</v>
      </c>
      <c r="D129" s="1215"/>
      <c r="E129" s="1215"/>
      <c r="F129" s="1215"/>
      <c r="G129" s="1215"/>
      <c r="H129" s="1215"/>
      <c r="I129" s="1215"/>
      <c r="J129"/>
    </row>
    <row r="130" spans="2:11" s="152" customFormat="1" ht="13.2" customHeight="1" x14ac:dyDescent="0.25">
      <c r="B130" s="176"/>
      <c r="C130" s="1220" t="s">
        <v>236</v>
      </c>
      <c r="D130" s="1220"/>
      <c r="E130" s="1220"/>
      <c r="F130" s="1220"/>
      <c r="G130" s="1220"/>
      <c r="H130" s="1220"/>
      <c r="I130" s="1220"/>
      <c r="J130"/>
    </row>
    <row r="131" spans="2:11" s="152" customFormat="1" ht="13.8" x14ac:dyDescent="0.25">
      <c r="B131" s="176"/>
      <c r="C131" s="1215" t="s">
        <v>237</v>
      </c>
      <c r="D131" s="1215"/>
      <c r="E131" s="1215"/>
      <c r="F131" s="1215"/>
      <c r="G131" s="1215"/>
      <c r="H131" s="1215"/>
      <c r="I131" s="1215"/>
      <c r="J131"/>
    </row>
    <row r="132" spans="2:11" s="152" customFormat="1" ht="13.8" x14ac:dyDescent="0.25">
      <c r="B132" s="176"/>
      <c r="C132" s="1215" t="s">
        <v>238</v>
      </c>
      <c r="D132" s="1215"/>
      <c r="E132" s="1215"/>
      <c r="F132" s="1215"/>
      <c r="G132" s="1215"/>
      <c r="H132" s="1215"/>
      <c r="I132" s="1215"/>
      <c r="J132"/>
    </row>
    <row r="133" spans="2:11" s="152" customFormat="1" ht="13.8" x14ac:dyDescent="0.25">
      <c r="B133" s="176"/>
      <c r="C133" s="1215" t="s">
        <v>239</v>
      </c>
      <c r="D133" s="1215"/>
      <c r="E133" s="1215"/>
      <c r="F133" s="1215"/>
      <c r="G133" s="1215"/>
      <c r="H133" s="1215"/>
      <c r="I133" s="1215"/>
      <c r="J133"/>
    </row>
    <row r="134" spans="2:11" s="152" customFormat="1" ht="13.8" x14ac:dyDescent="0.25">
      <c r="B134" s="176"/>
      <c r="C134" s="1215" t="s">
        <v>240</v>
      </c>
      <c r="D134" s="1215"/>
      <c r="E134" s="1215"/>
      <c r="F134" s="1215"/>
      <c r="G134" s="1215"/>
      <c r="H134" s="1215"/>
      <c r="I134" s="1215"/>
      <c r="J134"/>
    </row>
    <row r="135" spans="2:11" s="80" customFormat="1" ht="7.5" customHeight="1" x14ac:dyDescent="0.25">
      <c r="B135" s="81"/>
      <c r="C135" s="251"/>
      <c r="D135" s="251"/>
      <c r="E135" s="251"/>
      <c r="F135" s="252"/>
      <c r="G135" s="253"/>
      <c r="H135" s="253"/>
      <c r="I135" s="254"/>
      <c r="J135"/>
    </row>
    <row r="136" spans="2:11" s="80" customFormat="1" ht="7.5" customHeight="1" x14ac:dyDescent="0.25">
      <c r="B136" s="81"/>
      <c r="C136" s="67"/>
      <c r="D136" s="67"/>
      <c r="E136" s="67"/>
      <c r="F136" s="107"/>
      <c r="G136" s="108"/>
      <c r="H136" s="108"/>
      <c r="I136" s="70"/>
      <c r="J136"/>
    </row>
    <row r="137" spans="2:11" s="80" customFormat="1" ht="15.6" x14ac:dyDescent="0.25">
      <c r="B137" s="79" t="s">
        <v>241</v>
      </c>
      <c r="C137" s="68" t="s">
        <v>242</v>
      </c>
      <c r="D137" s="67"/>
      <c r="E137" s="67"/>
      <c r="F137" s="107"/>
      <c r="G137" s="108"/>
      <c r="H137" s="108"/>
      <c r="I137" s="70"/>
      <c r="J137"/>
    </row>
    <row r="138" spans="2:11" s="80" customFormat="1" x14ac:dyDescent="0.25">
      <c r="B138" s="255" t="s">
        <v>243</v>
      </c>
      <c r="C138" s="256" t="s">
        <v>244</v>
      </c>
      <c r="D138" s="67"/>
      <c r="E138" s="67"/>
      <c r="F138" s="107"/>
      <c r="G138" s="108"/>
      <c r="H138" s="108"/>
      <c r="I138" s="70"/>
      <c r="J138"/>
    </row>
    <row r="139" spans="2:11" s="80" customFormat="1" ht="5.25" customHeight="1" thickBot="1" x14ac:dyDescent="0.3">
      <c r="B139" s="81"/>
      <c r="C139" s="67"/>
      <c r="D139" s="67"/>
      <c r="E139" s="67"/>
      <c r="F139" s="107"/>
      <c r="G139" s="108"/>
      <c r="H139" s="108"/>
      <c r="I139" s="70"/>
      <c r="J139"/>
    </row>
    <row r="140" spans="2:11" s="80" customFormat="1" ht="13.8" x14ac:dyDescent="0.25">
      <c r="B140" s="81"/>
      <c r="C140" s="257" t="s">
        <v>125</v>
      </c>
      <c r="D140" s="258" t="s">
        <v>136</v>
      </c>
      <c r="E140" s="259" t="s">
        <v>127</v>
      </c>
      <c r="F140" s="260" t="s">
        <v>245</v>
      </c>
      <c r="G140" s="261" t="s">
        <v>156</v>
      </c>
      <c r="H140" s="262" t="s">
        <v>246</v>
      </c>
      <c r="I140" s="263" t="s">
        <v>247</v>
      </c>
      <c r="J140"/>
    </row>
    <row r="141" spans="2:11" s="80" customFormat="1" ht="13.8" x14ac:dyDescent="0.25">
      <c r="B141" s="81"/>
      <c r="C141" s="264"/>
      <c r="D141" s="265"/>
      <c r="E141" s="266"/>
      <c r="F141" s="267" t="s">
        <v>132</v>
      </c>
      <c r="G141" s="157" t="s">
        <v>10</v>
      </c>
      <c r="H141" s="158" t="s">
        <v>133</v>
      </c>
      <c r="I141" s="91" t="s">
        <v>10</v>
      </c>
      <c r="J141"/>
    </row>
    <row r="142" spans="2:11" s="80" customFormat="1" x14ac:dyDescent="0.25">
      <c r="B142" s="81"/>
      <c r="C142" s="268" t="s">
        <v>248</v>
      </c>
      <c r="D142" s="269" t="s">
        <v>136</v>
      </c>
      <c r="E142" s="119">
        <v>1</v>
      </c>
      <c r="F142" s="270">
        <v>0.08</v>
      </c>
      <c r="G142" s="96">
        <v>8000</v>
      </c>
      <c r="H142" s="271">
        <v>5</v>
      </c>
      <c r="I142" s="97">
        <f t="shared" ref="I142:I148" si="12">ROUND(E142*F142*G142*H142,2)</f>
        <v>3200</v>
      </c>
      <c r="J142"/>
      <c r="K142" s="272">
        <v>3200</v>
      </c>
    </row>
    <row r="143" spans="2:11" s="80" customFormat="1" x14ac:dyDescent="0.25">
      <c r="B143" s="81"/>
      <c r="C143" s="273" t="s">
        <v>249</v>
      </c>
      <c r="D143" s="93" t="s">
        <v>136</v>
      </c>
      <c r="E143" s="274">
        <v>1</v>
      </c>
      <c r="F143" s="124">
        <v>0.08</v>
      </c>
      <c r="G143" s="275">
        <v>5500</v>
      </c>
      <c r="H143" s="276">
        <v>5</v>
      </c>
      <c r="I143" s="97">
        <f t="shared" si="12"/>
        <v>2200</v>
      </c>
      <c r="J143"/>
      <c r="K143" s="277">
        <v>2200</v>
      </c>
    </row>
    <row r="144" spans="2:11" s="80" customFormat="1" x14ac:dyDescent="0.25">
      <c r="B144" s="81"/>
      <c r="C144" s="92" t="s">
        <v>250</v>
      </c>
      <c r="D144" s="93" t="s">
        <v>136</v>
      </c>
      <c r="E144" s="274">
        <v>1</v>
      </c>
      <c r="F144" s="124">
        <v>0.08</v>
      </c>
      <c r="G144" s="275">
        <v>3000</v>
      </c>
      <c r="H144" s="276">
        <v>5</v>
      </c>
      <c r="I144" s="97">
        <f t="shared" si="12"/>
        <v>1200</v>
      </c>
      <c r="J144"/>
      <c r="K144" s="277">
        <v>1200</v>
      </c>
    </row>
    <row r="145" spans="2:11" s="80" customFormat="1" x14ac:dyDescent="0.25">
      <c r="B145" s="81"/>
      <c r="C145" s="273" t="s">
        <v>251</v>
      </c>
      <c r="D145" s="93" t="s">
        <v>136</v>
      </c>
      <c r="E145" s="274">
        <v>1</v>
      </c>
      <c r="F145" s="124">
        <v>0.08</v>
      </c>
      <c r="G145" s="275">
        <v>3500</v>
      </c>
      <c r="H145" s="276">
        <v>5</v>
      </c>
      <c r="I145" s="97">
        <f t="shared" si="12"/>
        <v>1400</v>
      </c>
      <c r="J145"/>
      <c r="K145" s="277">
        <v>1400</v>
      </c>
    </row>
    <row r="146" spans="2:11" s="80" customFormat="1" ht="12.75" hidden="1" customHeight="1" x14ac:dyDescent="0.25">
      <c r="B146" s="81"/>
      <c r="C146" s="273" t="s">
        <v>252</v>
      </c>
      <c r="D146" s="93" t="s">
        <v>136</v>
      </c>
      <c r="E146" s="274">
        <v>0</v>
      </c>
      <c r="F146" s="124">
        <v>0.08</v>
      </c>
      <c r="G146" s="275">
        <v>2000</v>
      </c>
      <c r="H146" s="276">
        <v>5</v>
      </c>
      <c r="I146" s="97">
        <f t="shared" si="12"/>
        <v>0</v>
      </c>
      <c r="J146"/>
      <c r="K146" s="277">
        <v>0</v>
      </c>
    </row>
    <row r="147" spans="2:11" s="80" customFormat="1" x14ac:dyDescent="0.25">
      <c r="B147" s="81"/>
      <c r="C147" s="278" t="s">
        <v>253</v>
      </c>
      <c r="D147" s="93" t="s">
        <v>136</v>
      </c>
      <c r="E147" s="274">
        <v>1</v>
      </c>
      <c r="F147" s="124">
        <v>0.08</v>
      </c>
      <c r="G147" s="275">
        <v>850</v>
      </c>
      <c r="H147" s="276">
        <v>5</v>
      </c>
      <c r="I147" s="97">
        <f t="shared" si="12"/>
        <v>340</v>
      </c>
      <c r="J147"/>
      <c r="K147" s="277">
        <v>340</v>
      </c>
    </row>
    <row r="148" spans="2:11" s="80" customFormat="1" x14ac:dyDescent="0.25">
      <c r="B148" s="81"/>
      <c r="C148" s="273" t="s">
        <v>151</v>
      </c>
      <c r="D148" s="100" t="s">
        <v>136</v>
      </c>
      <c r="E148" s="274">
        <v>1</v>
      </c>
      <c r="F148" s="124">
        <v>0.08</v>
      </c>
      <c r="G148" s="275">
        <v>1500</v>
      </c>
      <c r="H148" s="279">
        <v>5</v>
      </c>
      <c r="I148" s="97">
        <f t="shared" si="12"/>
        <v>600</v>
      </c>
      <c r="J148"/>
      <c r="K148" s="280">
        <v>600</v>
      </c>
    </row>
    <row r="149" spans="2:11" s="80" customFormat="1" ht="13.8" thickBot="1" x14ac:dyDescent="0.3">
      <c r="B149" s="81"/>
      <c r="C149" s="101" t="s">
        <v>254</v>
      </c>
      <c r="D149" s="281"/>
      <c r="E149" s="282"/>
      <c r="F149" s="283"/>
      <c r="G149" s="284"/>
      <c r="H149" s="285"/>
      <c r="I149" s="105">
        <f>SUM(I142:I148)</f>
        <v>8940</v>
      </c>
      <c r="J149"/>
      <c r="K149" s="105">
        <v>8940</v>
      </c>
    </row>
    <row r="150" spans="2:11" s="80" customFormat="1" ht="8.25" customHeight="1" x14ac:dyDescent="0.25">
      <c r="B150" s="81"/>
      <c r="C150" s="67"/>
      <c r="D150" s="67"/>
      <c r="E150" s="67"/>
      <c r="F150" s="107"/>
      <c r="G150" s="108"/>
      <c r="H150" s="108"/>
      <c r="I150" s="70"/>
      <c r="J150"/>
      <c r="K150" s="70"/>
    </row>
    <row r="151" spans="2:11" s="80" customFormat="1" ht="13.8" thickBot="1" x14ac:dyDescent="0.3">
      <c r="B151" s="255" t="s">
        <v>255</v>
      </c>
      <c r="C151" s="256" t="s">
        <v>256</v>
      </c>
      <c r="D151" s="67"/>
      <c r="E151" s="67"/>
      <c r="F151" s="107"/>
      <c r="G151" s="108"/>
      <c r="H151" s="108"/>
      <c r="I151" s="70"/>
      <c r="J151"/>
      <c r="K151" s="70"/>
    </row>
    <row r="152" spans="2:11" s="80" customFormat="1" ht="13.8" x14ac:dyDescent="0.25">
      <c r="B152" s="81"/>
      <c r="C152" s="286" t="s">
        <v>125</v>
      </c>
      <c r="D152" s="258" t="s">
        <v>136</v>
      </c>
      <c r="E152" s="259" t="s">
        <v>8</v>
      </c>
      <c r="F152" s="260" t="s">
        <v>245</v>
      </c>
      <c r="G152" s="261" t="s">
        <v>156</v>
      </c>
      <c r="H152" s="262" t="s">
        <v>246</v>
      </c>
      <c r="I152" s="263" t="s">
        <v>247</v>
      </c>
      <c r="J152"/>
      <c r="K152" s="263" t="s">
        <v>247</v>
      </c>
    </row>
    <row r="153" spans="2:11" s="80" customFormat="1" ht="13.8" x14ac:dyDescent="0.25">
      <c r="B153" s="81"/>
      <c r="C153" s="287"/>
      <c r="D153" s="288"/>
      <c r="E153" s="266"/>
      <c r="F153" s="267" t="s">
        <v>132</v>
      </c>
      <c r="G153" s="157" t="s">
        <v>10</v>
      </c>
      <c r="H153" s="158" t="s">
        <v>133</v>
      </c>
      <c r="I153" s="91" t="s">
        <v>10</v>
      </c>
      <c r="J153"/>
      <c r="K153" s="91" t="s">
        <v>10</v>
      </c>
    </row>
    <row r="154" spans="2:11" s="80" customFormat="1" x14ac:dyDescent="0.25">
      <c r="B154" s="81"/>
      <c r="C154" s="289" t="s">
        <v>257</v>
      </c>
      <c r="D154" s="290" t="s">
        <v>136</v>
      </c>
      <c r="E154" s="290">
        <v>1</v>
      </c>
      <c r="F154" s="270">
        <v>0.08</v>
      </c>
      <c r="G154" s="291">
        <v>2000</v>
      </c>
      <c r="H154" s="271">
        <v>5</v>
      </c>
      <c r="I154" s="97">
        <f t="shared" ref="I154:I157" si="13">ROUND(E154*F154*G154*H154,2)</f>
        <v>800</v>
      </c>
      <c r="J154"/>
      <c r="K154" s="272">
        <v>800</v>
      </c>
    </row>
    <row r="155" spans="2:11" s="80" customFormat="1" x14ac:dyDescent="0.25">
      <c r="B155" s="81"/>
      <c r="C155" s="289" t="s">
        <v>258</v>
      </c>
      <c r="D155" s="93" t="s">
        <v>259</v>
      </c>
      <c r="E155" s="292">
        <v>1</v>
      </c>
      <c r="F155" s="124">
        <v>0.08</v>
      </c>
      <c r="G155" s="275">
        <v>1000</v>
      </c>
      <c r="H155" s="276">
        <v>5</v>
      </c>
      <c r="I155" s="97">
        <f t="shared" si="13"/>
        <v>400</v>
      </c>
      <c r="J155"/>
      <c r="K155" s="277">
        <v>400</v>
      </c>
    </row>
    <row r="156" spans="2:11" s="80" customFormat="1" x14ac:dyDescent="0.25">
      <c r="B156" s="81"/>
      <c r="C156" s="293" t="s">
        <v>260</v>
      </c>
      <c r="D156" s="294" t="s">
        <v>259</v>
      </c>
      <c r="E156" s="292">
        <v>1</v>
      </c>
      <c r="F156" s="124">
        <v>0.08</v>
      </c>
      <c r="G156" s="275">
        <v>1100</v>
      </c>
      <c r="H156" s="276">
        <v>5</v>
      </c>
      <c r="I156" s="97">
        <f t="shared" si="13"/>
        <v>440</v>
      </c>
      <c r="J156"/>
      <c r="K156" s="277">
        <v>440</v>
      </c>
    </row>
    <row r="157" spans="2:11" s="80" customFormat="1" x14ac:dyDescent="0.25">
      <c r="B157" s="81"/>
      <c r="C157" s="289" t="s">
        <v>261</v>
      </c>
      <c r="D157" s="100" t="s">
        <v>259</v>
      </c>
      <c r="E157" s="295">
        <v>1</v>
      </c>
      <c r="F157" s="126">
        <v>0.08</v>
      </c>
      <c r="G157" s="296">
        <v>400</v>
      </c>
      <c r="H157" s="279">
        <v>5</v>
      </c>
      <c r="I157" s="97">
        <f t="shared" si="13"/>
        <v>160</v>
      </c>
      <c r="J157"/>
      <c r="K157" s="280">
        <v>160</v>
      </c>
    </row>
    <row r="158" spans="2:11" s="80" customFormat="1" ht="13.8" thickBot="1" x14ac:dyDescent="0.3">
      <c r="B158" s="81"/>
      <c r="C158" s="101" t="s">
        <v>262</v>
      </c>
      <c r="D158" s="282"/>
      <c r="E158" s="297"/>
      <c r="F158" s="283"/>
      <c r="G158" s="284"/>
      <c r="H158" s="285"/>
      <c r="I158" s="105">
        <f>SUM(I154:I157)</f>
        <v>1800</v>
      </c>
      <c r="J158"/>
      <c r="K158" s="105">
        <v>1800</v>
      </c>
    </row>
    <row r="159" spans="2:11" s="80" customFormat="1" ht="6" customHeight="1" x14ac:dyDescent="0.25">
      <c r="B159" s="81"/>
      <c r="C159" s="67"/>
      <c r="D159" s="67"/>
      <c r="E159" s="81"/>
      <c r="F159" s="107"/>
      <c r="G159" s="108"/>
      <c r="H159" s="108"/>
      <c r="I159" s="70"/>
      <c r="J159"/>
      <c r="K159" s="70"/>
    </row>
    <row r="160" spans="2:11" s="80" customFormat="1" ht="13.8" thickBot="1" x14ac:dyDescent="0.3">
      <c r="B160" s="82" t="s">
        <v>263</v>
      </c>
      <c r="C160" s="83" t="s">
        <v>264</v>
      </c>
      <c r="D160" s="67"/>
      <c r="E160" s="81"/>
      <c r="F160" s="107"/>
      <c r="G160" s="108"/>
      <c r="H160" s="108"/>
      <c r="I160" s="70"/>
      <c r="J160"/>
      <c r="K160" s="70"/>
    </row>
    <row r="161" spans="2:11" s="80" customFormat="1" ht="13.8" x14ac:dyDescent="0.25">
      <c r="B161" s="81"/>
      <c r="C161" s="84" t="s">
        <v>125</v>
      </c>
      <c r="D161" s="85" t="s">
        <v>136</v>
      </c>
      <c r="E161" s="259" t="s">
        <v>8</v>
      </c>
      <c r="F161" s="111" t="s">
        <v>180</v>
      </c>
      <c r="G161" s="298" t="s">
        <v>179</v>
      </c>
      <c r="H161" s="262" t="s">
        <v>246</v>
      </c>
      <c r="I161" s="87" t="s">
        <v>131</v>
      </c>
      <c r="J161"/>
      <c r="K161" s="87" t="s">
        <v>131</v>
      </c>
    </row>
    <row r="162" spans="2:11" s="80" customFormat="1" ht="13.8" x14ac:dyDescent="0.25">
      <c r="B162" s="81"/>
      <c r="C162" s="88"/>
      <c r="D162" s="89"/>
      <c r="E162" s="266"/>
      <c r="F162" s="116"/>
      <c r="G162" s="157" t="s">
        <v>10</v>
      </c>
      <c r="H162" s="158" t="s">
        <v>133</v>
      </c>
      <c r="I162" s="91" t="s">
        <v>10</v>
      </c>
      <c r="J162"/>
      <c r="K162" s="91" t="s">
        <v>10</v>
      </c>
    </row>
    <row r="163" spans="2:11" s="80" customFormat="1" x14ac:dyDescent="0.25">
      <c r="B163" s="81"/>
      <c r="C163" s="118" t="s">
        <v>265</v>
      </c>
      <c r="D163" s="269" t="s">
        <v>188</v>
      </c>
      <c r="E163" s="290">
        <v>1</v>
      </c>
      <c r="F163" s="159">
        <v>2.0000000000000001E-4</v>
      </c>
      <c r="G163" s="299">
        <v>990510.19000000018</v>
      </c>
      <c r="H163" s="271">
        <v>1</v>
      </c>
      <c r="I163" s="97">
        <f t="shared" ref="I163" si="14">ROUND(E163*F163*G163*H163,2)</f>
        <v>198.1</v>
      </c>
      <c r="J163"/>
      <c r="K163" s="300">
        <v>198.1</v>
      </c>
    </row>
    <row r="164" spans="2:11" s="80" customFormat="1" x14ac:dyDescent="0.25">
      <c r="B164" s="81"/>
      <c r="C164" s="99"/>
      <c r="D164" s="100"/>
      <c r="E164" s="295"/>
      <c r="F164" s="141"/>
      <c r="G164" s="301"/>
      <c r="H164" s="279"/>
      <c r="I164" s="280"/>
      <c r="J164"/>
      <c r="K164" s="280"/>
    </row>
    <row r="165" spans="2:11" s="80" customFormat="1" ht="13.8" thickBot="1" x14ac:dyDescent="0.3">
      <c r="B165" s="81"/>
      <c r="C165" s="101" t="s">
        <v>266</v>
      </c>
      <c r="D165" s="102"/>
      <c r="E165" s="102"/>
      <c r="F165" s="102"/>
      <c r="G165" s="302"/>
      <c r="H165" s="302"/>
      <c r="I165" s="105">
        <f>SUM(I163:I164)</f>
        <v>198.1</v>
      </c>
      <c r="J165"/>
      <c r="K165" s="105">
        <v>198.1</v>
      </c>
    </row>
    <row r="166" spans="2:11" s="80" customFormat="1" ht="9" customHeight="1" x14ac:dyDescent="0.25">
      <c r="B166" s="81"/>
      <c r="C166" s="67"/>
      <c r="D166" s="67"/>
      <c r="E166" s="67"/>
      <c r="F166" s="67"/>
      <c r="G166" s="108"/>
      <c r="H166" s="108"/>
      <c r="I166" s="162"/>
      <c r="J166"/>
      <c r="K166" s="162"/>
    </row>
    <row r="167" spans="2:11" s="80" customFormat="1" ht="13.8" thickBot="1" x14ac:dyDescent="0.3">
      <c r="B167" s="82">
        <v>2.4</v>
      </c>
      <c r="C167" s="303" t="s">
        <v>267</v>
      </c>
      <c r="D167" s="304"/>
      <c r="E167" s="304"/>
      <c r="F167" s="305"/>
      <c r="G167" s="306"/>
      <c r="H167" s="306"/>
      <c r="I167" s="307"/>
      <c r="J167"/>
      <c r="K167" s="307"/>
    </row>
    <row r="168" spans="2:11" s="80" customFormat="1" x14ac:dyDescent="0.25">
      <c r="B168" s="308"/>
      <c r="C168" s="309" t="s">
        <v>125</v>
      </c>
      <c r="D168" s="310" t="s">
        <v>136</v>
      </c>
      <c r="E168" s="310" t="s">
        <v>127</v>
      </c>
      <c r="F168" s="311" t="s">
        <v>128</v>
      </c>
      <c r="G168" s="310" t="s">
        <v>129</v>
      </c>
      <c r="H168" s="311" t="s">
        <v>130</v>
      </c>
      <c r="I168" s="312" t="s">
        <v>131</v>
      </c>
      <c r="J168"/>
      <c r="K168" s="312" t="s">
        <v>131</v>
      </c>
    </row>
    <row r="169" spans="2:11" s="80" customFormat="1" x14ac:dyDescent="0.25">
      <c r="B169" s="308"/>
      <c r="C169" s="313"/>
      <c r="D169" s="314"/>
      <c r="E169" s="314"/>
      <c r="F169" s="315" t="s">
        <v>132</v>
      </c>
      <c r="G169" s="314" t="s">
        <v>133</v>
      </c>
      <c r="H169" s="315" t="s">
        <v>134</v>
      </c>
      <c r="I169" s="316" t="s">
        <v>134</v>
      </c>
      <c r="J169"/>
      <c r="K169" s="316" t="s">
        <v>134</v>
      </c>
    </row>
    <row r="170" spans="2:11" s="98" customFormat="1" x14ac:dyDescent="0.25">
      <c r="B170" s="308"/>
      <c r="C170" s="317" t="s">
        <v>268</v>
      </c>
      <c r="D170" s="318" t="s">
        <v>269</v>
      </c>
      <c r="E170" s="319">
        <v>1</v>
      </c>
      <c r="F170" s="320">
        <v>1</v>
      </c>
      <c r="G170" s="321">
        <v>1</v>
      </c>
      <c r="H170" s="321">
        <v>6000</v>
      </c>
      <c r="I170" s="97">
        <f t="shared" ref="I170:I177" si="15">ROUND(E170*F170*G170*H170,2)</f>
        <v>6000</v>
      </c>
      <c r="J170"/>
      <c r="K170" s="322">
        <v>9000</v>
      </c>
    </row>
    <row r="171" spans="2:11" s="80" customFormat="1" x14ac:dyDescent="0.25">
      <c r="B171" s="308"/>
      <c r="C171" s="323" t="s">
        <v>270</v>
      </c>
      <c r="D171" s="318" t="s">
        <v>269</v>
      </c>
      <c r="E171" s="319">
        <v>1</v>
      </c>
      <c r="F171" s="320">
        <v>1</v>
      </c>
      <c r="G171" s="321">
        <v>1</v>
      </c>
      <c r="H171" s="321">
        <v>4583</v>
      </c>
      <c r="I171" s="97">
        <f t="shared" si="15"/>
        <v>4583</v>
      </c>
      <c r="J171"/>
      <c r="K171" s="322">
        <v>4583</v>
      </c>
    </row>
    <row r="172" spans="2:11" s="80" customFormat="1" x14ac:dyDescent="0.25">
      <c r="B172" s="308"/>
      <c r="C172" s="323" t="s">
        <v>271</v>
      </c>
      <c r="D172" s="318" t="s">
        <v>269</v>
      </c>
      <c r="E172" s="319">
        <v>1</v>
      </c>
      <c r="F172" s="320">
        <v>1</v>
      </c>
      <c r="G172" s="321">
        <v>1</v>
      </c>
      <c r="H172" s="321">
        <v>3500</v>
      </c>
      <c r="I172" s="97">
        <f t="shared" si="15"/>
        <v>3500</v>
      </c>
      <c r="J172"/>
      <c r="K172" s="322">
        <v>3500</v>
      </c>
    </row>
    <row r="173" spans="2:11" s="80" customFormat="1" x14ac:dyDescent="0.25">
      <c r="B173" s="308"/>
      <c r="C173" s="323" t="s">
        <v>151</v>
      </c>
      <c r="D173" s="318" t="s">
        <v>269</v>
      </c>
      <c r="E173" s="319">
        <v>1</v>
      </c>
      <c r="F173" s="320">
        <v>0.6</v>
      </c>
      <c r="G173" s="321">
        <v>1</v>
      </c>
      <c r="H173" s="321">
        <v>1500</v>
      </c>
      <c r="I173" s="97">
        <f t="shared" si="15"/>
        <v>900</v>
      </c>
      <c r="J173"/>
      <c r="K173" s="322">
        <v>900</v>
      </c>
    </row>
    <row r="174" spans="2:11" s="80" customFormat="1" x14ac:dyDescent="0.25">
      <c r="B174" s="308"/>
      <c r="C174" s="323" t="s">
        <v>272</v>
      </c>
      <c r="D174" s="318" t="s">
        <v>269</v>
      </c>
      <c r="E174" s="319">
        <v>1</v>
      </c>
      <c r="F174" s="320">
        <v>0.5</v>
      </c>
      <c r="G174" s="321">
        <v>1</v>
      </c>
      <c r="H174" s="321">
        <v>1000</v>
      </c>
      <c r="I174" s="97">
        <f t="shared" si="15"/>
        <v>500</v>
      </c>
      <c r="J174"/>
      <c r="K174" s="322">
        <v>500</v>
      </c>
    </row>
    <row r="175" spans="2:11" s="80" customFormat="1" hidden="1" x14ac:dyDescent="0.25">
      <c r="B175" s="308"/>
      <c r="C175" s="323" t="s">
        <v>273</v>
      </c>
      <c r="D175" s="318" t="s">
        <v>269</v>
      </c>
      <c r="E175" s="319">
        <v>0</v>
      </c>
      <c r="F175" s="320">
        <v>1</v>
      </c>
      <c r="G175" s="321">
        <v>1</v>
      </c>
      <c r="H175" s="321">
        <v>1500</v>
      </c>
      <c r="I175" s="97">
        <f t="shared" si="15"/>
        <v>0</v>
      </c>
      <c r="J175"/>
      <c r="K175" s="322">
        <v>0</v>
      </c>
    </row>
    <row r="176" spans="2:11" s="80" customFormat="1" x14ac:dyDescent="0.25">
      <c r="B176" s="308"/>
      <c r="C176" s="323" t="s">
        <v>274</v>
      </c>
      <c r="D176" s="318" t="s">
        <v>269</v>
      </c>
      <c r="E176" s="319">
        <v>1</v>
      </c>
      <c r="F176" s="320">
        <v>0.6</v>
      </c>
      <c r="G176" s="321">
        <v>1</v>
      </c>
      <c r="H176" s="321">
        <v>7500</v>
      </c>
      <c r="I176" s="97">
        <f t="shared" si="15"/>
        <v>4500</v>
      </c>
      <c r="J176"/>
      <c r="K176" s="322">
        <v>4500</v>
      </c>
    </row>
    <row r="177" spans="2:12" s="80" customFormat="1" x14ac:dyDescent="0.25">
      <c r="B177" s="308"/>
      <c r="C177" s="323" t="s">
        <v>173</v>
      </c>
      <c r="D177" s="318" t="s">
        <v>269</v>
      </c>
      <c r="E177" s="324">
        <v>1</v>
      </c>
      <c r="F177" s="320">
        <v>0.6</v>
      </c>
      <c r="G177" s="321">
        <v>1</v>
      </c>
      <c r="H177" s="321">
        <v>2000</v>
      </c>
      <c r="I177" s="97">
        <f t="shared" si="15"/>
        <v>1200</v>
      </c>
      <c r="J177"/>
      <c r="K177" s="322">
        <v>1200</v>
      </c>
    </row>
    <row r="178" spans="2:12" s="80" customFormat="1" ht="13.8" thickBot="1" x14ac:dyDescent="0.3">
      <c r="B178" s="308"/>
      <c r="C178" s="325" t="s">
        <v>275</v>
      </c>
      <c r="D178" s="326"/>
      <c r="E178" s="327"/>
      <c r="F178" s="328"/>
      <c r="G178" s="329"/>
      <c r="H178" s="329"/>
      <c r="I178" s="330">
        <f>SUM(I170:I177)</f>
        <v>21183</v>
      </c>
      <c r="J178"/>
      <c r="K178" s="330">
        <v>24183</v>
      </c>
    </row>
    <row r="179" spans="2:12" s="80" customFormat="1" ht="13.8" thickBot="1" x14ac:dyDescent="0.3">
      <c r="B179" s="308"/>
      <c r="C179" s="331"/>
      <c r="D179" s="326"/>
      <c r="E179" s="327"/>
      <c r="F179" s="328"/>
      <c r="G179" s="329"/>
      <c r="H179" s="329"/>
      <c r="I179" s="332"/>
      <c r="J179"/>
      <c r="K179" s="332"/>
    </row>
    <row r="180" spans="2:12" s="80" customFormat="1" ht="24.6" thickBot="1" x14ac:dyDescent="0.3">
      <c r="B180" s="82" t="s">
        <v>276</v>
      </c>
      <c r="C180" s="333" t="s">
        <v>277</v>
      </c>
      <c r="D180" s="334"/>
      <c r="E180" s="334"/>
      <c r="F180" s="335"/>
      <c r="G180" s="336"/>
      <c r="H180" s="336"/>
      <c r="I180" s="336"/>
      <c r="J180"/>
      <c r="K180" s="336"/>
    </row>
    <row r="181" spans="2:12" s="80" customFormat="1" x14ac:dyDescent="0.25">
      <c r="B181" s="81"/>
      <c r="C181" s="309" t="s">
        <v>125</v>
      </c>
      <c r="D181" s="310" t="s">
        <v>136</v>
      </c>
      <c r="E181" s="310" t="s">
        <v>127</v>
      </c>
      <c r="F181" s="311" t="s">
        <v>128</v>
      </c>
      <c r="G181" s="310" t="s">
        <v>129</v>
      </c>
      <c r="H181" s="311" t="s">
        <v>130</v>
      </c>
      <c r="I181" s="337" t="s">
        <v>131</v>
      </c>
      <c r="J181"/>
      <c r="K181" s="337" t="s">
        <v>131</v>
      </c>
    </row>
    <row r="182" spans="2:12" s="80" customFormat="1" x14ac:dyDescent="0.25">
      <c r="B182" s="81"/>
      <c r="C182" s="313"/>
      <c r="D182" s="314"/>
      <c r="E182" s="314"/>
      <c r="F182" s="315" t="s">
        <v>132</v>
      </c>
      <c r="G182" s="314" t="s">
        <v>133</v>
      </c>
      <c r="H182" s="315" t="s">
        <v>134</v>
      </c>
      <c r="I182" s="338" t="s">
        <v>134</v>
      </c>
      <c r="J182"/>
      <c r="K182" s="338" t="s">
        <v>134</v>
      </c>
    </row>
    <row r="183" spans="2:12" s="151" customFormat="1" ht="23.4" x14ac:dyDescent="0.25">
      <c r="B183" s="150"/>
      <c r="C183" s="339" t="s">
        <v>278</v>
      </c>
      <c r="D183" s="340" t="s">
        <v>269</v>
      </c>
      <c r="E183" s="341">
        <v>1</v>
      </c>
      <c r="F183" s="342">
        <v>1</v>
      </c>
      <c r="G183" s="343">
        <v>1</v>
      </c>
      <c r="H183" s="343">
        <v>4500</v>
      </c>
      <c r="I183" s="97">
        <f t="shared" ref="I183:I184" si="16">ROUND(E183*F183*G183*H183,2)</f>
        <v>4500</v>
      </c>
      <c r="J183"/>
      <c r="K183" s="385">
        <v>4500</v>
      </c>
    </row>
    <row r="184" spans="2:12" s="151" customFormat="1" x14ac:dyDescent="0.25">
      <c r="B184" s="150"/>
      <c r="C184" s="344" t="s">
        <v>279</v>
      </c>
      <c r="D184" s="340" t="s">
        <v>136</v>
      </c>
      <c r="E184" s="341">
        <v>1</v>
      </c>
      <c r="F184" s="342">
        <v>1</v>
      </c>
      <c r="G184" s="343">
        <v>1</v>
      </c>
      <c r="H184" s="343">
        <v>4456.47</v>
      </c>
      <c r="I184" s="97">
        <f t="shared" si="16"/>
        <v>4456.47</v>
      </c>
      <c r="J184"/>
      <c r="K184" s="385">
        <v>3500</v>
      </c>
    </row>
    <row r="185" spans="2:12" s="151" customFormat="1" x14ac:dyDescent="0.25">
      <c r="B185" s="150"/>
      <c r="C185" s="345"/>
      <c r="D185" s="346"/>
      <c r="E185" s="346"/>
      <c r="F185" s="347"/>
      <c r="G185" s="348"/>
      <c r="H185" s="348"/>
      <c r="I185" s="349"/>
      <c r="J185"/>
      <c r="K185" s="349"/>
    </row>
    <row r="186" spans="2:12" s="80" customFormat="1" ht="13.8" thickBot="1" x14ac:dyDescent="0.3">
      <c r="B186" s="81"/>
      <c r="C186" s="101" t="s">
        <v>280</v>
      </c>
      <c r="D186" s="102"/>
      <c r="E186" s="160"/>
      <c r="F186" s="103"/>
      <c r="G186" s="104"/>
      <c r="H186" s="104"/>
      <c r="I186" s="350">
        <f>SUM(I183:I185)</f>
        <v>8956.4700000000012</v>
      </c>
      <c r="J186"/>
      <c r="K186" s="350">
        <v>8000</v>
      </c>
    </row>
    <row r="187" spans="2:12" s="80" customFormat="1" ht="13.8" thickBot="1" x14ac:dyDescent="0.3">
      <c r="B187" s="308"/>
      <c r="C187" s="351"/>
      <c r="D187" s="352"/>
      <c r="E187" s="353"/>
      <c r="F187" s="354"/>
      <c r="G187" s="355"/>
      <c r="H187" s="355"/>
      <c r="I187" s="356"/>
      <c r="J187"/>
    </row>
    <row r="188" spans="2:12" s="80" customFormat="1" ht="14.4" thickBot="1" x14ac:dyDescent="0.3">
      <c r="B188" s="81"/>
      <c r="C188" s="357" t="s">
        <v>281</v>
      </c>
      <c r="D188" s="358"/>
      <c r="E188" s="358"/>
      <c r="F188" s="358"/>
      <c r="G188" s="359"/>
      <c r="H188" s="359"/>
      <c r="I188" s="360">
        <f>+I186+I178+I165+I158+I149</f>
        <v>41077.57</v>
      </c>
      <c r="J188"/>
      <c r="L188" s="360">
        <v>43121.1</v>
      </c>
    </row>
    <row r="189" spans="2:12" s="80" customFormat="1" ht="7.5" customHeight="1" thickBot="1" x14ac:dyDescent="0.3">
      <c r="B189" s="81"/>
      <c r="C189" s="67"/>
      <c r="D189" s="67"/>
      <c r="E189" s="67"/>
      <c r="F189" s="107"/>
      <c r="G189" s="108"/>
      <c r="H189" s="108"/>
      <c r="I189" s="70"/>
      <c r="J189"/>
      <c r="L189" s="70"/>
    </row>
    <row r="190" spans="2:12" s="80" customFormat="1" ht="16.5" customHeight="1" thickBot="1" x14ac:dyDescent="0.3">
      <c r="B190" s="81"/>
      <c r="C190" s="361" t="s">
        <v>282</v>
      </c>
      <c r="D190" s="362"/>
      <c r="E190" s="362"/>
      <c r="F190" s="362"/>
      <c r="G190" s="363"/>
      <c r="H190" s="363"/>
      <c r="I190" s="364">
        <f>+I188+I74+I123</f>
        <v>287612.81</v>
      </c>
      <c r="J190"/>
      <c r="L190" s="364">
        <v>338406.33999999997</v>
      </c>
    </row>
    <row r="191" spans="2:12" s="80" customFormat="1" x14ac:dyDescent="0.25">
      <c r="B191" s="81"/>
      <c r="C191" s="67"/>
      <c r="D191" s="67"/>
      <c r="E191" s="67"/>
      <c r="F191" s="67"/>
      <c r="G191" s="108"/>
      <c r="H191" s="108"/>
      <c r="I191" s="70"/>
      <c r="J191"/>
      <c r="L191" s="70"/>
    </row>
    <row r="192" spans="2:12" s="80" customFormat="1" ht="15.6" x14ac:dyDescent="0.25">
      <c r="B192" s="79" t="s">
        <v>283</v>
      </c>
      <c r="C192" s="68" t="s">
        <v>284</v>
      </c>
      <c r="D192" s="67"/>
      <c r="E192" s="67"/>
      <c r="F192" s="67"/>
      <c r="G192" s="108"/>
      <c r="H192" s="71"/>
      <c r="I192" s="365" t="s">
        <v>10</v>
      </c>
      <c r="J192"/>
      <c r="L192" s="365" t="s">
        <v>10</v>
      </c>
    </row>
    <row r="193" spans="2:12" s="80" customFormat="1" ht="15" customHeight="1" x14ac:dyDescent="0.25">
      <c r="B193" s="81"/>
      <c r="C193" s="366" t="s">
        <v>285</v>
      </c>
      <c r="D193" s="367"/>
      <c r="E193" s="367"/>
      <c r="F193" s="367"/>
      <c r="G193" s="368"/>
      <c r="H193" s="368"/>
      <c r="I193" s="369">
        <f>+I74+I123</f>
        <v>246535.24</v>
      </c>
      <c r="J193"/>
      <c r="L193" s="369">
        <v>295285.24</v>
      </c>
    </row>
    <row r="194" spans="2:12" s="80" customFormat="1" ht="15" customHeight="1" x14ac:dyDescent="0.25">
      <c r="B194" s="81"/>
      <c r="C194" s="366" t="s">
        <v>242</v>
      </c>
      <c r="D194" s="367"/>
      <c r="E194" s="367"/>
      <c r="F194" s="367"/>
      <c r="G194" s="368"/>
      <c r="H194" s="368"/>
      <c r="I194" s="369">
        <f>+I188</f>
        <v>41077.57</v>
      </c>
      <c r="J194"/>
      <c r="L194" s="369">
        <v>43121.1</v>
      </c>
    </row>
    <row r="195" spans="2:12" s="80" customFormat="1" ht="15" customHeight="1" x14ac:dyDescent="0.25">
      <c r="B195" s="81"/>
      <c r="C195" s="370" t="s">
        <v>282</v>
      </c>
      <c r="D195" s="367"/>
      <c r="E195" s="367"/>
      <c r="F195" s="367"/>
      <c r="G195" s="368"/>
      <c r="H195" s="368"/>
      <c r="I195" s="369">
        <f>SUM(I193:I194)</f>
        <v>287612.81</v>
      </c>
      <c r="J195"/>
      <c r="K195" s="386">
        <f>+I195/I9</f>
        <v>0.30530482787933094</v>
      </c>
      <c r="L195" s="369">
        <v>338406.33999999997</v>
      </c>
    </row>
    <row r="196" spans="2:12" s="71" customFormat="1" x14ac:dyDescent="0.25">
      <c r="B196" s="81"/>
      <c r="C196" s="106"/>
      <c r="D196" s="67"/>
      <c r="E196" s="67"/>
      <c r="F196" s="67"/>
      <c r="G196" s="108"/>
      <c r="H196" s="108"/>
      <c r="I196" s="70">
        <v>287514.06</v>
      </c>
      <c r="J196"/>
    </row>
    <row r="197" spans="2:12" s="71" customFormat="1" ht="13.8" thickBot="1" x14ac:dyDescent="0.3">
      <c r="B197" s="81"/>
      <c r="G197" s="371"/>
      <c r="H197" s="371"/>
      <c r="I197" s="387">
        <f>+I195-I196</f>
        <v>98.75</v>
      </c>
      <c r="J197"/>
    </row>
    <row r="198" spans="2:12" ht="16.2" thickBot="1" x14ac:dyDescent="0.3">
      <c r="B198" s="372"/>
      <c r="G198" s="371"/>
      <c r="H198" s="371"/>
      <c r="I198" s="364">
        <v>1661625.6700000004</v>
      </c>
      <c r="K198" s="64">
        <v>100</v>
      </c>
    </row>
    <row r="199" spans="2:12" x14ac:dyDescent="0.25">
      <c r="B199" s="372"/>
      <c r="G199" s="371"/>
      <c r="H199" s="371"/>
      <c r="I199" s="373">
        <v>1495463.11</v>
      </c>
      <c r="K199" s="388">
        <f>+I199/I198</f>
        <v>0.90000000421274173</v>
      </c>
    </row>
    <row r="200" spans="2:12" ht="13.8" x14ac:dyDescent="0.25">
      <c r="B200" s="372"/>
      <c r="C200" s="69"/>
      <c r="D200" s="69"/>
      <c r="E200" s="69"/>
      <c r="F200" s="69"/>
      <c r="G200" s="374"/>
      <c r="H200" s="374"/>
      <c r="I200" s="375">
        <f>+I199*0.9</f>
        <v>1345916.7990000001</v>
      </c>
      <c r="K200" s="64">
        <v>90</v>
      </c>
    </row>
    <row r="201" spans="2:12" x14ac:dyDescent="0.25">
      <c r="G201" s="371"/>
      <c r="H201" s="371"/>
      <c r="I201" s="376">
        <v>1495463.11</v>
      </c>
      <c r="K201" s="389">
        <f>+I199-I201</f>
        <v>0</v>
      </c>
    </row>
    <row r="202" spans="2:12" x14ac:dyDescent="0.25">
      <c r="G202" s="371"/>
      <c r="H202" s="371"/>
      <c r="I202" s="377"/>
    </row>
    <row r="203" spans="2:12" x14ac:dyDescent="0.25">
      <c r="G203" s="371"/>
      <c r="H203" s="371"/>
      <c r="I203" s="377"/>
    </row>
    <row r="204" spans="2:12" x14ac:dyDescent="0.25">
      <c r="G204" s="371"/>
      <c r="H204" s="371"/>
    </row>
    <row r="214" spans="9:9" x14ac:dyDescent="0.25">
      <c r="I214" s="377"/>
    </row>
    <row r="215" spans="9:9" x14ac:dyDescent="0.25">
      <c r="I215" s="377"/>
    </row>
    <row r="216" spans="9:9" x14ac:dyDescent="0.25">
      <c r="I216" s="377"/>
    </row>
    <row r="217" spans="9:9" x14ac:dyDescent="0.25">
      <c r="I217" s="377"/>
    </row>
    <row r="218" spans="9:9" x14ac:dyDescent="0.25">
      <c r="I218" s="377"/>
    </row>
    <row r="219" spans="9:9" x14ac:dyDescent="0.25">
      <c r="I219" s="377"/>
    </row>
    <row r="220" spans="9:9" x14ac:dyDescent="0.25">
      <c r="I220" s="377"/>
    </row>
    <row r="221" spans="9:9" x14ac:dyDescent="0.25">
      <c r="I221" s="377"/>
    </row>
    <row r="222" spans="9:9" x14ac:dyDescent="0.25">
      <c r="I222" s="377"/>
    </row>
    <row r="223" spans="9:9" x14ac:dyDescent="0.25">
      <c r="I223" s="377"/>
    </row>
    <row r="224" spans="9:9" x14ac:dyDescent="0.25">
      <c r="I224" s="377"/>
    </row>
    <row r="225" spans="9:9" x14ac:dyDescent="0.25">
      <c r="I225" s="377"/>
    </row>
    <row r="226" spans="9:9" x14ac:dyDescent="0.25">
      <c r="I226" s="377"/>
    </row>
    <row r="227" spans="9:9" x14ac:dyDescent="0.25">
      <c r="I227" s="377"/>
    </row>
    <row r="228" spans="9:9" x14ac:dyDescent="0.25">
      <c r="I228" s="377"/>
    </row>
    <row r="229" spans="9:9" x14ac:dyDescent="0.25">
      <c r="I229" s="377"/>
    </row>
    <row r="230" spans="9:9" x14ac:dyDescent="0.25">
      <c r="I230" s="377"/>
    </row>
  </sheetData>
  <mergeCells count="12">
    <mergeCell ref="C134:I134"/>
    <mergeCell ref="B1:I1"/>
    <mergeCell ref="B3:I3"/>
    <mergeCell ref="B4:I4"/>
    <mergeCell ref="C124:H124"/>
    <mergeCell ref="C127:I127"/>
    <mergeCell ref="C128:I128"/>
    <mergeCell ref="C129:I129"/>
    <mergeCell ref="C130:I130"/>
    <mergeCell ref="C131:I131"/>
    <mergeCell ref="C132:I132"/>
    <mergeCell ref="C133:I133"/>
  </mergeCells>
  <printOptions horizontalCentered="1"/>
  <pageMargins left="0.74803149606299213" right="0.74803149606299213" top="0.98425196850393704" bottom="0.98425196850393704" header="0" footer="0"/>
  <pageSetup paperSize="9" scale="63" fitToHeight="2" orientation="portrait" r:id="rId1"/>
  <headerFooter alignWithMargins="0"/>
  <rowBreaks count="2" manualBreakCount="2">
    <brk id="85" min="1" max="9" man="1"/>
    <brk id="123" min="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E1EA-7033-4E17-BA10-74279A612D3C}">
  <sheetPr codeName="Hoja5"/>
  <dimension ref="B1:Q25"/>
  <sheetViews>
    <sheetView showGridLines="0" view="pageBreakPreview" zoomScale="85" zoomScaleNormal="90" zoomScaleSheetLayoutView="85" workbookViewId="0">
      <selection activeCell="C9" sqref="C9:F10"/>
    </sheetView>
  </sheetViews>
  <sheetFormatPr baseColWidth="10" defaultColWidth="11.44140625" defaultRowHeight="13.2" x14ac:dyDescent="0.25"/>
  <cols>
    <col min="1" max="1" width="1.88671875" style="3" customWidth="1"/>
    <col min="2" max="2" width="11.33203125" style="7" customWidth="1"/>
    <col min="3" max="3" width="2.5546875" style="7" customWidth="1"/>
    <col min="4" max="4" width="6.109375" style="7" customWidth="1"/>
    <col min="5" max="5" width="7.44140625" style="7" customWidth="1"/>
    <col min="6" max="6" width="39.109375" style="7" customWidth="1"/>
    <col min="7" max="7" width="20.44140625" style="7" customWidth="1"/>
    <col min="8" max="8" width="19.109375" style="7" customWidth="1"/>
    <col min="9" max="9" width="16.6640625" style="7" hidden="1" customWidth="1"/>
    <col min="10" max="10" width="14.6640625" style="7" hidden="1" customWidth="1"/>
    <col min="11" max="11" width="14" style="7" hidden="1" customWidth="1"/>
    <col min="12" max="12" width="16.6640625" style="7" hidden="1" customWidth="1"/>
    <col min="13" max="13" width="11.88671875" style="3" customWidth="1"/>
    <col min="14" max="14" width="13.109375" style="3" customWidth="1"/>
    <col min="15" max="16384" width="11.44140625" style="3"/>
  </cols>
  <sheetData>
    <row r="1" spans="2:17" ht="8.25" customHeight="1" x14ac:dyDescent="0.25">
      <c r="B1" s="5"/>
      <c r="C1" s="6"/>
      <c r="D1" s="6"/>
      <c r="E1" s="6"/>
      <c r="F1" s="6"/>
      <c r="G1" s="6"/>
      <c r="H1" s="6"/>
      <c r="I1" s="6"/>
      <c r="J1" s="6"/>
      <c r="K1" s="6"/>
    </row>
    <row r="2" spans="2:17" ht="15" customHeight="1" x14ac:dyDescent="0.25">
      <c r="B2" s="728" t="s">
        <v>1026</v>
      </c>
      <c r="C2" s="8"/>
      <c r="D2" s="8"/>
      <c r="E2" s="8"/>
      <c r="F2" s="8"/>
      <c r="G2" s="8"/>
      <c r="H2" s="8"/>
      <c r="I2" s="8"/>
      <c r="J2" s="8"/>
      <c r="K2" s="8"/>
      <c r="L2" s="727"/>
    </row>
    <row r="3" spans="2:17" ht="12" customHeight="1" x14ac:dyDescent="0.25">
      <c r="B3" s="726"/>
      <c r="C3" s="8"/>
      <c r="D3" s="8"/>
      <c r="E3" s="8"/>
      <c r="F3" s="8"/>
      <c r="G3" s="8"/>
      <c r="H3" s="8"/>
      <c r="I3" s="8"/>
      <c r="J3" s="8"/>
      <c r="K3" s="8"/>
    </row>
    <row r="4" spans="2:17" ht="42.75" customHeight="1" x14ac:dyDescent="0.25">
      <c r="B4" s="1221" t="s">
        <v>298</v>
      </c>
      <c r="C4" s="1221"/>
      <c r="D4" s="1221"/>
      <c r="E4" s="1221"/>
      <c r="F4" s="1221"/>
      <c r="G4" s="1221"/>
      <c r="H4" s="1221"/>
      <c r="I4" s="1221"/>
      <c r="J4" s="1221"/>
      <c r="K4" s="1221"/>
      <c r="L4" s="1221"/>
    </row>
    <row r="5" spans="2:17" ht="15" customHeight="1" x14ac:dyDescent="0.25">
      <c r="B5" s="725"/>
      <c r="C5" s="9"/>
      <c r="D5" s="9"/>
      <c r="E5" s="9"/>
      <c r="F5" s="9"/>
      <c r="G5" s="9"/>
      <c r="H5" s="9"/>
      <c r="I5" s="9"/>
      <c r="J5" s="9"/>
      <c r="K5" s="9"/>
    </row>
    <row r="6" spans="2:17" ht="18" customHeight="1" x14ac:dyDescent="0.25">
      <c r="B6" s="724" t="s">
        <v>0</v>
      </c>
      <c r="C6" s="10" t="s">
        <v>1</v>
      </c>
      <c r="D6" s="11" t="s">
        <v>299</v>
      </c>
      <c r="E6" s="11"/>
      <c r="G6" s="11"/>
      <c r="H6" s="11"/>
      <c r="I6" s="11"/>
      <c r="J6" s="11"/>
      <c r="K6" s="11"/>
    </row>
    <row r="7" spans="2:17" ht="18" customHeight="1" x14ac:dyDescent="0.25">
      <c r="B7" s="13" t="s">
        <v>2</v>
      </c>
      <c r="C7" s="12" t="s">
        <v>1</v>
      </c>
      <c r="D7" s="13" t="s">
        <v>85</v>
      </c>
      <c r="E7" s="13"/>
      <c r="G7" s="13"/>
      <c r="H7" s="729" t="s">
        <v>300</v>
      </c>
      <c r="I7" s="13"/>
      <c r="J7" s="13"/>
      <c r="K7" s="13"/>
    </row>
    <row r="8" spans="2:17" ht="18" customHeight="1" x14ac:dyDescent="0.25">
      <c r="B8" s="723"/>
      <c r="C8" s="722"/>
      <c r="D8" s="721"/>
      <c r="E8" s="721"/>
      <c r="F8" s="721"/>
      <c r="G8" s="721"/>
      <c r="H8" s="730" t="s">
        <v>301</v>
      </c>
      <c r="I8" s="721"/>
      <c r="J8" s="721"/>
      <c r="K8" s="721"/>
    </row>
    <row r="9" spans="2:17" ht="20.25" customHeight="1" x14ac:dyDescent="0.25">
      <c r="B9" s="1222" t="s">
        <v>3</v>
      </c>
      <c r="C9" s="1224" t="s">
        <v>84</v>
      </c>
      <c r="D9" s="1225"/>
      <c r="E9" s="1225"/>
      <c r="F9" s="1226"/>
      <c r="G9" s="1189" t="s">
        <v>106</v>
      </c>
      <c r="H9" s="1189" t="s">
        <v>436</v>
      </c>
      <c r="I9" s="1199" t="s">
        <v>433</v>
      </c>
      <c r="J9" s="1200"/>
      <c r="K9" s="1201" t="s">
        <v>294</v>
      </c>
      <c r="L9" s="1201"/>
    </row>
    <row r="10" spans="2:17" ht="33" customHeight="1" x14ac:dyDescent="0.25">
      <c r="B10" s="1223"/>
      <c r="C10" s="1227"/>
      <c r="D10" s="1228"/>
      <c r="E10" s="1228"/>
      <c r="F10" s="1229"/>
      <c r="G10" s="1190"/>
      <c r="H10" s="1190"/>
      <c r="I10" s="691" t="s">
        <v>114</v>
      </c>
      <c r="J10" s="691" t="s">
        <v>434</v>
      </c>
      <c r="K10" s="675" t="s">
        <v>297</v>
      </c>
      <c r="L10" s="675" t="s">
        <v>115</v>
      </c>
    </row>
    <row r="11" spans="2:17" ht="21.75" customHeight="1" x14ac:dyDescent="0.25">
      <c r="B11" s="661"/>
      <c r="C11" s="665"/>
      <c r="D11" s="666"/>
      <c r="E11" s="666"/>
      <c r="F11" s="667"/>
      <c r="G11" s="674"/>
      <c r="H11" s="674"/>
      <c r="I11" s="674"/>
      <c r="J11" s="674"/>
      <c r="K11" s="674"/>
      <c r="L11" s="674"/>
    </row>
    <row r="12" spans="2:17" ht="21.75" customHeight="1" x14ac:dyDescent="0.25">
      <c r="B12" s="662" t="s">
        <v>86</v>
      </c>
      <c r="C12" s="668"/>
      <c r="D12" s="669" t="s">
        <v>99</v>
      </c>
      <c r="E12" s="669"/>
      <c r="F12" s="670"/>
      <c r="G12" s="663">
        <f>+'Mtdo-Ppto LP'!K154</f>
        <v>628325.26</v>
      </c>
      <c r="H12" s="663">
        <f>+'Mtdo-Ppto LP'!M154</f>
        <v>683730.19000000006</v>
      </c>
      <c r="I12" s="663">
        <f>+'Mtdo-Ppto LP'!O154</f>
        <v>91503.469999999987</v>
      </c>
      <c r="J12" s="663">
        <f>+'Mtdo-Ppto LP'!Q154</f>
        <v>85371.61</v>
      </c>
      <c r="K12" s="663">
        <f>+'Mtdo-Ppto LP'!S154</f>
        <v>121470.15999999997</v>
      </c>
      <c r="L12" s="663">
        <f>+'Mtdo-Ppto LP'!U154</f>
        <v>94577.959999999992</v>
      </c>
      <c r="M12" s="63"/>
      <c r="N12" s="18"/>
      <c r="O12" s="16"/>
      <c r="P12" s="16"/>
      <c r="Q12" s="17"/>
    </row>
    <row r="13" spans="2:17" ht="21.75" customHeight="1" x14ac:dyDescent="0.25">
      <c r="B13" s="662" t="s">
        <v>88</v>
      </c>
      <c r="C13" s="671"/>
      <c r="D13" s="15" t="s">
        <v>89</v>
      </c>
      <c r="E13" s="15"/>
      <c r="F13" s="672"/>
      <c r="G13" s="663">
        <f>+'Mtdo-Ppto LP'!K307</f>
        <v>461491.17000000004</v>
      </c>
      <c r="H13" s="663">
        <f>+'Mtdo-Ppto LP'!M307</f>
        <v>552762.73</v>
      </c>
      <c r="I13" s="663">
        <f>+'Mtdo-Ppto LP'!O307</f>
        <v>54136.690000000017</v>
      </c>
      <c r="J13" s="663">
        <f>+'Mtdo-Ppto LP'!Q307</f>
        <v>91265.2</v>
      </c>
      <c r="K13" s="663">
        <f>+'Mtdo-Ppto LP'!S307</f>
        <v>54130.279999999992</v>
      </c>
      <c r="L13" s="663">
        <f>+'Mtdo-Ppto LP'!U307</f>
        <v>47888.049999999996</v>
      </c>
      <c r="M13" s="63"/>
      <c r="N13" s="18"/>
      <c r="O13" s="16"/>
      <c r="P13" s="16"/>
      <c r="Q13" s="17"/>
    </row>
    <row r="14" spans="2:17" ht="21.75" customHeight="1" x14ac:dyDescent="0.25">
      <c r="B14" s="662" t="s">
        <v>90</v>
      </c>
      <c r="C14" s="671"/>
      <c r="D14" s="15" t="s">
        <v>100</v>
      </c>
      <c r="E14" s="15"/>
      <c r="F14" s="672"/>
      <c r="G14" s="663">
        <f>+'Mtdo-Ppto LP'!K446</f>
        <v>60052.800000000003</v>
      </c>
      <c r="H14" s="663">
        <f>+'Mtdo-Ppto LP'!M446</f>
        <v>59272.43</v>
      </c>
      <c r="I14" s="663">
        <f>+'Mtdo-Ppto LP'!O446</f>
        <v>9755.130000000001</v>
      </c>
      <c r="J14" s="663">
        <f>+'Mtdo-Ppto LP'!Q446</f>
        <v>6567.64</v>
      </c>
      <c r="K14" s="663">
        <f>+'Mtdo-Ppto LP'!S446</f>
        <v>17103.14</v>
      </c>
      <c r="L14" s="663">
        <f>+'Mtdo-Ppto LP'!U446</f>
        <v>11389.32</v>
      </c>
      <c r="M14" s="63"/>
      <c r="N14" s="18"/>
      <c r="O14" s="16"/>
      <c r="P14" s="16"/>
      <c r="Q14" s="17"/>
    </row>
    <row r="15" spans="2:17" s="689" customFormat="1" ht="36.75" customHeight="1" x14ac:dyDescent="0.25">
      <c r="B15" s="686" t="s">
        <v>92</v>
      </c>
      <c r="C15" s="676"/>
      <c r="D15" s="677" t="s">
        <v>101</v>
      </c>
      <c r="E15" s="677"/>
      <c r="F15" s="678"/>
      <c r="G15" s="679">
        <f t="shared" ref="G15:L15" si="0">+SUM(G12:G14)</f>
        <v>1149869.2300000002</v>
      </c>
      <c r="H15" s="679">
        <f t="shared" si="0"/>
        <v>1295765.3499999999</v>
      </c>
      <c r="I15" s="679">
        <f t="shared" si="0"/>
        <v>155395.29</v>
      </c>
      <c r="J15" s="679">
        <f t="shared" si="0"/>
        <v>183204.45</v>
      </c>
      <c r="K15" s="679">
        <f t="shared" si="0"/>
        <v>192703.57999999996</v>
      </c>
      <c r="L15" s="679">
        <f t="shared" si="0"/>
        <v>153855.32999999999</v>
      </c>
      <c r="M15" s="688"/>
      <c r="N15" s="594"/>
      <c r="O15" s="16"/>
      <c r="P15" s="690"/>
      <c r="Q15" s="688"/>
    </row>
    <row r="16" spans="2:17" ht="24.75" customHeight="1" x14ac:dyDescent="0.25">
      <c r="B16" s="664" t="s">
        <v>94</v>
      </c>
      <c r="C16" s="665"/>
      <c r="D16" s="680" t="s">
        <v>807</v>
      </c>
      <c r="E16" s="680"/>
      <c r="F16" s="673"/>
      <c r="G16" s="663">
        <f t="shared" ref="G16:L16" si="1">ROUND(G15*10.12%,2)</f>
        <v>116366.77</v>
      </c>
      <c r="H16" s="663">
        <f t="shared" si="1"/>
        <v>131131.45000000001</v>
      </c>
      <c r="I16" s="663">
        <f t="shared" si="1"/>
        <v>15726</v>
      </c>
      <c r="J16" s="663">
        <f t="shared" si="1"/>
        <v>18540.29</v>
      </c>
      <c r="K16" s="663">
        <f t="shared" si="1"/>
        <v>19501.599999999999</v>
      </c>
      <c r="L16" s="663">
        <f t="shared" si="1"/>
        <v>15570.16</v>
      </c>
      <c r="M16" s="690"/>
      <c r="N16" s="19"/>
      <c r="P16" s="16"/>
      <c r="Q16" s="17"/>
    </row>
    <row r="17" spans="2:17" ht="24.75" customHeight="1" x14ac:dyDescent="0.25">
      <c r="B17" s="664" t="s">
        <v>95</v>
      </c>
      <c r="C17" s="665"/>
      <c r="D17" s="14" t="s">
        <v>808</v>
      </c>
      <c r="E17" s="14"/>
      <c r="F17" s="673"/>
      <c r="G17" s="663">
        <f t="shared" ref="G17:L17" si="2">ROUND(G15*3%,2)</f>
        <v>34496.080000000002</v>
      </c>
      <c r="H17" s="663">
        <f t="shared" si="2"/>
        <v>38872.959999999999</v>
      </c>
      <c r="I17" s="663">
        <f t="shared" si="2"/>
        <v>4661.8599999999997</v>
      </c>
      <c r="J17" s="663">
        <f t="shared" si="2"/>
        <v>5496.13</v>
      </c>
      <c r="K17" s="663">
        <f t="shared" si="2"/>
        <v>5781.11</v>
      </c>
      <c r="L17" s="663">
        <f t="shared" si="2"/>
        <v>4615.66</v>
      </c>
      <c r="M17" s="690"/>
      <c r="N17" s="19"/>
      <c r="P17" s="16"/>
      <c r="Q17" s="17"/>
    </row>
    <row r="18" spans="2:17" s="689" customFormat="1" ht="36.75" customHeight="1" x14ac:dyDescent="0.25">
      <c r="B18" s="686" t="s">
        <v>113</v>
      </c>
      <c r="C18" s="676"/>
      <c r="D18" s="677" t="s">
        <v>102</v>
      </c>
      <c r="E18" s="677"/>
      <c r="F18" s="678"/>
      <c r="G18" s="687">
        <f t="shared" ref="G18:I18" si="3">G17+G16+G15</f>
        <v>1300732.0800000003</v>
      </c>
      <c r="H18" s="687">
        <f t="shared" si="3"/>
        <v>1465769.7599999998</v>
      </c>
      <c r="I18" s="687">
        <f t="shared" si="3"/>
        <v>175783.15000000002</v>
      </c>
      <c r="J18" s="687">
        <f>J17+J16+J15</f>
        <v>207240.87000000002</v>
      </c>
      <c r="K18" s="687">
        <f>K17+K16+K15</f>
        <v>217986.28999999995</v>
      </c>
      <c r="L18" s="687">
        <f>L17+L16+L15</f>
        <v>174041.15</v>
      </c>
      <c r="M18" s="690">
        <f>+H18-G18</f>
        <v>165037.67999999947</v>
      </c>
      <c r="N18" s="594"/>
      <c r="P18" s="690"/>
      <c r="Q18" s="688"/>
    </row>
    <row r="19" spans="2:17" s="689" customFormat="1" ht="8.25" customHeight="1" x14ac:dyDescent="0.25">
      <c r="B19" s="1137"/>
      <c r="C19" s="1138"/>
      <c r="D19" s="677"/>
      <c r="E19" s="677"/>
      <c r="F19" s="677"/>
      <c r="G19" s="1139"/>
      <c r="H19" s="1139"/>
      <c r="I19" s="1136"/>
      <c r="J19" s="1135"/>
      <c r="K19" s="1135"/>
      <c r="L19" s="1135"/>
      <c r="M19" s="690"/>
      <c r="N19" s="594"/>
      <c r="P19" s="690"/>
      <c r="Q19" s="688"/>
    </row>
    <row r="20" spans="2:17" ht="38.25" customHeight="1" x14ac:dyDescent="0.25">
      <c r="B20" s="681"/>
      <c r="C20" s="682"/>
      <c r="D20" s="683" t="s">
        <v>112</v>
      </c>
      <c r="E20" s="683"/>
      <c r="F20" s="684"/>
      <c r="G20" s="685">
        <f>+G18/G18</f>
        <v>1</v>
      </c>
      <c r="H20" s="685">
        <f>+H18/$G$18</f>
        <v>1.1268806101868414</v>
      </c>
      <c r="I20" s="685">
        <f>+I18/$G$18</f>
        <v>0.13514170420091429</v>
      </c>
      <c r="J20" s="685">
        <f>+J18/$G$18</f>
        <v>0.15932633106119745</v>
      </c>
      <c r="K20" s="685">
        <f>+K18/$G$18</f>
        <v>0.16758738663537837</v>
      </c>
      <c r="L20" s="685">
        <f>+L18/$G$18</f>
        <v>0.13380245838174451</v>
      </c>
      <c r="M20" s="17"/>
    </row>
    <row r="21" spans="2:17" x14ac:dyDescent="0.25">
      <c r="L21" s="20"/>
    </row>
    <row r="22" spans="2:17" ht="13.8" x14ac:dyDescent="0.25">
      <c r="H22" s="63">
        <f>+H18-I18+K18-J18</f>
        <v>1300732.0299999998</v>
      </c>
      <c r="I22" s="63"/>
      <c r="J22" s="63"/>
      <c r="K22" s="20">
        <f>+G12-H12+I12+J12-K12</f>
        <v>-1.0000000038417056E-2</v>
      </c>
    </row>
    <row r="23" spans="2:17" ht="13.8" x14ac:dyDescent="0.25">
      <c r="H23" s="63">
        <f>+G18-H22</f>
        <v>5.0000000512227416E-2</v>
      </c>
      <c r="I23" s="63"/>
      <c r="J23" s="63"/>
      <c r="K23" s="20">
        <f>+G13-H13+I13+J13-K13</f>
        <v>5.0000000082945917E-2</v>
      </c>
    </row>
    <row r="24" spans="2:17" x14ac:dyDescent="0.25">
      <c r="K24" s="20">
        <f>+G14-H14+I14+J14-K14</f>
        <v>0</v>
      </c>
    </row>
    <row r="25" spans="2:17" x14ac:dyDescent="0.25">
      <c r="K25" s="20">
        <f>+G15-H15+I15+J15-K15</f>
        <v>4.0000000415602699E-2</v>
      </c>
    </row>
  </sheetData>
  <mergeCells count="7">
    <mergeCell ref="B4:L4"/>
    <mergeCell ref="K9:L9"/>
    <mergeCell ref="B9:B10"/>
    <mergeCell ref="C9:F10"/>
    <mergeCell ref="G9:G10"/>
    <mergeCell ref="H9:H10"/>
    <mergeCell ref="I9:J9"/>
  </mergeCells>
  <printOptions horizontalCentered="1" verticalCentered="1"/>
  <pageMargins left="0" right="0" top="0" bottom="0" header="0" footer="0"/>
  <pageSetup paperSize="9" scale="75" fitToWidth="0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18BB-1775-4B7A-9803-BD13A44D6B9F}">
  <sheetPr codeName="Hoja6"/>
  <dimension ref="B1:Z448"/>
  <sheetViews>
    <sheetView showGridLines="0" tabSelected="1" view="pageBreakPreview" topLeftCell="H432" zoomScale="80" zoomScaleNormal="100" zoomScaleSheetLayoutView="80" workbookViewId="0">
      <selection activeCell="L42" sqref="L1:L1048576"/>
    </sheetView>
  </sheetViews>
  <sheetFormatPr baseColWidth="10" defaultColWidth="11.44140625" defaultRowHeight="13.8" x14ac:dyDescent="0.25"/>
  <cols>
    <col min="1" max="1" width="4.44140625" style="414" customWidth="1"/>
    <col min="2" max="2" width="7.6640625" style="414" customWidth="1"/>
    <col min="3" max="3" width="3.88671875" style="414" hidden="1" customWidth="1"/>
    <col min="4" max="4" width="12.88671875" style="414" customWidth="1"/>
    <col min="5" max="5" width="3.109375" style="415" customWidth="1"/>
    <col min="6" max="6" width="79.6640625" style="414" customWidth="1"/>
    <col min="7" max="7" width="8.6640625" style="414" customWidth="1"/>
    <col min="8" max="9" width="13.5546875" style="414" customWidth="1"/>
    <col min="10" max="10" width="13.88671875" style="416" customWidth="1"/>
    <col min="11" max="11" width="17.44140625" style="417" customWidth="1"/>
    <col min="12" max="12" width="13.88671875" style="414" customWidth="1"/>
    <col min="13" max="13" width="17.44140625" style="414" customWidth="1"/>
    <col min="14" max="14" width="13.88671875" style="414" hidden="1" customWidth="1"/>
    <col min="15" max="15" width="17.44140625" style="414" hidden="1" customWidth="1"/>
    <col min="16" max="16" width="13.88671875" style="414" hidden="1" customWidth="1"/>
    <col min="17" max="17" width="17.44140625" style="414" hidden="1" customWidth="1"/>
    <col min="18" max="18" width="13.88671875" style="414" hidden="1" customWidth="1"/>
    <col min="19" max="19" width="17.44140625" style="414" hidden="1" customWidth="1"/>
    <col min="20" max="20" width="13.88671875" style="414" hidden="1" customWidth="1"/>
    <col min="21" max="21" width="17.44140625" style="414" hidden="1" customWidth="1"/>
    <col min="22" max="22" width="51.33203125" style="414" hidden="1" customWidth="1"/>
    <col min="23" max="23" width="12.88671875" style="414" customWidth="1"/>
    <col min="24" max="25" width="11.44140625" style="414"/>
    <col min="26" max="26" width="23.109375" style="414" bestFit="1" customWidth="1"/>
    <col min="27" max="16384" width="11.44140625" style="414"/>
  </cols>
  <sheetData>
    <row r="1" spans="2:22" hidden="1" x14ac:dyDescent="0.25"/>
    <row r="2" spans="2:22" ht="15" hidden="1" customHeight="1" x14ac:dyDescent="0.25"/>
    <row r="3" spans="2:22" ht="15" hidden="1" customHeight="1" x14ac:dyDescent="0.25"/>
    <row r="4" spans="2:22" ht="15" hidden="1" customHeight="1" x14ac:dyDescent="0.25"/>
    <row r="5" spans="2:22" hidden="1" x14ac:dyDescent="0.25"/>
    <row r="6" spans="2:22" ht="20.25" customHeight="1" x14ac:dyDescent="0.25">
      <c r="B6" s="1230" t="s">
        <v>1027</v>
      </c>
      <c r="C6" s="1230"/>
      <c r="D6" s="1230"/>
      <c r="E6" s="1230"/>
      <c r="F6" s="1230"/>
      <c r="G6" s="1230"/>
      <c r="H6" s="1230"/>
      <c r="I6" s="1230"/>
      <c r="J6" s="1230"/>
      <c r="K6" s="1230"/>
      <c r="L6" s="1230"/>
      <c r="M6" s="1230"/>
      <c r="N6" s="1230"/>
      <c r="O6" s="1230"/>
      <c r="P6" s="1230"/>
      <c r="Q6" s="1230"/>
      <c r="R6" s="1230"/>
      <c r="S6" s="1230"/>
      <c r="T6" s="1230"/>
      <c r="U6" s="1230"/>
      <c r="V6" s="1230"/>
    </row>
    <row r="7" spans="2:22" ht="17.25" customHeight="1" x14ac:dyDescent="0.25">
      <c r="B7" s="1230"/>
      <c r="C7" s="1230"/>
      <c r="D7" s="1230"/>
      <c r="E7" s="1230"/>
      <c r="F7" s="1230"/>
      <c r="G7" s="1230"/>
      <c r="H7" s="1230"/>
      <c r="I7" s="1230"/>
      <c r="J7" s="1230"/>
      <c r="K7" s="1230"/>
      <c r="L7" s="1230"/>
      <c r="M7" s="1230"/>
      <c r="N7" s="1230"/>
      <c r="O7" s="1230"/>
      <c r="P7" s="1230"/>
      <c r="Q7" s="1230"/>
      <c r="R7" s="1230"/>
      <c r="S7" s="1230"/>
      <c r="T7" s="1230"/>
      <c r="U7" s="1230"/>
      <c r="V7" s="1230"/>
    </row>
    <row r="8" spans="2:22" s="418" customFormat="1" ht="41.25" customHeight="1" x14ac:dyDescent="0.25">
      <c r="B8" s="419" t="s">
        <v>111</v>
      </c>
      <c r="C8" s="420"/>
      <c r="D8" s="420"/>
      <c r="E8" s="421" t="s">
        <v>1</v>
      </c>
      <c r="F8" s="1248" t="s">
        <v>298</v>
      </c>
      <c r="G8" s="1249"/>
      <c r="H8" s="1249"/>
      <c r="I8" s="1249"/>
      <c r="J8" s="1249"/>
      <c r="K8" s="1249"/>
      <c r="L8" s="1249"/>
      <c r="M8" s="1249"/>
      <c r="N8" s="1249"/>
      <c r="O8" s="1249"/>
      <c r="P8" s="1249"/>
      <c r="Q8" s="1249"/>
      <c r="R8" s="1249"/>
      <c r="S8" s="1249"/>
      <c r="T8" s="1249"/>
      <c r="U8" s="1249"/>
      <c r="V8" s="1249"/>
    </row>
    <row r="9" spans="2:22" s="418" customFormat="1" ht="24" customHeight="1" x14ac:dyDescent="0.25">
      <c r="B9" s="419" t="s">
        <v>103</v>
      </c>
      <c r="C9" s="25"/>
      <c r="D9" s="25"/>
      <c r="E9" s="421" t="s">
        <v>1</v>
      </c>
      <c r="F9" s="422" t="s">
        <v>299</v>
      </c>
      <c r="G9" s="420"/>
      <c r="H9" s="420"/>
      <c r="I9" s="420"/>
      <c r="J9" s="420"/>
      <c r="K9" s="420"/>
      <c r="L9" s="423"/>
      <c r="M9" s="423"/>
      <c r="N9" s="423"/>
      <c r="O9" s="423"/>
      <c r="P9" s="423"/>
      <c r="Q9" s="423"/>
      <c r="R9" s="420"/>
      <c r="S9" s="420"/>
      <c r="T9" s="420"/>
      <c r="U9" s="420"/>
      <c r="V9" s="420"/>
    </row>
    <row r="10" spans="2:22" s="418" customFormat="1" ht="24" customHeight="1" x14ac:dyDescent="0.25">
      <c r="B10" s="419" t="s">
        <v>2</v>
      </c>
      <c r="C10" s="424"/>
      <c r="D10" s="424"/>
      <c r="E10" s="425" t="s">
        <v>1</v>
      </c>
      <c r="F10" s="419" t="s">
        <v>85</v>
      </c>
      <c r="G10" s="426"/>
      <c r="H10" s="427"/>
      <c r="I10" s="427"/>
      <c r="J10" s="428"/>
      <c r="K10" s="428"/>
      <c r="L10" s="428"/>
      <c r="M10" s="428"/>
      <c r="N10" s="428"/>
      <c r="O10" s="428"/>
      <c r="P10" s="428"/>
      <c r="Q10" s="428"/>
      <c r="R10" s="420"/>
      <c r="S10" s="420"/>
      <c r="T10" s="420"/>
      <c r="U10" s="420"/>
      <c r="V10" s="420"/>
    </row>
    <row r="11" spans="2:22" ht="8.25" customHeight="1" x14ac:dyDescent="0.25">
      <c r="B11" s="430"/>
      <c r="C11" s="430"/>
      <c r="D11" s="430"/>
      <c r="E11" s="431"/>
      <c r="F11" s="430"/>
      <c r="G11" s="430"/>
      <c r="H11" s="430"/>
      <c r="I11" s="430"/>
      <c r="J11" s="432"/>
      <c r="K11" s="433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</row>
    <row r="12" spans="2:22" ht="20.25" customHeight="1" x14ac:dyDescent="0.25">
      <c r="B12" s="1235" t="s">
        <v>3</v>
      </c>
      <c r="C12" s="1235" t="s">
        <v>4</v>
      </c>
      <c r="D12" s="1235"/>
      <c r="E12" s="1235"/>
      <c r="F12" s="1235"/>
      <c r="G12" s="1231" t="s">
        <v>5</v>
      </c>
      <c r="H12" s="1232" t="s">
        <v>108</v>
      </c>
      <c r="I12" s="1233" t="s">
        <v>293</v>
      </c>
      <c r="J12" s="1238" t="s">
        <v>104</v>
      </c>
      <c r="K12" s="1240"/>
      <c r="L12" s="1236" t="s">
        <v>302</v>
      </c>
      <c r="M12" s="1237"/>
      <c r="N12" s="1238" t="s">
        <v>433</v>
      </c>
      <c r="O12" s="1239"/>
      <c r="P12" s="1239"/>
      <c r="Q12" s="1240"/>
      <c r="R12" s="1238" t="s">
        <v>294</v>
      </c>
      <c r="S12" s="1239"/>
      <c r="T12" s="1239"/>
      <c r="U12" s="1240"/>
      <c r="V12" s="1234" t="s">
        <v>287</v>
      </c>
    </row>
    <row r="13" spans="2:22" ht="22.5" customHeight="1" x14ac:dyDescent="0.25">
      <c r="B13" s="1235"/>
      <c r="C13" s="1235"/>
      <c r="D13" s="1235"/>
      <c r="E13" s="1235"/>
      <c r="F13" s="1235"/>
      <c r="G13" s="1231"/>
      <c r="H13" s="1232"/>
      <c r="I13" s="1233"/>
      <c r="J13" s="1245" t="s">
        <v>6</v>
      </c>
      <c r="K13" s="1234" t="s">
        <v>7</v>
      </c>
      <c r="L13" s="1250" t="s">
        <v>6</v>
      </c>
      <c r="M13" s="1251" t="s">
        <v>7</v>
      </c>
      <c r="N13" s="1238" t="s">
        <v>114</v>
      </c>
      <c r="O13" s="1240"/>
      <c r="P13" s="1241" t="s">
        <v>434</v>
      </c>
      <c r="Q13" s="1242"/>
      <c r="R13" s="1243" t="s">
        <v>435</v>
      </c>
      <c r="S13" s="1244"/>
      <c r="T13" s="1243" t="s">
        <v>295</v>
      </c>
      <c r="U13" s="1244"/>
      <c r="V13" s="1234"/>
    </row>
    <row r="14" spans="2:22" ht="20.25" customHeight="1" x14ac:dyDescent="0.25">
      <c r="B14" s="1235"/>
      <c r="C14" s="1235"/>
      <c r="D14" s="1235"/>
      <c r="E14" s="1235"/>
      <c r="F14" s="1235"/>
      <c r="G14" s="1231"/>
      <c r="H14" s="1232"/>
      <c r="I14" s="1233"/>
      <c r="J14" s="1245"/>
      <c r="K14" s="1234"/>
      <c r="L14" s="1250"/>
      <c r="M14" s="1251"/>
      <c r="N14" s="720" t="s">
        <v>6</v>
      </c>
      <c r="O14" s="719" t="s">
        <v>7</v>
      </c>
      <c r="P14" s="720" t="s">
        <v>6</v>
      </c>
      <c r="Q14" s="719" t="s">
        <v>7</v>
      </c>
      <c r="R14" s="720" t="s">
        <v>6</v>
      </c>
      <c r="S14" s="719" t="s">
        <v>7</v>
      </c>
      <c r="T14" s="720" t="s">
        <v>6</v>
      </c>
      <c r="U14" s="719" t="s">
        <v>7</v>
      </c>
      <c r="V14" s="1234"/>
    </row>
    <row r="15" spans="2:22" ht="20.25" customHeight="1" x14ac:dyDescent="0.25">
      <c r="B15" s="1235"/>
      <c r="C15" s="1235"/>
      <c r="D15" s="1235"/>
      <c r="E15" s="1235"/>
      <c r="F15" s="1235"/>
      <c r="G15" s="1231"/>
      <c r="H15" s="1172" t="s">
        <v>9</v>
      </c>
      <c r="I15" s="718" t="s">
        <v>9</v>
      </c>
      <c r="J15" s="718" t="s">
        <v>8</v>
      </c>
      <c r="K15" s="718" t="s">
        <v>10</v>
      </c>
      <c r="L15" s="1172" t="s">
        <v>8</v>
      </c>
      <c r="M15" s="1172" t="s">
        <v>10</v>
      </c>
      <c r="N15" s="718" t="s">
        <v>8</v>
      </c>
      <c r="O15" s="718" t="s">
        <v>10</v>
      </c>
      <c r="P15" s="718" t="s">
        <v>8</v>
      </c>
      <c r="Q15" s="718" t="s">
        <v>10</v>
      </c>
      <c r="R15" s="718" t="s">
        <v>8</v>
      </c>
      <c r="S15" s="718" t="s">
        <v>10</v>
      </c>
      <c r="T15" s="718" t="s">
        <v>8</v>
      </c>
      <c r="U15" s="718" t="s">
        <v>10</v>
      </c>
      <c r="V15" s="1234"/>
    </row>
    <row r="16" spans="2:22" ht="21" customHeight="1" x14ac:dyDescent="0.25">
      <c r="B16" s="437" t="s">
        <v>86</v>
      </c>
      <c r="C16" s="479"/>
      <c r="D16" s="489" t="s">
        <v>99</v>
      </c>
      <c r="E16" s="490"/>
      <c r="F16" s="491"/>
      <c r="G16" s="529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</row>
    <row r="17" spans="2:26" ht="21" customHeight="1" x14ac:dyDescent="0.25">
      <c r="B17" s="552">
        <v>1</v>
      </c>
      <c r="C17" s="480">
        <v>3</v>
      </c>
      <c r="D17" s="492" t="s">
        <v>519</v>
      </c>
      <c r="E17" s="493"/>
      <c r="F17" s="494"/>
      <c r="G17" s="530"/>
      <c r="H17" s="553"/>
      <c r="I17" s="553"/>
      <c r="J17" s="553"/>
      <c r="K17" s="553"/>
      <c r="L17" s="553"/>
      <c r="M17" s="553"/>
      <c r="N17" s="657"/>
      <c r="O17" s="553"/>
      <c r="P17" s="553"/>
      <c r="Q17" s="553"/>
      <c r="R17" s="553"/>
      <c r="S17" s="553"/>
      <c r="T17" s="553"/>
      <c r="U17" s="553"/>
      <c r="V17" s="553"/>
      <c r="Y17" s="414">
        <v>1</v>
      </c>
    </row>
    <row r="18" spans="2:26" ht="21" customHeight="1" x14ac:dyDescent="0.25">
      <c r="B18" s="554">
        <v>1.01</v>
      </c>
      <c r="C18" s="480">
        <f>+C17+1</f>
        <v>4</v>
      </c>
      <c r="D18" s="495" t="s">
        <v>518</v>
      </c>
      <c r="E18" s="496"/>
      <c r="F18" s="497"/>
      <c r="G18" s="530" t="s">
        <v>11</v>
      </c>
      <c r="H18" s="553">
        <v>105</v>
      </c>
      <c r="I18" s="553"/>
      <c r="J18" s="553">
        <v>11</v>
      </c>
      <c r="K18" s="553">
        <f t="shared" ref="K18:K21" si="0">+ROUND($H18*J18,2)</f>
        <v>1155</v>
      </c>
      <c r="L18" s="553">
        <f>+[191]Metrados!E19</f>
        <v>7</v>
      </c>
      <c r="M18" s="553">
        <f>+ROUND($H18*L18,2)</f>
        <v>735</v>
      </c>
      <c r="N18" s="553">
        <f>+IF($L18-$J18&gt;=0,$L18-$J18,0)</f>
        <v>0</v>
      </c>
      <c r="O18" s="553">
        <f t="shared" ref="O18:O21" si="1">+ROUND($H18*N18,2)</f>
        <v>0</v>
      </c>
      <c r="P18" s="553"/>
      <c r="Q18" s="553">
        <f>+ROUND($H18*P18,2)</f>
        <v>0</v>
      </c>
      <c r="R18" s="553">
        <f>+IF($L18-$J18&lt;=0,-$L18+$J18,0)</f>
        <v>4</v>
      </c>
      <c r="S18" s="553">
        <f t="shared" ref="S18:S21" si="2">+ROUND($H18*R18,2)</f>
        <v>420</v>
      </c>
      <c r="T18" s="553">
        <f>+R18</f>
        <v>4</v>
      </c>
      <c r="U18" s="553">
        <f t="shared" ref="U18:U21" si="3">+ROUND($H18*T18,2)</f>
        <v>420</v>
      </c>
      <c r="V18" s="553" t="s">
        <v>828</v>
      </c>
      <c r="Y18" s="1146"/>
      <c r="Z18" s="1147">
        <v>0</v>
      </c>
    </row>
    <row r="19" spans="2:26" ht="21" customHeight="1" x14ac:dyDescent="0.25">
      <c r="B19" s="554">
        <v>1.02</v>
      </c>
      <c r="C19" s="480">
        <f>+C18+1</f>
        <v>5</v>
      </c>
      <c r="D19" s="495" t="s">
        <v>517</v>
      </c>
      <c r="E19" s="496"/>
      <c r="F19" s="497"/>
      <c r="G19" s="530" t="s">
        <v>11</v>
      </c>
      <c r="H19" s="553">
        <v>178</v>
      </c>
      <c r="I19" s="553"/>
      <c r="J19" s="553">
        <v>2</v>
      </c>
      <c r="K19" s="553">
        <f t="shared" si="0"/>
        <v>356</v>
      </c>
      <c r="L19" s="553">
        <f>+[191]Metrados!E20</f>
        <v>1</v>
      </c>
      <c r="M19" s="553">
        <f>+ROUND($H19*L19,2)</f>
        <v>178</v>
      </c>
      <c r="N19" s="553">
        <f>+IF($L19-$J19&gt;=0,$L19-$J19,0)</f>
        <v>0</v>
      </c>
      <c r="O19" s="553">
        <f t="shared" si="1"/>
        <v>0</v>
      </c>
      <c r="P19" s="553"/>
      <c r="Q19" s="553">
        <f>+ROUND($H19*P19,2)</f>
        <v>0</v>
      </c>
      <c r="R19" s="553">
        <f>+IF($L19-$J19&lt;=0,-$L19+$J19,0)</f>
        <v>1</v>
      </c>
      <c r="S19" s="553">
        <f t="shared" si="2"/>
        <v>178</v>
      </c>
      <c r="T19" s="553">
        <f t="shared" ref="T19:T20" si="4">+R19</f>
        <v>1</v>
      </c>
      <c r="U19" s="553">
        <f t="shared" si="3"/>
        <v>178</v>
      </c>
      <c r="V19" s="553" t="s">
        <v>828</v>
      </c>
      <c r="Y19" s="1146"/>
      <c r="Z19" s="1147">
        <v>0</v>
      </c>
    </row>
    <row r="20" spans="2:26" ht="21" customHeight="1" x14ac:dyDescent="0.25">
      <c r="B20" s="554">
        <v>1.03</v>
      </c>
      <c r="C20" s="480">
        <f>+C19+1</f>
        <v>6</v>
      </c>
      <c r="D20" s="495" t="s">
        <v>516</v>
      </c>
      <c r="E20" s="496"/>
      <c r="F20" s="497"/>
      <c r="G20" s="530" t="s">
        <v>11</v>
      </c>
      <c r="H20" s="553">
        <v>205</v>
      </c>
      <c r="I20" s="553"/>
      <c r="J20" s="553">
        <v>1</v>
      </c>
      <c r="K20" s="553">
        <f t="shared" si="0"/>
        <v>205</v>
      </c>
      <c r="L20" s="553">
        <f>+[191]Metrados!E21</f>
        <v>13</v>
      </c>
      <c r="M20" s="553">
        <f>+ROUND($H20*L20,2)</f>
        <v>2665</v>
      </c>
      <c r="N20" s="553">
        <f>+IF($L20-$J20&gt;=0,$L20-$J20,0)</f>
        <v>12</v>
      </c>
      <c r="O20" s="553">
        <f t="shared" si="1"/>
        <v>2460</v>
      </c>
      <c r="P20" s="553"/>
      <c r="Q20" s="553">
        <f>+ROUND($H20*P20,2)</f>
        <v>0</v>
      </c>
      <c r="R20" s="553">
        <f>+IF($L20-$J20&lt;=0,-$L20+$J20,0)</f>
        <v>0</v>
      </c>
      <c r="S20" s="553">
        <f t="shared" si="2"/>
        <v>0</v>
      </c>
      <c r="T20" s="553">
        <f t="shared" si="4"/>
        <v>0</v>
      </c>
      <c r="U20" s="553">
        <f t="shared" si="3"/>
        <v>0</v>
      </c>
      <c r="V20" s="553" t="s">
        <v>828</v>
      </c>
      <c r="Y20" s="1146"/>
      <c r="Z20" s="1147">
        <v>13</v>
      </c>
    </row>
    <row r="21" spans="2:26" ht="21" customHeight="1" x14ac:dyDescent="0.25">
      <c r="B21" s="554">
        <v>1.04</v>
      </c>
      <c r="C21" s="480">
        <f>+C20+1</f>
        <v>7</v>
      </c>
      <c r="D21" s="495" t="s">
        <v>348</v>
      </c>
      <c r="E21" s="496"/>
      <c r="F21" s="497"/>
      <c r="G21" s="530" t="s">
        <v>11</v>
      </c>
      <c r="H21" s="553">
        <v>27.35</v>
      </c>
      <c r="I21" s="553"/>
      <c r="J21" s="553">
        <v>9</v>
      </c>
      <c r="K21" s="553">
        <f t="shared" si="0"/>
        <v>246.15</v>
      </c>
      <c r="L21" s="553">
        <f>+[191]Metrados!E22</f>
        <v>0</v>
      </c>
      <c r="M21" s="553">
        <f>+ROUND($H21*L21,2)</f>
        <v>0</v>
      </c>
      <c r="N21" s="553">
        <f>+IF($L21-$J21&gt;=0,$L21-$J21,0)</f>
        <v>0</v>
      </c>
      <c r="O21" s="553">
        <f t="shared" si="1"/>
        <v>0</v>
      </c>
      <c r="P21" s="553"/>
      <c r="Q21" s="553">
        <f>+ROUND($H21*P21,2)</f>
        <v>0</v>
      </c>
      <c r="R21" s="553">
        <f>+IF($L21-$J21&lt;=0,-$L21+$J21,0)</f>
        <v>9</v>
      </c>
      <c r="S21" s="553">
        <f t="shared" si="2"/>
        <v>246.15</v>
      </c>
      <c r="T21" s="553"/>
      <c r="U21" s="553">
        <f t="shared" si="3"/>
        <v>0</v>
      </c>
      <c r="V21" s="553"/>
      <c r="Y21" s="1146"/>
      <c r="Z21" s="1147">
        <v>0</v>
      </c>
    </row>
    <row r="22" spans="2:26" ht="21" customHeight="1" x14ac:dyDescent="0.25">
      <c r="B22" s="448"/>
      <c r="C22" s="480" t="e">
        <f>+#REF!+1</f>
        <v>#REF!</v>
      </c>
      <c r="D22" s="542"/>
      <c r="E22" s="571"/>
      <c r="F22" s="544" t="str">
        <f>+"SUB-TOTAL   "&amp;B17&amp;":  "</f>
        <v xml:space="preserve">SUB-TOTAL   1:  </v>
      </c>
      <c r="G22" s="567"/>
      <c r="H22" s="540"/>
      <c r="I22" s="540"/>
      <c r="J22" s="540"/>
      <c r="K22" s="716">
        <f>+SUM(K18:K21)</f>
        <v>1962.15</v>
      </c>
      <c r="L22" s="540"/>
      <c r="M22" s="716">
        <f>+SUM(M18:M21)</f>
        <v>3578</v>
      </c>
      <c r="N22" s="716"/>
      <c r="O22" s="716">
        <f>+SUM(O18:O21)</f>
        <v>2460</v>
      </c>
      <c r="P22" s="716"/>
      <c r="Q22" s="716">
        <f>+SUM(Q18:Q21)</f>
        <v>0</v>
      </c>
      <c r="R22" s="589"/>
      <c r="S22" s="716">
        <f>+SUM(S18:S21)</f>
        <v>844.15</v>
      </c>
      <c r="T22" s="589"/>
      <c r="U22" s="716">
        <f>+SUM(U18:U21)</f>
        <v>598</v>
      </c>
      <c r="V22" s="589"/>
      <c r="W22" s="660">
        <f>+K22-M22+O22+Q22-S22</f>
        <v>0</v>
      </c>
      <c r="Y22" s="1146"/>
      <c r="Z22" s="1147">
        <v>0</v>
      </c>
    </row>
    <row r="23" spans="2:26" ht="21" customHeight="1" x14ac:dyDescent="0.25">
      <c r="B23" s="452">
        <v>2</v>
      </c>
      <c r="C23" s="481" t="e">
        <f>+C22+1</f>
        <v>#REF!</v>
      </c>
      <c r="D23" s="568" t="s">
        <v>515</v>
      </c>
      <c r="E23" s="569"/>
      <c r="F23" s="570"/>
      <c r="G23" s="549"/>
      <c r="H23" s="438"/>
      <c r="I23" s="438"/>
      <c r="J23" s="438"/>
      <c r="K23" s="454"/>
      <c r="L23" s="756"/>
      <c r="M23" s="454"/>
      <c r="N23" s="454"/>
      <c r="O23" s="454"/>
      <c r="P23" s="454"/>
      <c r="Q23" s="454"/>
      <c r="R23" s="438"/>
      <c r="S23" s="454"/>
      <c r="T23" s="438"/>
      <c r="U23" s="454"/>
      <c r="V23" s="438"/>
      <c r="Y23" s="1146"/>
      <c r="Z23" s="1147">
        <v>0</v>
      </c>
    </row>
    <row r="24" spans="2:26" ht="21" customHeight="1" x14ac:dyDescent="0.25">
      <c r="B24" s="455">
        <v>2.0099999999999998</v>
      </c>
      <c r="C24" s="480">
        <f>+C21+1</f>
        <v>8</v>
      </c>
      <c r="D24" s="495" t="s">
        <v>514</v>
      </c>
      <c r="E24" s="496"/>
      <c r="F24" s="497"/>
      <c r="G24" s="530" t="s">
        <v>11</v>
      </c>
      <c r="H24" s="553">
        <v>837.45</v>
      </c>
      <c r="I24" s="579"/>
      <c r="J24" s="553">
        <v>15</v>
      </c>
      <c r="K24" s="558">
        <f t="shared" ref="K24:K28" si="5">+ROUND($H24*J24,2)</f>
        <v>12561.75</v>
      </c>
      <c r="L24" s="553">
        <f>+[191]Metrados!E25</f>
        <v>3</v>
      </c>
      <c r="M24" s="558">
        <f>+ROUND($H24*L24,2)</f>
        <v>2512.35</v>
      </c>
      <c r="N24" s="558">
        <f>+IF($L24-$J24&gt;=0,$L24-$J24,0)</f>
        <v>0</v>
      </c>
      <c r="O24" s="717">
        <f t="shared" ref="O24:O28" si="6">+ROUND($H24*N24,2)</f>
        <v>0</v>
      </c>
      <c r="P24" s="717"/>
      <c r="Q24" s="558">
        <f>+ROUND($H24*P24,2)</f>
        <v>0</v>
      </c>
      <c r="R24" s="579">
        <f>+IF($L24-$J24&lt;=0,-$L24+$J24,0)</f>
        <v>12</v>
      </c>
      <c r="S24" s="558">
        <f t="shared" ref="S24:S27" si="7">+ROUND($H24*R24,2)</f>
        <v>10049.4</v>
      </c>
      <c r="T24" s="553">
        <f>+R24</f>
        <v>12</v>
      </c>
      <c r="U24" s="717">
        <f t="shared" ref="U24:U28" si="8">+ROUND($H24*T24,2)</f>
        <v>10049.4</v>
      </c>
      <c r="V24" s="553" t="s">
        <v>829</v>
      </c>
      <c r="Y24" s="1146"/>
      <c r="Z24" s="1147">
        <v>0</v>
      </c>
    </row>
    <row r="25" spans="2:26" ht="21" customHeight="1" x14ac:dyDescent="0.25">
      <c r="B25" s="455">
        <v>2.0199999999999996</v>
      </c>
      <c r="C25" s="480" t="e">
        <f>+#REF!+1</f>
        <v>#REF!</v>
      </c>
      <c r="D25" s="495" t="s">
        <v>513</v>
      </c>
      <c r="E25" s="496"/>
      <c r="F25" s="497"/>
      <c r="G25" s="530" t="s">
        <v>11</v>
      </c>
      <c r="H25" s="553">
        <v>923.47</v>
      </c>
      <c r="I25" s="579"/>
      <c r="J25" s="553">
        <v>6</v>
      </c>
      <c r="K25" s="558">
        <f t="shared" si="5"/>
        <v>5540.82</v>
      </c>
      <c r="L25" s="553">
        <f>+[191]Metrados!E26</f>
        <v>6</v>
      </c>
      <c r="M25" s="558">
        <f>+ROUND($H25*L25,2)</f>
        <v>5540.82</v>
      </c>
      <c r="N25" s="558">
        <f>+IF($L25-$J25&gt;=0,$L25-$J25,0)</f>
        <v>0</v>
      </c>
      <c r="O25" s="717">
        <f t="shared" si="6"/>
        <v>0</v>
      </c>
      <c r="P25" s="717"/>
      <c r="Q25" s="558">
        <f>+ROUND($H25*P25,2)</f>
        <v>0</v>
      </c>
      <c r="R25" s="579">
        <f>+IF($L25-$J25&lt;=0,-$L25+$J25,0)</f>
        <v>0</v>
      </c>
      <c r="S25" s="558">
        <f t="shared" si="7"/>
        <v>0</v>
      </c>
      <c r="T25" s="553"/>
      <c r="U25" s="717">
        <f t="shared" si="8"/>
        <v>0</v>
      </c>
      <c r="V25" s="579"/>
      <c r="Y25" s="1146"/>
      <c r="Z25" s="1147">
        <v>0</v>
      </c>
    </row>
    <row r="26" spans="2:26" ht="21" customHeight="1" x14ac:dyDescent="0.25">
      <c r="B26" s="455">
        <v>2.0299999999999994</v>
      </c>
      <c r="C26" s="480" t="e">
        <f>+#REF!+1</f>
        <v>#REF!</v>
      </c>
      <c r="D26" s="495" t="s">
        <v>512</v>
      </c>
      <c r="E26" s="496"/>
      <c r="F26" s="497"/>
      <c r="G26" s="530" t="s">
        <v>11</v>
      </c>
      <c r="H26" s="553">
        <v>1085.1400000000001</v>
      </c>
      <c r="I26" s="579"/>
      <c r="J26" s="553">
        <v>118</v>
      </c>
      <c r="K26" s="558">
        <f t="shared" si="5"/>
        <v>128046.52</v>
      </c>
      <c r="L26" s="553">
        <f>+[191]Metrados!E27</f>
        <v>96</v>
      </c>
      <c r="M26" s="558">
        <f>+ROUND($H26*L26,2)</f>
        <v>104173.44</v>
      </c>
      <c r="N26" s="558">
        <f>+IF($L26-$J26&gt;=0,$L26-$J26,0)</f>
        <v>0</v>
      </c>
      <c r="O26" s="717">
        <f t="shared" si="6"/>
        <v>0</v>
      </c>
      <c r="P26" s="717"/>
      <c r="Q26" s="558">
        <f>+ROUND($H26*P26,2)</f>
        <v>0</v>
      </c>
      <c r="R26" s="579">
        <f>+IF($L26-$J26&lt;=0,-$L26+$J26,0)</f>
        <v>22</v>
      </c>
      <c r="S26" s="558">
        <f t="shared" si="7"/>
        <v>23873.08</v>
      </c>
      <c r="T26" s="553">
        <f>+R26</f>
        <v>22</v>
      </c>
      <c r="U26" s="717">
        <f t="shared" si="8"/>
        <v>23873.08</v>
      </c>
      <c r="V26" s="553" t="s">
        <v>830</v>
      </c>
      <c r="Y26" s="1146"/>
      <c r="Z26" s="1147">
        <v>0</v>
      </c>
    </row>
    <row r="27" spans="2:26" ht="21" customHeight="1" x14ac:dyDescent="0.25">
      <c r="B27" s="554">
        <v>2.0399999999999991</v>
      </c>
      <c r="C27" s="480" t="e">
        <f>+C22+1</f>
        <v>#REF!</v>
      </c>
      <c r="D27" s="495" t="s">
        <v>511</v>
      </c>
      <c r="E27" s="496"/>
      <c r="F27" s="497"/>
      <c r="G27" s="530" t="s">
        <v>11</v>
      </c>
      <c r="H27" s="553">
        <v>1207.94</v>
      </c>
      <c r="I27" s="579"/>
      <c r="J27" s="553">
        <v>32</v>
      </c>
      <c r="K27" s="558">
        <f t="shared" si="5"/>
        <v>38654.080000000002</v>
      </c>
      <c r="L27" s="553">
        <f>+[191]Metrados!E28</f>
        <v>60</v>
      </c>
      <c r="M27" s="558">
        <f>+ROUND($H27*L27,2)</f>
        <v>72476.399999999994</v>
      </c>
      <c r="N27" s="558">
        <f>+IF($L27-$J27&gt;=0,$L27-$J27,0)</f>
        <v>28</v>
      </c>
      <c r="O27" s="717">
        <f t="shared" si="6"/>
        <v>33822.32</v>
      </c>
      <c r="P27" s="717"/>
      <c r="Q27" s="558">
        <f>+ROUND($H27*P27,2)</f>
        <v>0</v>
      </c>
      <c r="R27" s="579">
        <f>+IF($L27-$J27&lt;=0,-$L27+$J27,0)</f>
        <v>0</v>
      </c>
      <c r="S27" s="558">
        <f t="shared" si="7"/>
        <v>0</v>
      </c>
      <c r="T27" s="553"/>
      <c r="U27" s="717">
        <f t="shared" si="8"/>
        <v>0</v>
      </c>
      <c r="V27" s="579"/>
      <c r="Y27" s="1146"/>
      <c r="Z27" s="1147">
        <v>0</v>
      </c>
    </row>
    <row r="28" spans="2:26" s="547" customFormat="1" ht="20.399999999999999" hidden="1" customHeight="1" x14ac:dyDescent="0.25">
      <c r="B28" s="617">
        <f>+B27+0.01</f>
        <v>2.0499999999999989</v>
      </c>
      <c r="C28" s="763" t="e">
        <f>+C27+1</f>
        <v>#REF!</v>
      </c>
      <c r="D28" s="516" t="s">
        <v>766</v>
      </c>
      <c r="E28" s="545"/>
      <c r="F28" s="546"/>
      <c r="G28" s="564" t="s">
        <v>11</v>
      </c>
      <c r="H28" s="633"/>
      <c r="I28" s="560">
        <v>0</v>
      </c>
      <c r="J28" s="560"/>
      <c r="K28" s="560">
        <f t="shared" si="5"/>
        <v>0</v>
      </c>
      <c r="L28" s="553">
        <f>+[191]Metrados!E29</f>
        <v>0</v>
      </c>
      <c r="M28" s="560">
        <f>+ROUND($I28*L28,2)</f>
        <v>0</v>
      </c>
      <c r="N28" s="560"/>
      <c r="O28" s="560">
        <f t="shared" si="6"/>
        <v>0</v>
      </c>
      <c r="P28" s="560">
        <f>+L28</f>
        <v>0</v>
      </c>
      <c r="Q28" s="560">
        <f>+ROUND($I28*P28,2)</f>
        <v>0</v>
      </c>
      <c r="R28" s="560"/>
      <c r="S28" s="560">
        <f>+ROUND($H28*R28,2)</f>
        <v>0</v>
      </c>
      <c r="T28" s="560"/>
      <c r="U28" s="560">
        <f t="shared" si="8"/>
        <v>0</v>
      </c>
      <c r="V28" s="560"/>
      <c r="Y28" s="1146"/>
      <c r="Z28" s="1147">
        <v>0</v>
      </c>
    </row>
    <row r="29" spans="2:26" ht="21" customHeight="1" x14ac:dyDescent="0.25">
      <c r="B29" s="455"/>
      <c r="C29" s="480" t="e">
        <f>+#REF!+1</f>
        <v>#REF!</v>
      </c>
      <c r="D29" s="542"/>
      <c r="E29" s="571"/>
      <c r="F29" s="544" t="str">
        <f>+"SUB-TOTAL   "&amp;B23&amp;":  "</f>
        <v xml:space="preserve">SUB-TOTAL   2:  </v>
      </c>
      <c r="G29" s="440"/>
      <c r="H29" s="540"/>
      <c r="I29" s="540"/>
      <c r="J29" s="540"/>
      <c r="K29" s="716">
        <f>+SUM(K24:K28)</f>
        <v>184803.16999999998</v>
      </c>
      <c r="L29" s="540"/>
      <c r="M29" s="716">
        <f>+SUM(M24:M28)</f>
        <v>184703.01</v>
      </c>
      <c r="N29" s="716"/>
      <c r="O29" s="716">
        <f>+SUM(O24:O28)</f>
        <v>33822.32</v>
      </c>
      <c r="P29" s="716"/>
      <c r="Q29" s="716">
        <f>+SUM(Q24:Q28)</f>
        <v>0</v>
      </c>
      <c r="R29" s="589"/>
      <c r="S29" s="716">
        <f>+SUM(S24:S28)</f>
        <v>33922.480000000003</v>
      </c>
      <c r="T29" s="589"/>
      <c r="U29" s="716">
        <f>+SUM(U24:U28)</f>
        <v>33922.480000000003</v>
      </c>
      <c r="V29" s="589"/>
      <c r="W29" s="660">
        <f>+K29-M29+O29+Q29-S29</f>
        <v>0</v>
      </c>
      <c r="Y29" s="1146"/>
      <c r="Z29" s="1147">
        <v>0</v>
      </c>
    </row>
    <row r="30" spans="2:26" ht="21" customHeight="1" x14ac:dyDescent="0.25">
      <c r="B30" s="452">
        <v>3</v>
      </c>
      <c r="C30" s="481" t="e">
        <f>+#REF!+1</f>
        <v>#REF!</v>
      </c>
      <c r="D30" s="453" t="s">
        <v>296</v>
      </c>
      <c r="E30" s="445"/>
      <c r="F30" s="446"/>
      <c r="G30" s="527"/>
      <c r="H30" s="438"/>
      <c r="I30" s="438"/>
      <c r="J30" s="438"/>
      <c r="K30" s="454"/>
      <c r="L30" s="756"/>
      <c r="M30" s="454"/>
      <c r="N30" s="454"/>
      <c r="O30" s="454"/>
      <c r="P30" s="454"/>
      <c r="Q30" s="454"/>
      <c r="R30" s="438"/>
      <c r="S30" s="454"/>
      <c r="T30" s="438"/>
      <c r="U30" s="454"/>
      <c r="V30" s="438"/>
      <c r="Y30" s="1146"/>
      <c r="Z30" s="1147">
        <v>0</v>
      </c>
    </row>
    <row r="31" spans="2:26" ht="21" customHeight="1" x14ac:dyDescent="0.25">
      <c r="B31" s="562">
        <v>3.01</v>
      </c>
      <c r="C31" s="576" t="e">
        <f>+C30+1</f>
        <v>#REF!</v>
      </c>
      <c r="D31" s="502" t="s">
        <v>510</v>
      </c>
      <c r="E31" s="496"/>
      <c r="F31" s="497"/>
      <c r="G31" s="532" t="s">
        <v>11</v>
      </c>
      <c r="H31" s="565">
        <v>1703.39</v>
      </c>
      <c r="I31" s="565"/>
      <c r="J31" s="565">
        <v>9</v>
      </c>
      <c r="K31" s="566">
        <f>+ROUND($H31*J31,2)</f>
        <v>15330.51</v>
      </c>
      <c r="L31" s="553">
        <f>+[191]Metrados!E32</f>
        <v>0</v>
      </c>
      <c r="M31" s="566">
        <f>+ROUND($H31*L31,2)</f>
        <v>0</v>
      </c>
      <c r="N31" s="558">
        <f>+IF($L31-$J31&gt;=0,$L31-$J31,0)</f>
        <v>0</v>
      </c>
      <c r="O31" s="558">
        <f>+ROUND($H31*N31,2)</f>
        <v>0</v>
      </c>
      <c r="P31" s="558"/>
      <c r="Q31" s="558">
        <f>+ROUND($H31*P31,2)</f>
        <v>0</v>
      </c>
      <c r="R31" s="553">
        <f>+IF($L31-$J31&lt;=0,-$L31+$J31,0)</f>
        <v>9</v>
      </c>
      <c r="S31" s="558">
        <f>+ROUND($H31*R31,2)</f>
        <v>15330.51</v>
      </c>
      <c r="T31" s="553">
        <f>+R31</f>
        <v>9</v>
      </c>
      <c r="U31" s="558">
        <f>+ROUND($H31*T31,2)</f>
        <v>15330.51</v>
      </c>
      <c r="V31" s="553" t="s">
        <v>829</v>
      </c>
      <c r="Y31" s="1146"/>
      <c r="Z31" s="1147">
        <v>0</v>
      </c>
    </row>
    <row r="32" spans="2:26" ht="21" customHeight="1" x14ac:dyDescent="0.25">
      <c r="B32" s="456"/>
      <c r="C32" s="483" t="e">
        <f>+#REF!+1</f>
        <v>#REF!</v>
      </c>
      <c r="D32" s="537"/>
      <c r="E32" s="580"/>
      <c r="F32" s="533" t="str">
        <f>+"SUB-TOTAL   "&amp;B30&amp;":  "</f>
        <v xml:space="preserve">SUB-TOTAL   3:  </v>
      </c>
      <c r="G32" s="440"/>
      <c r="H32" s="438"/>
      <c r="I32" s="438"/>
      <c r="J32" s="438"/>
      <c r="K32" s="548">
        <f>+SUM(K31:K31)</f>
        <v>15330.51</v>
      </c>
      <c r="L32" s="540"/>
      <c r="M32" s="548">
        <f>+SUM(M31:M31)</f>
        <v>0</v>
      </c>
      <c r="N32" s="438"/>
      <c r="O32" s="548">
        <f>+SUM(O31:O31)</f>
        <v>0</v>
      </c>
      <c r="P32" s="438"/>
      <c r="Q32" s="548">
        <f>+SUM(Q31:Q31)</f>
        <v>0</v>
      </c>
      <c r="R32" s="438"/>
      <c r="S32" s="548">
        <f>+SUM(S31:S31)</f>
        <v>15330.51</v>
      </c>
      <c r="T32" s="438"/>
      <c r="U32" s="548">
        <f>+SUM(U31:U31)</f>
        <v>15330.51</v>
      </c>
      <c r="V32" s="438"/>
      <c r="W32" s="660">
        <f>+K32-M32+O32+Q32-S32</f>
        <v>0</v>
      </c>
      <c r="Y32" s="1146"/>
      <c r="Z32" s="1147">
        <v>0</v>
      </c>
    </row>
    <row r="33" spans="2:26" ht="21" customHeight="1" x14ac:dyDescent="0.25">
      <c r="B33" s="452" t="s">
        <v>1004</v>
      </c>
      <c r="C33" s="481" t="e">
        <f t="shared" ref="C33" si="9">+C32+1</f>
        <v>#REF!</v>
      </c>
      <c r="D33" s="568" t="s">
        <v>309</v>
      </c>
      <c r="E33" s="445"/>
      <c r="F33" s="446"/>
      <c r="G33" s="527"/>
      <c r="H33" s="438"/>
      <c r="I33" s="438"/>
      <c r="J33" s="438"/>
      <c r="K33" s="454"/>
      <c r="L33" s="756"/>
      <c r="M33" s="454"/>
      <c r="N33" s="454"/>
      <c r="O33" s="454"/>
      <c r="P33" s="454"/>
      <c r="Q33" s="454"/>
      <c r="R33" s="438"/>
      <c r="S33" s="454"/>
      <c r="T33" s="438"/>
      <c r="U33" s="454"/>
      <c r="V33" s="438"/>
      <c r="Y33" s="1146"/>
      <c r="Z33" s="1147">
        <v>0</v>
      </c>
    </row>
    <row r="34" spans="2:26" s="547" customFormat="1" ht="21" customHeight="1" x14ac:dyDescent="0.25">
      <c r="B34" s="559" t="s">
        <v>1005</v>
      </c>
      <c r="C34" s="577" t="e">
        <f>+#REF!+1</f>
        <v>#REF!</v>
      </c>
      <c r="D34" s="501" t="s">
        <v>767</v>
      </c>
      <c r="E34" s="545"/>
      <c r="F34" s="546"/>
      <c r="G34" s="531" t="s">
        <v>11</v>
      </c>
      <c r="H34" s="560"/>
      <c r="I34" s="560">
        <v>1958.01</v>
      </c>
      <c r="J34" s="560"/>
      <c r="K34" s="561">
        <f>+ROUND($H34*J34,2)</f>
        <v>0</v>
      </c>
      <c r="L34" s="560">
        <f>+[191]Metrados!E35</f>
        <v>4</v>
      </c>
      <c r="M34" s="560">
        <f>+ROUND($I34*L34,2)</f>
        <v>7832.04</v>
      </c>
      <c r="N34" s="561"/>
      <c r="O34" s="561">
        <f>+ROUND($H34*N34,2)</f>
        <v>0</v>
      </c>
      <c r="P34" s="561">
        <f>+L34</f>
        <v>4</v>
      </c>
      <c r="Q34" s="561">
        <f>+ROUND($I34*P34,2)</f>
        <v>7832.04</v>
      </c>
      <c r="R34" s="560">
        <f>+IF($L34-$J34&lt;=0,-$L34+$J34,0)</f>
        <v>0</v>
      </c>
      <c r="S34" s="561">
        <f>+ROUND($H34*R34,2)</f>
        <v>0</v>
      </c>
      <c r="T34" s="560"/>
      <c r="U34" s="561">
        <f>+ROUND($H34*T34,2)</f>
        <v>0</v>
      </c>
      <c r="V34" s="560"/>
      <c r="Y34" s="1146"/>
      <c r="Z34" s="1149">
        <v>0</v>
      </c>
    </row>
    <row r="35" spans="2:26" s="547" customFormat="1" ht="21" customHeight="1" x14ac:dyDescent="0.25">
      <c r="B35" s="559" t="s">
        <v>1006</v>
      </c>
      <c r="C35" s="577" t="e">
        <f>+C34+1</f>
        <v>#REF!</v>
      </c>
      <c r="D35" s="501" t="s">
        <v>768</v>
      </c>
      <c r="E35" s="545"/>
      <c r="F35" s="546"/>
      <c r="G35" s="564" t="s">
        <v>11</v>
      </c>
      <c r="H35" s="633"/>
      <c r="I35" s="633">
        <v>2336.29</v>
      </c>
      <c r="J35" s="633"/>
      <c r="K35" s="634">
        <f>+ROUND($H35*J35,2)</f>
        <v>0</v>
      </c>
      <c r="L35" s="560">
        <f>+[191]Metrados!E36</f>
        <v>11</v>
      </c>
      <c r="M35" s="633">
        <f>+ROUND($I35*L35,2)</f>
        <v>25699.19</v>
      </c>
      <c r="N35" s="634"/>
      <c r="O35" s="634">
        <f>+ROUND($H35*N35,2)</f>
        <v>0</v>
      </c>
      <c r="P35" s="634">
        <f>+L35</f>
        <v>11</v>
      </c>
      <c r="Q35" s="634">
        <f>+ROUND($I35*P35,2)</f>
        <v>25699.19</v>
      </c>
      <c r="R35" s="633">
        <f>+IF($L35-$J35&lt;=0,-$L35+$J35,0)</f>
        <v>0</v>
      </c>
      <c r="S35" s="634">
        <f>+ROUND($H35*R35,2)</f>
        <v>0</v>
      </c>
      <c r="T35" s="633"/>
      <c r="U35" s="634">
        <f>+ROUND($H35*T35,2)</f>
        <v>0</v>
      </c>
      <c r="V35" s="633"/>
      <c r="Y35" s="1146"/>
      <c r="Z35" s="1149">
        <v>0</v>
      </c>
    </row>
    <row r="36" spans="2:26" ht="21" customHeight="1" x14ac:dyDescent="0.25">
      <c r="B36" s="456"/>
      <c r="C36" s="483" t="e">
        <f>+#REF!+1</f>
        <v>#REF!</v>
      </c>
      <c r="D36" s="537"/>
      <c r="E36" s="580"/>
      <c r="F36" s="533" t="str">
        <f>+"SUB-TOTAL   "&amp;B33&amp;":  "</f>
        <v xml:space="preserve">SUB-TOTAL   3.00A:  </v>
      </c>
      <c r="G36" s="440"/>
      <c r="H36" s="438"/>
      <c r="I36" s="438"/>
      <c r="J36" s="438"/>
      <c r="K36" s="548"/>
      <c r="L36" s="540"/>
      <c r="M36" s="548">
        <f>+SUM(M34:M35)</f>
        <v>33531.229999999996</v>
      </c>
      <c r="N36" s="438"/>
      <c r="O36" s="548">
        <f>+SUM(O34:O35)</f>
        <v>0</v>
      </c>
      <c r="P36" s="438"/>
      <c r="Q36" s="548">
        <f>+SUM(Q34:Q35)</f>
        <v>33531.229999999996</v>
      </c>
      <c r="R36" s="438"/>
      <c r="S36" s="548">
        <f>+SUM(S34:S35)</f>
        <v>0</v>
      </c>
      <c r="T36" s="438"/>
      <c r="U36" s="548">
        <f>+SUM(U34:U35)</f>
        <v>0</v>
      </c>
      <c r="V36" s="438"/>
      <c r="W36" s="660">
        <f>+K36-M36+O36+Q36-S36</f>
        <v>0</v>
      </c>
      <c r="Y36" s="1146"/>
      <c r="Z36" s="1147">
        <v>0</v>
      </c>
    </row>
    <row r="37" spans="2:26" ht="21" customHeight="1" x14ac:dyDescent="0.25">
      <c r="B37" s="452">
        <v>4</v>
      </c>
      <c r="C37" s="481" t="e">
        <f>+C32+1</f>
        <v>#REF!</v>
      </c>
      <c r="D37" s="453" t="s">
        <v>509</v>
      </c>
      <c r="E37" s="445"/>
      <c r="F37" s="446"/>
      <c r="G37" s="527"/>
      <c r="H37" s="438"/>
      <c r="I37" s="438"/>
      <c r="J37" s="438"/>
      <c r="K37" s="438"/>
      <c r="L37" s="756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Y37" s="1146"/>
      <c r="Z37" s="1147">
        <v>0</v>
      </c>
    </row>
    <row r="38" spans="2:26" ht="21" customHeight="1" x14ac:dyDescent="0.25">
      <c r="B38" s="562">
        <v>4.01</v>
      </c>
      <c r="C38" s="576" t="e">
        <f>+C37+1</f>
        <v>#REF!</v>
      </c>
      <c r="D38" s="502" t="s">
        <v>508</v>
      </c>
      <c r="E38" s="496"/>
      <c r="F38" s="497"/>
      <c r="G38" s="530" t="s">
        <v>11</v>
      </c>
      <c r="H38" s="553">
        <v>120.3</v>
      </c>
      <c r="I38" s="553"/>
      <c r="J38" s="553">
        <v>2</v>
      </c>
      <c r="K38" s="553">
        <f>+ROUND($H38*J38,2)</f>
        <v>240.6</v>
      </c>
      <c r="L38" s="553">
        <f>+[191]Metrados!E39</f>
        <v>0</v>
      </c>
      <c r="M38" s="553">
        <f>+ROUND($H38*L38,2)</f>
        <v>0</v>
      </c>
      <c r="N38" s="553">
        <f>+IF($L38-$J38&gt;=0,$L38-$J38,0)</f>
        <v>0</v>
      </c>
      <c r="O38" s="553">
        <f>+ROUND($H38*N38,2)</f>
        <v>0</v>
      </c>
      <c r="P38" s="553"/>
      <c r="Q38" s="553">
        <f>+ROUND($H38*P38,2)</f>
        <v>0</v>
      </c>
      <c r="R38" s="553">
        <f>+IF($L38-$J38&lt;=0,-$L38+$J38,0)</f>
        <v>2</v>
      </c>
      <c r="S38" s="553">
        <f>+ROUND($H38*R38,2)</f>
        <v>240.6</v>
      </c>
      <c r="T38" s="553"/>
      <c r="U38" s="553">
        <f>+ROUND($H38*T38,2)</f>
        <v>0</v>
      </c>
      <c r="V38" s="553"/>
      <c r="Y38" s="1146"/>
      <c r="Z38" s="1147">
        <v>-12</v>
      </c>
    </row>
    <row r="39" spans="2:26" ht="21" customHeight="1" x14ac:dyDescent="0.25">
      <c r="B39" s="562">
        <v>4.0199999999999996</v>
      </c>
      <c r="C39" s="576" t="e">
        <f>+C38+1</f>
        <v>#REF!</v>
      </c>
      <c r="D39" s="502" t="s">
        <v>507</v>
      </c>
      <c r="E39" s="496"/>
      <c r="F39" s="497"/>
      <c r="G39" s="530" t="s">
        <v>11</v>
      </c>
      <c r="H39" s="553">
        <v>88.8</v>
      </c>
      <c r="I39" s="553"/>
      <c r="J39" s="553">
        <v>393</v>
      </c>
      <c r="K39" s="553">
        <f>+ROUND($H39*J39,2)</f>
        <v>34898.400000000001</v>
      </c>
      <c r="L39" s="553">
        <f>+[191]Metrados!E40</f>
        <v>84</v>
      </c>
      <c r="M39" s="553">
        <f>+ROUND($H39*L39,2)</f>
        <v>7459.2</v>
      </c>
      <c r="N39" s="553">
        <f>+IF($L39-$J39&gt;=0,$L39-$J39,0)</f>
        <v>0</v>
      </c>
      <c r="O39" s="553">
        <f>+ROUND($H39*N39,2)</f>
        <v>0</v>
      </c>
      <c r="P39" s="553"/>
      <c r="Q39" s="553">
        <f>+ROUND($H39*P39,2)</f>
        <v>0</v>
      </c>
      <c r="R39" s="553">
        <f>+IF($L39-$J39&lt;=0,-$L39+$J39,0)</f>
        <v>309</v>
      </c>
      <c r="S39" s="553">
        <f>+ROUND($H39*R39,2)</f>
        <v>27439.200000000001</v>
      </c>
      <c r="T39" s="553">
        <f>+N38+P41</f>
        <v>122</v>
      </c>
      <c r="U39" s="553">
        <f>+ROUND($H39*T39,2)</f>
        <v>10833.6</v>
      </c>
      <c r="V39" s="553" t="s">
        <v>908</v>
      </c>
      <c r="Y39" s="1146"/>
      <c r="Z39" s="1147">
        <v>0</v>
      </c>
    </row>
    <row r="40" spans="2:26" ht="21" customHeight="1" x14ac:dyDescent="0.25">
      <c r="B40" s="562">
        <v>4.0299999999999994</v>
      </c>
      <c r="C40" s="576" t="e">
        <f>+C39+1</f>
        <v>#REF!</v>
      </c>
      <c r="D40" s="502" t="s">
        <v>506</v>
      </c>
      <c r="E40" s="496"/>
      <c r="F40" s="497"/>
      <c r="G40" s="530" t="s">
        <v>11</v>
      </c>
      <c r="H40" s="553">
        <v>92.26</v>
      </c>
      <c r="I40" s="553"/>
      <c r="J40" s="553">
        <v>1</v>
      </c>
      <c r="K40" s="553">
        <f>+ROUND($H40*J40,2)</f>
        <v>92.26</v>
      </c>
      <c r="L40" s="553">
        <f>+[191]Metrados!E41</f>
        <v>0</v>
      </c>
      <c r="M40" s="553">
        <f>+ROUND($H40*L40,2)</f>
        <v>0</v>
      </c>
      <c r="N40" s="553">
        <f>+IF($L40-$J40&gt;=0,$L40-$J40,0)</f>
        <v>0</v>
      </c>
      <c r="O40" s="553">
        <f>+ROUND($H40*N40,2)</f>
        <v>0</v>
      </c>
      <c r="P40" s="553"/>
      <c r="Q40" s="553">
        <f>+ROUND($H40*P40,2)</f>
        <v>0</v>
      </c>
      <c r="R40" s="553">
        <f>+IF($L40-$J40&lt;=0,-$L40+$J40,0)</f>
        <v>1</v>
      </c>
      <c r="S40" s="553">
        <f>+ROUND($H40*R40,2)</f>
        <v>92.26</v>
      </c>
      <c r="T40" s="553"/>
      <c r="U40" s="553">
        <f>+ROUND($H40*T40,2)</f>
        <v>0</v>
      </c>
      <c r="V40" s="553"/>
      <c r="Y40" s="1146"/>
      <c r="Z40" s="1147">
        <v>0</v>
      </c>
    </row>
    <row r="41" spans="2:26" s="547" customFormat="1" ht="21" customHeight="1" x14ac:dyDescent="0.25">
      <c r="B41" s="559">
        <v>4.05</v>
      </c>
      <c r="C41" s="577" t="e">
        <f>+C40+1</f>
        <v>#REF!</v>
      </c>
      <c r="D41" s="501" t="s">
        <v>825</v>
      </c>
      <c r="E41" s="545"/>
      <c r="F41" s="546"/>
      <c r="G41" s="766" t="s">
        <v>11</v>
      </c>
      <c r="H41" s="767"/>
      <c r="I41" s="767">
        <v>230</v>
      </c>
      <c r="J41" s="767"/>
      <c r="K41" s="768">
        <f>+ROUND($H41*J41,2)</f>
        <v>0</v>
      </c>
      <c r="L41" s="640">
        <f>+[191]Metrados!E42</f>
        <v>122</v>
      </c>
      <c r="M41" s="767">
        <f>+ROUND($I41*L41,2)</f>
        <v>28060</v>
      </c>
      <c r="N41" s="768"/>
      <c r="O41" s="768">
        <f>+ROUND($H41*N41,2)</f>
        <v>0</v>
      </c>
      <c r="P41" s="768">
        <f>+L41</f>
        <v>122</v>
      </c>
      <c r="Q41" s="768">
        <f>+ROUND($I41*P41,2)</f>
        <v>28060</v>
      </c>
      <c r="R41" s="767">
        <f>+IF($L41-$J41&lt;=0,-$L41+$J41,0)</f>
        <v>0</v>
      </c>
      <c r="S41" s="768">
        <f>+ROUND($H41*R41,2)</f>
        <v>0</v>
      </c>
      <c r="T41" s="767"/>
      <c r="U41" s="768">
        <f>+ROUND($H41*T41,2)</f>
        <v>0</v>
      </c>
      <c r="V41" s="767"/>
      <c r="Y41" s="1146"/>
      <c r="Z41" s="1149">
        <v>-1</v>
      </c>
    </row>
    <row r="42" spans="2:26" ht="21" customHeight="1" x14ac:dyDescent="0.25">
      <c r="B42" s="456"/>
      <c r="C42" s="483" t="e">
        <f>+#REF!+1</f>
        <v>#REF!</v>
      </c>
      <c r="D42" s="537"/>
      <c r="E42" s="538"/>
      <c r="F42" s="544" t="str">
        <f>+"SUB-TOTAL   "&amp;B37&amp;":  "</f>
        <v xml:space="preserve">SUB-TOTAL   4:  </v>
      </c>
      <c r="G42" s="440"/>
      <c r="H42" s="438"/>
      <c r="I42" s="438"/>
      <c r="J42" s="438"/>
      <c r="K42" s="548">
        <f>+SUM(K38:K41)</f>
        <v>35231.26</v>
      </c>
      <c r="L42" s="540"/>
      <c r="M42" s="548">
        <f>+SUM(M38:M41)</f>
        <v>35519.199999999997</v>
      </c>
      <c r="N42" s="438"/>
      <c r="O42" s="548">
        <f>+SUM(O38:O41)</f>
        <v>0</v>
      </c>
      <c r="P42" s="438"/>
      <c r="Q42" s="548">
        <f>+SUM(Q38:Q41)</f>
        <v>28060</v>
      </c>
      <c r="R42" s="438"/>
      <c r="S42" s="548">
        <f>+SUM(S38:S41)</f>
        <v>27772.059999999998</v>
      </c>
      <c r="T42" s="438"/>
      <c r="U42" s="548">
        <f>+SUM(U38:U40)</f>
        <v>10833.6</v>
      </c>
      <c r="V42" s="438"/>
      <c r="Y42" s="1146"/>
      <c r="Z42" s="1147">
        <v>0</v>
      </c>
    </row>
    <row r="43" spans="2:26" ht="21" customHeight="1" x14ac:dyDescent="0.25">
      <c r="B43" s="452">
        <v>5</v>
      </c>
      <c r="C43" s="481" t="e">
        <f t="shared" ref="C43:C45" si="10">+C42+1</f>
        <v>#REF!</v>
      </c>
      <c r="D43" s="453" t="s">
        <v>505</v>
      </c>
      <c r="E43" s="445"/>
      <c r="F43" s="446"/>
      <c r="G43" s="527"/>
      <c r="H43" s="438"/>
      <c r="I43" s="438"/>
      <c r="J43" s="438"/>
      <c r="K43" s="438"/>
      <c r="L43" s="756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Y43" s="1146"/>
      <c r="Z43" s="1147">
        <v>0</v>
      </c>
    </row>
    <row r="44" spans="2:26" ht="21" customHeight="1" x14ac:dyDescent="0.25">
      <c r="B44" s="562">
        <v>5.01</v>
      </c>
      <c r="C44" s="576" t="e">
        <f t="shared" si="10"/>
        <v>#REF!</v>
      </c>
      <c r="D44" s="502" t="s">
        <v>504</v>
      </c>
      <c r="E44" s="496"/>
      <c r="F44" s="497"/>
      <c r="G44" s="530" t="s">
        <v>11</v>
      </c>
      <c r="H44" s="553">
        <v>76.45</v>
      </c>
      <c r="I44" s="553"/>
      <c r="J44" s="553">
        <v>29</v>
      </c>
      <c r="K44" s="553">
        <f>+ROUND($H44*J44,2)</f>
        <v>2217.0500000000002</v>
      </c>
      <c r="L44" s="553">
        <f>+[191]Metrados!E45</f>
        <v>24</v>
      </c>
      <c r="M44" s="553">
        <f>+ROUND($H44*L44,2)</f>
        <v>1834.8</v>
      </c>
      <c r="N44" s="553">
        <f>+IF($L44-$J44&gt;=0,$L44-$J44,0)</f>
        <v>0</v>
      </c>
      <c r="O44" s="553">
        <f>+ROUND($H44*N44,2)</f>
        <v>0</v>
      </c>
      <c r="P44" s="553"/>
      <c r="Q44" s="553">
        <f>+ROUND($H44*P44,2)</f>
        <v>0</v>
      </c>
      <c r="R44" s="553">
        <f>+IF($L44-$J44&lt;=0,-$L44+$J44,0)</f>
        <v>5</v>
      </c>
      <c r="S44" s="553">
        <f>+ROUND($H44*R44,2)</f>
        <v>382.25</v>
      </c>
      <c r="T44" s="553">
        <f>+R44</f>
        <v>5</v>
      </c>
      <c r="U44" s="553">
        <f>+ROUND($H44*T44,2)</f>
        <v>382.25</v>
      </c>
      <c r="V44" s="553" t="s">
        <v>832</v>
      </c>
      <c r="Y44" s="1146"/>
      <c r="Z44" s="1147">
        <v>0</v>
      </c>
    </row>
    <row r="45" spans="2:26" ht="21" customHeight="1" x14ac:dyDescent="0.25">
      <c r="B45" s="562">
        <v>5.0199999999999996</v>
      </c>
      <c r="C45" s="576" t="e">
        <f t="shared" si="10"/>
        <v>#REF!</v>
      </c>
      <c r="D45" s="502" t="s">
        <v>503</v>
      </c>
      <c r="E45" s="496"/>
      <c r="F45" s="497"/>
      <c r="G45" s="530" t="s">
        <v>11</v>
      </c>
      <c r="H45" s="553">
        <v>35.96</v>
      </c>
      <c r="I45" s="553"/>
      <c r="J45" s="553">
        <v>29</v>
      </c>
      <c r="K45" s="553">
        <f>+ROUND($H45*J45,2)</f>
        <v>1042.8399999999999</v>
      </c>
      <c r="L45" s="553">
        <f>+[191]Metrados!E46</f>
        <v>24</v>
      </c>
      <c r="M45" s="553">
        <f>+ROUND($H45*L45,2)</f>
        <v>863.04</v>
      </c>
      <c r="N45" s="553">
        <f>+IF($L45-$J45&gt;=0,$L45-$J45,0)</f>
        <v>0</v>
      </c>
      <c r="O45" s="553">
        <f>+ROUND($H45*N45,2)</f>
        <v>0</v>
      </c>
      <c r="P45" s="553"/>
      <c r="Q45" s="553">
        <f>+ROUND($H45*P45,2)</f>
        <v>0</v>
      </c>
      <c r="R45" s="553">
        <f>+IF($L45-$J45&lt;=0,-$L45+$J45,0)</f>
        <v>5</v>
      </c>
      <c r="S45" s="553">
        <f>+ROUND($H45*R45,2)</f>
        <v>179.8</v>
      </c>
      <c r="T45" s="553">
        <f>+R45</f>
        <v>5</v>
      </c>
      <c r="U45" s="553">
        <f>+ROUND($H45*T45,2)</f>
        <v>179.8</v>
      </c>
      <c r="V45" s="553" t="s">
        <v>832</v>
      </c>
      <c r="Y45" s="1146"/>
      <c r="Z45" s="1147">
        <v>0</v>
      </c>
    </row>
    <row r="46" spans="2:26" ht="21" customHeight="1" x14ac:dyDescent="0.25">
      <c r="B46" s="1252">
        <v>5.0299999999999994</v>
      </c>
      <c r="C46" s="576" t="e">
        <f>+C44+1</f>
        <v>#REF!</v>
      </c>
      <c r="D46" s="537" t="s">
        <v>783</v>
      </c>
      <c r="E46" s="538"/>
      <c r="F46" s="578"/>
      <c r="G46" s="1254" t="s">
        <v>11</v>
      </c>
      <c r="H46" s="1246">
        <v>209.65</v>
      </c>
      <c r="I46" s="579"/>
      <c r="J46" s="1246">
        <v>369</v>
      </c>
      <c r="K46" s="1246">
        <f>+ROUND($H46*J46,2)</f>
        <v>77360.850000000006</v>
      </c>
      <c r="L46" s="1246">
        <f>+[191]Metrados!E48</f>
        <v>307</v>
      </c>
      <c r="M46" s="1246">
        <f>+ROUND($H46*L46,2)</f>
        <v>64362.55</v>
      </c>
      <c r="N46" s="553"/>
      <c r="O46" s="553"/>
      <c r="P46" s="553"/>
      <c r="Q46" s="553"/>
      <c r="R46" s="553"/>
      <c r="S46" s="553"/>
      <c r="T46" s="553"/>
      <c r="U46" s="553"/>
      <c r="V46" s="553"/>
      <c r="Y46" s="1146"/>
      <c r="Z46" s="1147">
        <v>0</v>
      </c>
    </row>
    <row r="47" spans="2:26" ht="21" customHeight="1" x14ac:dyDescent="0.25">
      <c r="B47" s="1253"/>
      <c r="C47" s="576" t="e">
        <f>+C45+1</f>
        <v>#REF!</v>
      </c>
      <c r="D47" s="780" t="s">
        <v>784</v>
      </c>
      <c r="E47" s="781"/>
      <c r="F47" s="782"/>
      <c r="G47" s="1255"/>
      <c r="H47" s="1247"/>
      <c r="I47" s="776"/>
      <c r="J47" s="1247"/>
      <c r="K47" s="1247"/>
      <c r="L47" s="1247"/>
      <c r="M47" s="1247"/>
      <c r="N47" s="553">
        <f>+IF($L46-$J46&gt;=0,$L46-$J46,0)</f>
        <v>0</v>
      </c>
      <c r="O47" s="553">
        <f>+ROUND($H46*N47,2)</f>
        <v>0</v>
      </c>
      <c r="P47" s="553"/>
      <c r="Q47" s="553">
        <f>+ROUND($H46*P47,2)</f>
        <v>0</v>
      </c>
      <c r="R47" s="553">
        <f>+IF($L46-$J46&lt;=0,-$L46+$J46,0)</f>
        <v>62</v>
      </c>
      <c r="S47" s="553">
        <f>+ROUND($H46*R47,2)</f>
        <v>12998.3</v>
      </c>
      <c r="T47" s="553">
        <f>+R47</f>
        <v>62</v>
      </c>
      <c r="U47" s="553">
        <f>+ROUND($H46*T47,2)</f>
        <v>12998.3</v>
      </c>
      <c r="V47" s="553" t="s">
        <v>832</v>
      </c>
      <c r="Y47" s="1146"/>
      <c r="Z47" s="1147">
        <v>0</v>
      </c>
    </row>
    <row r="48" spans="2:26" ht="21" customHeight="1" x14ac:dyDescent="0.25">
      <c r="B48" s="456"/>
      <c r="C48" s="483" t="e">
        <f>+#REF!+1</f>
        <v>#REF!</v>
      </c>
      <c r="D48" s="537"/>
      <c r="E48" s="538"/>
      <c r="F48" s="544" t="str">
        <f>+"SUB-TOTAL   "&amp;B43&amp;":  "</f>
        <v xml:space="preserve">SUB-TOTAL   5:  </v>
      </c>
      <c r="G48" s="440"/>
      <c r="H48" s="438"/>
      <c r="I48" s="438"/>
      <c r="J48" s="438"/>
      <c r="K48" s="548">
        <f>+SUM(K44:K47)</f>
        <v>80620.740000000005</v>
      </c>
      <c r="L48" s="438"/>
      <c r="M48" s="548">
        <f>+SUM(M44:M47)</f>
        <v>67060.39</v>
      </c>
      <c r="N48" s="438"/>
      <c r="O48" s="548">
        <f>+SUM(O44:O47)</f>
        <v>0</v>
      </c>
      <c r="P48" s="438"/>
      <c r="Q48" s="548">
        <f>+SUM(Q44:Q47)</f>
        <v>0</v>
      </c>
      <c r="R48" s="438"/>
      <c r="S48" s="548">
        <f>+SUM(S44:S47)</f>
        <v>13560.349999999999</v>
      </c>
      <c r="T48" s="438"/>
      <c r="U48" s="548">
        <f>+SUM(U44:U47)</f>
        <v>13560.349999999999</v>
      </c>
      <c r="V48" s="438"/>
      <c r="Y48" s="1146"/>
      <c r="Z48" s="1147">
        <v>0</v>
      </c>
    </row>
    <row r="49" spans="2:26" ht="21" customHeight="1" x14ac:dyDescent="0.25">
      <c r="B49" s="452">
        <v>6</v>
      </c>
      <c r="C49" s="481" t="e">
        <f>+C48+1</f>
        <v>#REF!</v>
      </c>
      <c r="D49" s="453" t="s">
        <v>502</v>
      </c>
      <c r="E49" s="445"/>
      <c r="F49" s="446"/>
      <c r="G49" s="527"/>
      <c r="H49" s="438"/>
      <c r="I49" s="438"/>
      <c r="J49" s="438"/>
      <c r="K49" s="438"/>
      <c r="L49" s="438"/>
      <c r="M49" s="438"/>
      <c r="N49" s="438"/>
      <c r="O49" s="438"/>
      <c r="P49" s="438"/>
      <c r="Q49" s="438"/>
      <c r="R49" s="438"/>
      <c r="S49" s="438"/>
      <c r="T49" s="438"/>
      <c r="U49" s="438"/>
      <c r="V49" s="438"/>
      <c r="Y49" s="1146"/>
      <c r="Z49" s="1147">
        <v>0</v>
      </c>
    </row>
    <row r="50" spans="2:26" ht="21" customHeight="1" x14ac:dyDescent="0.25">
      <c r="B50" s="562">
        <v>6.01</v>
      </c>
      <c r="C50" s="576" t="e">
        <f>+C49+1</f>
        <v>#REF!</v>
      </c>
      <c r="D50" s="502" t="s">
        <v>501</v>
      </c>
      <c r="E50" s="496"/>
      <c r="F50" s="497"/>
      <c r="G50" s="530" t="s">
        <v>11</v>
      </c>
      <c r="H50" s="553">
        <v>17.760000000000002</v>
      </c>
      <c r="I50" s="553"/>
      <c r="J50" s="553">
        <v>155</v>
      </c>
      <c r="K50" s="553">
        <f>+ROUND($H50*J50,2)</f>
        <v>2752.8</v>
      </c>
      <c r="L50" s="553">
        <f>+[191]Metrados!E51</f>
        <v>283</v>
      </c>
      <c r="M50" s="553">
        <f>+ROUND($H50*L50,2)</f>
        <v>5026.08</v>
      </c>
      <c r="N50" s="553">
        <f>+IF($L50-$J50&gt;=0,$L50-$J50,0)</f>
        <v>128</v>
      </c>
      <c r="O50" s="553">
        <f>+ROUND($H50*N50,2)</f>
        <v>2273.2800000000002</v>
      </c>
      <c r="P50" s="553"/>
      <c r="Q50" s="553">
        <f>+ROUND($H50*P50,2)</f>
        <v>0</v>
      </c>
      <c r="R50" s="553">
        <f>+IF($L50-$J50&lt;=0,-$L50+$J50,0)</f>
        <v>0</v>
      </c>
      <c r="S50" s="553">
        <f>+ROUND($H50*R50,2)</f>
        <v>0</v>
      </c>
      <c r="T50" s="553"/>
      <c r="U50" s="553">
        <f>+ROUND($H50*T50,2)</f>
        <v>0</v>
      </c>
      <c r="V50" s="553"/>
      <c r="Y50" s="1146"/>
      <c r="Z50" s="1147">
        <v>0</v>
      </c>
    </row>
    <row r="51" spans="2:26" ht="21" customHeight="1" x14ac:dyDescent="0.25">
      <c r="B51" s="562">
        <v>6.02</v>
      </c>
      <c r="C51" s="576" t="e">
        <f>+C50+1</f>
        <v>#REF!</v>
      </c>
      <c r="D51" s="502" t="s">
        <v>500</v>
      </c>
      <c r="E51" s="496"/>
      <c r="F51" s="497"/>
      <c r="G51" s="532" t="s">
        <v>11</v>
      </c>
      <c r="H51" s="565">
        <v>76.66</v>
      </c>
      <c r="I51" s="565"/>
      <c r="J51" s="565">
        <v>155</v>
      </c>
      <c r="K51" s="565">
        <f>+ROUND($H51*J51,2)</f>
        <v>11882.3</v>
      </c>
      <c r="L51" s="553">
        <f>+[191]Metrados!E52</f>
        <v>283</v>
      </c>
      <c r="M51" s="565">
        <f>+ROUND($H51*L51,2)</f>
        <v>21694.78</v>
      </c>
      <c r="N51" s="565">
        <f>+IF($L51-$J51&gt;=0,$L51-$J51,0)</f>
        <v>128</v>
      </c>
      <c r="O51" s="565">
        <f>+ROUND($H51*N51,2)</f>
        <v>9812.48</v>
      </c>
      <c r="P51" s="565"/>
      <c r="Q51" s="565">
        <f>+ROUND($H51*P51,2)</f>
        <v>0</v>
      </c>
      <c r="R51" s="565">
        <f>+IF($L51-$J51&lt;=0,-$L51+$J51,0)</f>
        <v>0</v>
      </c>
      <c r="S51" s="565">
        <f>+ROUND($H51*R51,2)</f>
        <v>0</v>
      </c>
      <c r="T51" s="565"/>
      <c r="U51" s="565">
        <f>+ROUND($H51*T51,2)</f>
        <v>0</v>
      </c>
      <c r="V51" s="565"/>
      <c r="Y51" s="1146"/>
      <c r="Z51" s="1147">
        <v>0</v>
      </c>
    </row>
    <row r="52" spans="2:26" ht="21" customHeight="1" x14ac:dyDescent="0.25">
      <c r="B52" s="456"/>
      <c r="C52" s="483" t="e">
        <f>+#REF!+1</f>
        <v>#REF!</v>
      </c>
      <c r="D52" s="537"/>
      <c r="E52" s="538"/>
      <c r="F52" s="544" t="str">
        <f>+"SUB-TOTAL   "&amp;B49&amp;":  "</f>
        <v xml:space="preserve">SUB-TOTAL   6:  </v>
      </c>
      <c r="G52" s="440"/>
      <c r="H52" s="438"/>
      <c r="I52" s="438"/>
      <c r="J52" s="438"/>
      <c r="K52" s="548">
        <f>+SUM(K50:K51)</f>
        <v>14635.099999999999</v>
      </c>
      <c r="L52" s="540"/>
      <c r="M52" s="548">
        <f>+SUM(M50:M51)</f>
        <v>26720.86</v>
      </c>
      <c r="N52" s="438"/>
      <c r="O52" s="548">
        <f>+SUM(O50:O51)</f>
        <v>12085.76</v>
      </c>
      <c r="P52" s="438"/>
      <c r="Q52" s="548">
        <f>+SUM(Q50:Q51)</f>
        <v>0</v>
      </c>
      <c r="R52" s="438"/>
      <c r="S52" s="548">
        <f>+SUM(S50:S51)</f>
        <v>0</v>
      </c>
      <c r="T52" s="438"/>
      <c r="U52" s="548">
        <f>+SUM(U50:U51)</f>
        <v>0</v>
      </c>
      <c r="V52" s="438"/>
      <c r="Y52" s="1146"/>
      <c r="Z52" s="1147">
        <v>0</v>
      </c>
    </row>
    <row r="53" spans="2:26" ht="21" customHeight="1" x14ac:dyDescent="0.25">
      <c r="B53" s="452">
        <v>7</v>
      </c>
      <c r="C53" s="481" t="e">
        <f>+C52+1</f>
        <v>#REF!</v>
      </c>
      <c r="D53" s="453" t="s">
        <v>499</v>
      </c>
      <c r="E53" s="445"/>
      <c r="F53" s="446"/>
      <c r="G53" s="527"/>
      <c r="H53" s="438"/>
      <c r="I53" s="438"/>
      <c r="J53" s="438"/>
      <c r="K53" s="438"/>
      <c r="L53" s="756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Y53" s="1146"/>
      <c r="Z53" s="1147">
        <v>0</v>
      </c>
    </row>
    <row r="54" spans="2:26" ht="21" customHeight="1" x14ac:dyDescent="0.25">
      <c r="B54" s="562">
        <v>7.01</v>
      </c>
      <c r="C54" s="576" t="e">
        <f>+C53+1</f>
        <v>#REF!</v>
      </c>
      <c r="D54" s="502" t="s">
        <v>498</v>
      </c>
      <c r="E54" s="496"/>
      <c r="F54" s="497"/>
      <c r="G54" s="530" t="s">
        <v>12</v>
      </c>
      <c r="H54" s="553">
        <v>2249.62</v>
      </c>
      <c r="I54" s="553"/>
      <c r="J54" s="553">
        <v>53.399999999999991</v>
      </c>
      <c r="K54" s="553">
        <f>+ROUND($H54*J54,2)</f>
        <v>120129.71</v>
      </c>
      <c r="L54" s="553">
        <f>+[191]Metrados!E55</f>
        <v>51.19</v>
      </c>
      <c r="M54" s="553">
        <f>+ROUND($H54*L54,2)</f>
        <v>115158.05</v>
      </c>
      <c r="N54" s="553">
        <f>+IF($L54-$J54&gt;=0,$L54-$J54,0)</f>
        <v>0</v>
      </c>
      <c r="O54" s="553">
        <f>+ROUND($H54*N54,2)</f>
        <v>0</v>
      </c>
      <c r="P54" s="553"/>
      <c r="Q54" s="553">
        <f>+ROUND($H54*P54,2)</f>
        <v>0</v>
      </c>
      <c r="R54" s="553">
        <f>+IF($L54-$J54&lt;=0,-$L54+$J54,0)</f>
        <v>2.2099999999999937</v>
      </c>
      <c r="S54" s="553">
        <f>+ROUND($H54*R54,2)</f>
        <v>4971.66</v>
      </c>
      <c r="T54" s="553">
        <f>+R54</f>
        <v>2.2099999999999937</v>
      </c>
      <c r="U54" s="553">
        <f>+ROUND($H54*T54,2)</f>
        <v>4971.66</v>
      </c>
      <c r="V54" s="553" t="s">
        <v>833</v>
      </c>
      <c r="Y54" s="1146"/>
      <c r="Z54" s="1147">
        <v>0</v>
      </c>
    </row>
    <row r="55" spans="2:26" ht="21" customHeight="1" x14ac:dyDescent="0.25">
      <c r="B55" s="562">
        <v>7.02</v>
      </c>
      <c r="C55" s="576" t="e">
        <f>+C54+1</f>
        <v>#REF!</v>
      </c>
      <c r="D55" s="502" t="s">
        <v>497</v>
      </c>
      <c r="E55" s="496"/>
      <c r="F55" s="497"/>
      <c r="G55" s="532" t="s">
        <v>12</v>
      </c>
      <c r="H55" s="565">
        <v>4157</v>
      </c>
      <c r="I55" s="565"/>
      <c r="J55" s="565">
        <v>1.91</v>
      </c>
      <c r="K55" s="565">
        <f>+ROUND($H55*J55,2)</f>
        <v>7939.87</v>
      </c>
      <c r="L55" s="579">
        <f>+[191]Metrados!E56</f>
        <v>1.17</v>
      </c>
      <c r="M55" s="565">
        <f>+ROUND($H55*L55,2)</f>
        <v>4863.6899999999996</v>
      </c>
      <c r="N55" s="565">
        <f>+IF($L55-$J55&gt;=0,$L55-$J55,0)</f>
        <v>0</v>
      </c>
      <c r="O55" s="565">
        <f>+ROUND($H55*N55,2)</f>
        <v>0</v>
      </c>
      <c r="P55" s="565"/>
      <c r="Q55" s="565">
        <f>+ROUND($H55*P55,2)</f>
        <v>0</v>
      </c>
      <c r="R55" s="565">
        <f>+IF($L55-$J55&lt;=0,-$L55+$J55,0)</f>
        <v>0.74</v>
      </c>
      <c r="S55" s="565">
        <f>+ROUND($H55*R55,2)</f>
        <v>3076.18</v>
      </c>
      <c r="T55" s="565">
        <f>+R55</f>
        <v>0.74</v>
      </c>
      <c r="U55" s="565">
        <f>+ROUND($H55*T55,2)</f>
        <v>3076.18</v>
      </c>
      <c r="V55" s="565" t="s">
        <v>833</v>
      </c>
      <c r="Y55" s="1146"/>
      <c r="Z55" s="1147">
        <v>0</v>
      </c>
    </row>
    <row r="56" spans="2:26" ht="21" customHeight="1" x14ac:dyDescent="0.25">
      <c r="B56" s="456"/>
      <c r="C56" s="483" t="e">
        <f>+#REF!+1</f>
        <v>#REF!</v>
      </c>
      <c r="D56" s="537"/>
      <c r="E56" s="538"/>
      <c r="F56" s="544" t="str">
        <f>+"SUB-TOTAL   "&amp;B53&amp;":  "</f>
        <v xml:space="preserve">SUB-TOTAL   7:  </v>
      </c>
      <c r="G56" s="440"/>
      <c r="H56" s="438"/>
      <c r="I56" s="438"/>
      <c r="J56" s="438"/>
      <c r="K56" s="548">
        <f>+SUM(K54:K55)</f>
        <v>128069.58</v>
      </c>
      <c r="L56" s="540"/>
      <c r="M56" s="548">
        <f>+SUM(M54:M55)</f>
        <v>120021.74</v>
      </c>
      <c r="N56" s="438"/>
      <c r="O56" s="548">
        <f>+SUM(O54:O55)</f>
        <v>0</v>
      </c>
      <c r="P56" s="438"/>
      <c r="Q56" s="548">
        <f>+SUM(Q54:Q55)</f>
        <v>0</v>
      </c>
      <c r="R56" s="438"/>
      <c r="S56" s="548">
        <f>+SUM(S54:S55)</f>
        <v>8047.84</v>
      </c>
      <c r="T56" s="438"/>
      <c r="U56" s="548">
        <f>+SUM(U54:U55)</f>
        <v>8047.84</v>
      </c>
      <c r="V56" s="438"/>
      <c r="Y56" s="1146"/>
      <c r="Z56" s="1147">
        <v>0</v>
      </c>
    </row>
    <row r="57" spans="2:26" ht="21" customHeight="1" x14ac:dyDescent="0.25">
      <c r="B57" s="452">
        <v>8</v>
      </c>
      <c r="C57" s="481" t="e">
        <f t="shared" ref="C57:C68" si="11">+C56+1</f>
        <v>#REF!</v>
      </c>
      <c r="D57" s="453" t="s">
        <v>496</v>
      </c>
      <c r="E57" s="445"/>
      <c r="F57" s="446"/>
      <c r="G57" s="527"/>
      <c r="H57" s="438"/>
      <c r="I57" s="438"/>
      <c r="J57" s="438"/>
      <c r="K57" s="438"/>
      <c r="L57" s="756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Y57" s="1146"/>
      <c r="Z57" s="1147">
        <v>0</v>
      </c>
    </row>
    <row r="58" spans="2:26" ht="21" customHeight="1" x14ac:dyDescent="0.25">
      <c r="B58" s="562">
        <v>8.01</v>
      </c>
      <c r="C58" s="576" t="e">
        <f t="shared" si="11"/>
        <v>#REF!</v>
      </c>
      <c r="D58" s="502" t="s">
        <v>495</v>
      </c>
      <c r="E58" s="496"/>
      <c r="F58" s="497"/>
      <c r="G58" s="530" t="s">
        <v>11</v>
      </c>
      <c r="H58" s="553">
        <v>10.19</v>
      </c>
      <c r="I58" s="553"/>
      <c r="J58" s="553">
        <v>326</v>
      </c>
      <c r="K58" s="553">
        <f t="shared" ref="K58:K70" si="12">+ROUND($H58*J58,2)</f>
        <v>3321.94</v>
      </c>
      <c r="L58" s="553">
        <f>+[191]Metrados!E59</f>
        <v>275</v>
      </c>
      <c r="M58" s="553">
        <f t="shared" ref="M58:M70" si="13">+ROUND($H58*L58,2)</f>
        <v>2802.25</v>
      </c>
      <c r="N58" s="553">
        <f t="shared" ref="N58:N70" si="14">+IF($L58-$J58&gt;=0,$L58-$J58,0)</f>
        <v>0</v>
      </c>
      <c r="O58" s="553">
        <f t="shared" ref="O58:O70" si="15">+ROUND($H58*N58,2)</f>
        <v>0</v>
      </c>
      <c r="P58" s="553"/>
      <c r="Q58" s="553">
        <f t="shared" ref="Q58:Q70" si="16">+ROUND($H58*P58,2)</f>
        <v>0</v>
      </c>
      <c r="R58" s="553">
        <f t="shared" ref="R58:R70" si="17">+IF($L58-$J58&lt;=0,-$L58+$J58,0)</f>
        <v>51</v>
      </c>
      <c r="S58" s="553">
        <f t="shared" ref="S58:S71" si="18">+ROUND($H58*R58,2)</f>
        <v>519.69000000000005</v>
      </c>
      <c r="T58" s="553">
        <f>+P72</f>
        <v>2</v>
      </c>
      <c r="U58" s="553">
        <f t="shared" ref="U58:U71" si="19">+ROUND($H58*T58,2)</f>
        <v>20.38</v>
      </c>
      <c r="V58" s="553" t="s">
        <v>909</v>
      </c>
      <c r="Y58" s="1146"/>
      <c r="Z58" s="1147">
        <v>0</v>
      </c>
    </row>
    <row r="59" spans="2:26" ht="21" customHeight="1" x14ac:dyDescent="0.25">
      <c r="B59" s="562">
        <v>8.02</v>
      </c>
      <c r="C59" s="576" t="e">
        <f t="shared" si="11"/>
        <v>#REF!</v>
      </c>
      <c r="D59" s="502" t="s">
        <v>494</v>
      </c>
      <c r="E59" s="496"/>
      <c r="F59" s="497"/>
      <c r="G59" s="530" t="s">
        <v>11</v>
      </c>
      <c r="H59" s="553">
        <v>17.38</v>
      </c>
      <c r="I59" s="553"/>
      <c r="J59" s="553">
        <v>2</v>
      </c>
      <c r="K59" s="553">
        <f t="shared" si="12"/>
        <v>34.76</v>
      </c>
      <c r="L59" s="553">
        <f>+[191]Metrados!E60</f>
        <v>2</v>
      </c>
      <c r="M59" s="553">
        <f t="shared" si="13"/>
        <v>34.76</v>
      </c>
      <c r="N59" s="553">
        <f t="shared" si="14"/>
        <v>0</v>
      </c>
      <c r="O59" s="553">
        <f t="shared" si="15"/>
        <v>0</v>
      </c>
      <c r="P59" s="553"/>
      <c r="Q59" s="553">
        <f t="shared" si="16"/>
        <v>0</v>
      </c>
      <c r="R59" s="553">
        <f t="shared" si="17"/>
        <v>0</v>
      </c>
      <c r="S59" s="553">
        <f t="shared" si="18"/>
        <v>0</v>
      </c>
      <c r="T59" s="553"/>
      <c r="U59" s="553">
        <f t="shared" si="19"/>
        <v>0</v>
      </c>
      <c r="V59" s="553"/>
      <c r="Y59" s="1146"/>
      <c r="Z59" s="1147">
        <v>0</v>
      </c>
    </row>
    <row r="60" spans="2:26" ht="21" customHeight="1" x14ac:dyDescent="0.25">
      <c r="B60" s="562">
        <v>8.0299999999999994</v>
      </c>
      <c r="C60" s="576" t="e">
        <f t="shared" si="11"/>
        <v>#REF!</v>
      </c>
      <c r="D60" s="502" t="s">
        <v>493</v>
      </c>
      <c r="E60" s="496"/>
      <c r="F60" s="497"/>
      <c r="G60" s="530" t="s">
        <v>11</v>
      </c>
      <c r="H60" s="553">
        <v>12.11</v>
      </c>
      <c r="I60" s="553"/>
      <c r="J60" s="553">
        <v>17</v>
      </c>
      <c r="K60" s="553">
        <f t="shared" si="12"/>
        <v>205.87</v>
      </c>
      <c r="L60" s="553">
        <f>+[191]Metrados!E61</f>
        <v>0</v>
      </c>
      <c r="M60" s="553">
        <f t="shared" si="13"/>
        <v>0</v>
      </c>
      <c r="N60" s="553">
        <f t="shared" si="14"/>
        <v>0</v>
      </c>
      <c r="O60" s="553">
        <f t="shared" si="15"/>
        <v>0</v>
      </c>
      <c r="P60" s="553"/>
      <c r="Q60" s="553">
        <f t="shared" si="16"/>
        <v>0</v>
      </c>
      <c r="R60" s="553">
        <f t="shared" si="17"/>
        <v>17</v>
      </c>
      <c r="S60" s="553">
        <f t="shared" si="18"/>
        <v>205.87</v>
      </c>
      <c r="T60" s="553"/>
      <c r="U60" s="553">
        <f t="shared" si="19"/>
        <v>0</v>
      </c>
      <c r="V60" s="553"/>
      <c r="Y60" s="1146"/>
      <c r="Z60" s="1147">
        <v>0</v>
      </c>
    </row>
    <row r="61" spans="2:26" ht="21" customHeight="1" x14ac:dyDescent="0.25">
      <c r="B61" s="562">
        <v>8.0399999999999991</v>
      </c>
      <c r="C61" s="576" t="e">
        <f t="shared" si="11"/>
        <v>#REF!</v>
      </c>
      <c r="D61" s="502" t="s">
        <v>492</v>
      </c>
      <c r="E61" s="496"/>
      <c r="F61" s="497"/>
      <c r="G61" s="530" t="s">
        <v>11</v>
      </c>
      <c r="H61" s="553">
        <v>11.59</v>
      </c>
      <c r="I61" s="553"/>
      <c r="J61" s="553">
        <v>7</v>
      </c>
      <c r="K61" s="553">
        <f t="shared" si="12"/>
        <v>81.13</v>
      </c>
      <c r="L61" s="553">
        <f>+[191]Metrados!E62</f>
        <v>0</v>
      </c>
      <c r="M61" s="553">
        <f t="shared" si="13"/>
        <v>0</v>
      </c>
      <c r="N61" s="553">
        <f t="shared" si="14"/>
        <v>0</v>
      </c>
      <c r="O61" s="553">
        <f t="shared" si="15"/>
        <v>0</v>
      </c>
      <c r="P61" s="553"/>
      <c r="Q61" s="553">
        <f t="shared" si="16"/>
        <v>0</v>
      </c>
      <c r="R61" s="553">
        <f t="shared" si="17"/>
        <v>7</v>
      </c>
      <c r="S61" s="553">
        <f t="shared" si="18"/>
        <v>81.13</v>
      </c>
      <c r="T61" s="553"/>
      <c r="U61" s="553">
        <f t="shared" si="19"/>
        <v>0</v>
      </c>
      <c r="V61" s="553"/>
      <c r="Y61" s="1146"/>
      <c r="Z61" s="1147">
        <v>0</v>
      </c>
    </row>
    <row r="62" spans="2:26" ht="21" customHeight="1" x14ac:dyDescent="0.25">
      <c r="B62" s="562">
        <v>8.0499999999999989</v>
      </c>
      <c r="C62" s="576" t="e">
        <f t="shared" si="11"/>
        <v>#REF!</v>
      </c>
      <c r="D62" s="502" t="s">
        <v>491</v>
      </c>
      <c r="E62" s="496"/>
      <c r="F62" s="497"/>
      <c r="G62" s="530" t="s">
        <v>11</v>
      </c>
      <c r="H62" s="553">
        <v>7.77</v>
      </c>
      <c r="I62" s="553"/>
      <c r="J62" s="553">
        <v>84</v>
      </c>
      <c r="K62" s="553">
        <f t="shared" si="12"/>
        <v>652.67999999999995</v>
      </c>
      <c r="L62" s="553">
        <f>+[191]Metrados!E63</f>
        <v>190</v>
      </c>
      <c r="M62" s="553">
        <f t="shared" si="13"/>
        <v>1476.3</v>
      </c>
      <c r="N62" s="553">
        <f t="shared" si="14"/>
        <v>106</v>
      </c>
      <c r="O62" s="553">
        <f t="shared" si="15"/>
        <v>823.62</v>
      </c>
      <c r="P62" s="553"/>
      <c r="Q62" s="553">
        <f t="shared" si="16"/>
        <v>0</v>
      </c>
      <c r="R62" s="553">
        <f t="shared" si="17"/>
        <v>0</v>
      </c>
      <c r="S62" s="553">
        <f t="shared" si="18"/>
        <v>0</v>
      </c>
      <c r="T62" s="553"/>
      <c r="U62" s="553">
        <f t="shared" si="19"/>
        <v>0</v>
      </c>
      <c r="V62" s="553"/>
      <c r="Y62" s="1146"/>
      <c r="Z62" s="1147">
        <v>0</v>
      </c>
    </row>
    <row r="63" spans="2:26" ht="21" customHeight="1" x14ac:dyDescent="0.25">
      <c r="B63" s="562">
        <v>8.0599999999999987</v>
      </c>
      <c r="C63" s="576" t="e">
        <f t="shared" si="11"/>
        <v>#REF!</v>
      </c>
      <c r="D63" s="502" t="s">
        <v>490</v>
      </c>
      <c r="E63" s="496"/>
      <c r="F63" s="497"/>
      <c r="G63" s="530" t="s">
        <v>11</v>
      </c>
      <c r="H63" s="553">
        <v>10.36</v>
      </c>
      <c r="I63" s="553"/>
      <c r="J63" s="553">
        <v>2</v>
      </c>
      <c r="K63" s="553">
        <f t="shared" si="12"/>
        <v>20.72</v>
      </c>
      <c r="L63" s="553">
        <f>+[191]Metrados!E64</f>
        <v>6</v>
      </c>
      <c r="M63" s="553">
        <f t="shared" si="13"/>
        <v>62.16</v>
      </c>
      <c r="N63" s="553">
        <f t="shared" si="14"/>
        <v>4</v>
      </c>
      <c r="O63" s="553">
        <f t="shared" si="15"/>
        <v>41.44</v>
      </c>
      <c r="P63" s="553"/>
      <c r="Q63" s="553">
        <f t="shared" si="16"/>
        <v>0</v>
      </c>
      <c r="R63" s="553">
        <f t="shared" si="17"/>
        <v>0</v>
      </c>
      <c r="S63" s="553">
        <f t="shared" si="18"/>
        <v>0</v>
      </c>
      <c r="T63" s="553"/>
      <c r="U63" s="553">
        <f t="shared" si="19"/>
        <v>0</v>
      </c>
      <c r="V63" s="553"/>
      <c r="Y63" s="1146"/>
      <c r="Z63" s="1147">
        <v>0</v>
      </c>
    </row>
    <row r="64" spans="2:26" ht="21" customHeight="1" x14ac:dyDescent="0.25">
      <c r="B64" s="562">
        <v>8.0699999999999985</v>
      </c>
      <c r="C64" s="576" t="e">
        <f t="shared" si="11"/>
        <v>#REF!</v>
      </c>
      <c r="D64" s="502" t="s">
        <v>489</v>
      </c>
      <c r="E64" s="496"/>
      <c r="F64" s="497"/>
      <c r="G64" s="530" t="s">
        <v>13</v>
      </c>
      <c r="H64" s="553">
        <v>1.41</v>
      </c>
      <c r="I64" s="553"/>
      <c r="J64" s="553">
        <v>1052.3</v>
      </c>
      <c r="K64" s="553">
        <f t="shared" si="12"/>
        <v>1483.74</v>
      </c>
      <c r="L64" s="553">
        <f>+[191]Metrados!E65</f>
        <v>905</v>
      </c>
      <c r="M64" s="553">
        <f t="shared" si="13"/>
        <v>1276.05</v>
      </c>
      <c r="N64" s="553">
        <f t="shared" si="14"/>
        <v>0</v>
      </c>
      <c r="O64" s="553">
        <f t="shared" si="15"/>
        <v>0</v>
      </c>
      <c r="P64" s="553"/>
      <c r="Q64" s="553">
        <f t="shared" si="16"/>
        <v>0</v>
      </c>
      <c r="R64" s="553">
        <f t="shared" si="17"/>
        <v>147.29999999999995</v>
      </c>
      <c r="S64" s="553">
        <f t="shared" si="18"/>
        <v>207.69</v>
      </c>
      <c r="T64" s="553"/>
      <c r="U64" s="553">
        <f t="shared" si="19"/>
        <v>0</v>
      </c>
      <c r="V64" s="553"/>
      <c r="Y64" s="1146"/>
      <c r="Z64" s="1147">
        <v>0</v>
      </c>
    </row>
    <row r="65" spans="2:26" ht="21" customHeight="1" x14ac:dyDescent="0.25">
      <c r="B65" s="562">
        <v>8.0799999999999983</v>
      </c>
      <c r="C65" s="576" t="e">
        <f t="shared" si="11"/>
        <v>#REF!</v>
      </c>
      <c r="D65" s="502" t="s">
        <v>488</v>
      </c>
      <c r="E65" s="496"/>
      <c r="F65" s="497"/>
      <c r="G65" s="530" t="s">
        <v>11</v>
      </c>
      <c r="H65" s="553">
        <v>36.01</v>
      </c>
      <c r="I65" s="553"/>
      <c r="J65" s="553">
        <v>4</v>
      </c>
      <c r="K65" s="553">
        <f t="shared" si="12"/>
        <v>144.04</v>
      </c>
      <c r="L65" s="553">
        <f>+[191]Metrados!E66</f>
        <v>2</v>
      </c>
      <c r="M65" s="553">
        <f t="shared" si="13"/>
        <v>72.02</v>
      </c>
      <c r="N65" s="553">
        <f t="shared" si="14"/>
        <v>0</v>
      </c>
      <c r="O65" s="553">
        <f t="shared" si="15"/>
        <v>0</v>
      </c>
      <c r="P65" s="553"/>
      <c r="Q65" s="553">
        <f t="shared" si="16"/>
        <v>0</v>
      </c>
      <c r="R65" s="553">
        <f t="shared" si="17"/>
        <v>2</v>
      </c>
      <c r="S65" s="553">
        <f t="shared" si="18"/>
        <v>72.02</v>
      </c>
      <c r="T65" s="553"/>
      <c r="U65" s="553">
        <f t="shared" si="19"/>
        <v>0</v>
      </c>
      <c r="V65" s="553"/>
      <c r="Y65" s="1146"/>
      <c r="Z65" s="1147">
        <v>0</v>
      </c>
    </row>
    <row r="66" spans="2:26" ht="21" customHeight="1" x14ac:dyDescent="0.25">
      <c r="B66" s="562">
        <v>8.0899999999999981</v>
      </c>
      <c r="C66" s="576" t="e">
        <f t="shared" si="11"/>
        <v>#REF!</v>
      </c>
      <c r="D66" s="502" t="s">
        <v>487</v>
      </c>
      <c r="E66" s="496"/>
      <c r="F66" s="497"/>
      <c r="G66" s="530" t="s">
        <v>11</v>
      </c>
      <c r="H66" s="553">
        <v>44.34</v>
      </c>
      <c r="I66" s="553"/>
      <c r="J66" s="553">
        <v>8</v>
      </c>
      <c r="K66" s="553">
        <f t="shared" si="12"/>
        <v>354.72</v>
      </c>
      <c r="L66" s="553">
        <f>+[191]Metrados!E67</f>
        <v>6</v>
      </c>
      <c r="M66" s="553">
        <f t="shared" si="13"/>
        <v>266.04000000000002</v>
      </c>
      <c r="N66" s="553">
        <f t="shared" si="14"/>
        <v>0</v>
      </c>
      <c r="O66" s="553">
        <f t="shared" si="15"/>
        <v>0</v>
      </c>
      <c r="P66" s="553"/>
      <c r="Q66" s="553">
        <f t="shared" si="16"/>
        <v>0</v>
      </c>
      <c r="R66" s="553">
        <f t="shared" si="17"/>
        <v>2</v>
      </c>
      <c r="S66" s="553">
        <f t="shared" si="18"/>
        <v>88.68</v>
      </c>
      <c r="T66" s="553"/>
      <c r="U66" s="553">
        <f t="shared" si="19"/>
        <v>0</v>
      </c>
      <c r="V66" s="553"/>
      <c r="Y66" s="1146"/>
      <c r="Z66" s="1147">
        <v>0</v>
      </c>
    </row>
    <row r="67" spans="2:26" ht="21" customHeight="1" x14ac:dyDescent="0.25">
      <c r="B67" s="562">
        <v>8.0999999999999979</v>
      </c>
      <c r="C67" s="576" t="e">
        <f t="shared" si="11"/>
        <v>#REF!</v>
      </c>
      <c r="D67" s="502" t="s">
        <v>486</v>
      </c>
      <c r="E67" s="496"/>
      <c r="F67" s="497"/>
      <c r="G67" s="530" t="s">
        <v>11</v>
      </c>
      <c r="H67" s="553">
        <v>29.37</v>
      </c>
      <c r="I67" s="553"/>
      <c r="J67" s="553">
        <v>14</v>
      </c>
      <c r="K67" s="553">
        <f t="shared" si="12"/>
        <v>411.18</v>
      </c>
      <c r="L67" s="553">
        <f>+[191]Metrados!E68</f>
        <v>2</v>
      </c>
      <c r="M67" s="553">
        <f t="shared" si="13"/>
        <v>58.74</v>
      </c>
      <c r="N67" s="553">
        <f t="shared" si="14"/>
        <v>0</v>
      </c>
      <c r="O67" s="553">
        <f t="shared" si="15"/>
        <v>0</v>
      </c>
      <c r="P67" s="553"/>
      <c r="Q67" s="553">
        <f t="shared" si="16"/>
        <v>0</v>
      </c>
      <c r="R67" s="553">
        <f t="shared" si="17"/>
        <v>12</v>
      </c>
      <c r="S67" s="553">
        <f t="shared" si="18"/>
        <v>352.44</v>
      </c>
      <c r="T67" s="553">
        <f>+R67</f>
        <v>12</v>
      </c>
      <c r="U67" s="553">
        <f t="shared" si="19"/>
        <v>352.44</v>
      </c>
      <c r="V67" s="553" t="s">
        <v>907</v>
      </c>
      <c r="Y67" s="1146"/>
      <c r="Z67" s="1147">
        <v>0</v>
      </c>
    </row>
    <row r="68" spans="2:26" ht="21" customHeight="1" x14ac:dyDescent="0.25">
      <c r="B68" s="562">
        <v>8.1099999999999977</v>
      </c>
      <c r="C68" s="576" t="e">
        <f t="shared" si="11"/>
        <v>#REF!</v>
      </c>
      <c r="D68" s="502" t="s">
        <v>485</v>
      </c>
      <c r="E68" s="496"/>
      <c r="F68" s="497"/>
      <c r="G68" s="530" t="s">
        <v>11</v>
      </c>
      <c r="H68" s="553">
        <v>47.48</v>
      </c>
      <c r="I68" s="553"/>
      <c r="J68" s="553">
        <v>4</v>
      </c>
      <c r="K68" s="553">
        <f t="shared" si="12"/>
        <v>189.92</v>
      </c>
      <c r="L68" s="553">
        <f>+[191]Metrados!E69</f>
        <v>0</v>
      </c>
      <c r="M68" s="553">
        <f t="shared" si="13"/>
        <v>0</v>
      </c>
      <c r="N68" s="553">
        <f t="shared" si="14"/>
        <v>0</v>
      </c>
      <c r="O68" s="553">
        <f t="shared" si="15"/>
        <v>0</v>
      </c>
      <c r="P68" s="553"/>
      <c r="Q68" s="553">
        <f t="shared" si="16"/>
        <v>0</v>
      </c>
      <c r="R68" s="553">
        <f t="shared" si="17"/>
        <v>4</v>
      </c>
      <c r="S68" s="553">
        <f t="shared" si="18"/>
        <v>189.92</v>
      </c>
      <c r="T68" s="553"/>
      <c r="U68" s="553">
        <f t="shared" si="19"/>
        <v>0</v>
      </c>
      <c r="V68" s="553"/>
      <c r="Y68" s="1146"/>
      <c r="Z68" s="1147">
        <v>0</v>
      </c>
    </row>
    <row r="69" spans="2:26" ht="21" customHeight="1" x14ac:dyDescent="0.25">
      <c r="B69" s="562">
        <v>8.1199999999999974</v>
      </c>
      <c r="C69" s="576" t="e">
        <f>+C63+1</f>
        <v>#REF!</v>
      </c>
      <c r="D69" s="502" t="s">
        <v>484</v>
      </c>
      <c r="E69" s="496"/>
      <c r="F69" s="497"/>
      <c r="G69" s="530" t="s">
        <v>11</v>
      </c>
      <c r="H69" s="553">
        <v>25.34</v>
      </c>
      <c r="I69" s="553"/>
      <c r="J69" s="553">
        <v>129</v>
      </c>
      <c r="K69" s="553">
        <f t="shared" si="12"/>
        <v>3268.86</v>
      </c>
      <c r="L69" s="553">
        <f>+[191]Metrados!E70</f>
        <v>273</v>
      </c>
      <c r="M69" s="553">
        <f t="shared" si="13"/>
        <v>6917.82</v>
      </c>
      <c r="N69" s="553">
        <f t="shared" si="14"/>
        <v>144</v>
      </c>
      <c r="O69" s="553">
        <f t="shared" si="15"/>
        <v>3648.96</v>
      </c>
      <c r="P69" s="553"/>
      <c r="Q69" s="553">
        <f t="shared" si="16"/>
        <v>0</v>
      </c>
      <c r="R69" s="553">
        <f t="shared" si="17"/>
        <v>0</v>
      </c>
      <c r="S69" s="553">
        <f t="shared" si="18"/>
        <v>0</v>
      </c>
      <c r="T69" s="553"/>
      <c r="U69" s="553">
        <f t="shared" si="19"/>
        <v>0</v>
      </c>
      <c r="V69" s="553"/>
      <c r="Y69" s="1146"/>
      <c r="Z69" s="1147">
        <v>0</v>
      </c>
    </row>
    <row r="70" spans="2:26" ht="21" customHeight="1" x14ac:dyDescent="0.25">
      <c r="B70" s="562">
        <v>8.1299999999999972</v>
      </c>
      <c r="C70" s="576" t="e">
        <f>+C59+1</f>
        <v>#REF!</v>
      </c>
      <c r="D70" s="502" t="s">
        <v>483</v>
      </c>
      <c r="E70" s="496"/>
      <c r="F70" s="497"/>
      <c r="G70" s="530" t="s">
        <v>11</v>
      </c>
      <c r="H70" s="553">
        <v>49.03</v>
      </c>
      <c r="I70" s="553"/>
      <c r="J70" s="553">
        <v>8</v>
      </c>
      <c r="K70" s="553">
        <f t="shared" si="12"/>
        <v>392.24</v>
      </c>
      <c r="L70" s="553">
        <f>+[191]Metrados!E71</f>
        <v>8</v>
      </c>
      <c r="M70" s="553">
        <f t="shared" si="13"/>
        <v>392.24</v>
      </c>
      <c r="N70" s="553">
        <f t="shared" si="14"/>
        <v>0</v>
      </c>
      <c r="O70" s="553">
        <f t="shared" si="15"/>
        <v>0</v>
      </c>
      <c r="P70" s="553"/>
      <c r="Q70" s="553">
        <f t="shared" si="16"/>
        <v>0</v>
      </c>
      <c r="R70" s="553">
        <f t="shared" si="17"/>
        <v>0</v>
      </c>
      <c r="S70" s="553">
        <f t="shared" si="18"/>
        <v>0</v>
      </c>
      <c r="T70" s="553"/>
      <c r="U70" s="553">
        <f t="shared" si="19"/>
        <v>0</v>
      </c>
      <c r="V70" s="553"/>
      <c r="Y70" s="1146"/>
      <c r="Z70" s="1147">
        <v>0</v>
      </c>
    </row>
    <row r="71" spans="2:26" s="547" customFormat="1" ht="21" customHeight="1" x14ac:dyDescent="0.25">
      <c r="B71" s="559">
        <v>8.14</v>
      </c>
      <c r="C71" s="575" t="e">
        <f>+#REF!+1</f>
        <v>#REF!</v>
      </c>
      <c r="D71" s="501" t="s">
        <v>769</v>
      </c>
      <c r="E71" s="545"/>
      <c r="F71" s="546"/>
      <c r="G71" s="531" t="s">
        <v>13</v>
      </c>
      <c r="H71" s="560"/>
      <c r="I71" s="560">
        <v>1</v>
      </c>
      <c r="J71" s="560"/>
      <c r="K71" s="560">
        <f>+ROUND($H71*J71,2)</f>
        <v>0</v>
      </c>
      <c r="L71" s="560">
        <f>+[191]Metrados!E72</f>
        <v>281</v>
      </c>
      <c r="M71" s="560">
        <f>+ROUND($I71*L71,2)</f>
        <v>281</v>
      </c>
      <c r="N71" s="560"/>
      <c r="O71" s="560">
        <f>+ROUND($H71*N71,2)</f>
        <v>0</v>
      </c>
      <c r="P71" s="560">
        <f>+L71</f>
        <v>281</v>
      </c>
      <c r="Q71" s="560">
        <f>+ROUND($I71*P71,2)</f>
        <v>281</v>
      </c>
      <c r="R71" s="560"/>
      <c r="S71" s="560">
        <f t="shared" si="18"/>
        <v>0</v>
      </c>
      <c r="T71" s="560"/>
      <c r="U71" s="560">
        <f t="shared" si="19"/>
        <v>0</v>
      </c>
      <c r="V71" s="560"/>
      <c r="Y71" s="1146"/>
      <c r="Z71" s="1149">
        <v>0</v>
      </c>
    </row>
    <row r="72" spans="2:26" s="547" customFormat="1" ht="21" customHeight="1" x14ac:dyDescent="0.25">
      <c r="B72" s="559">
        <v>8.15</v>
      </c>
      <c r="C72" s="575" t="e">
        <f>+#REF!+1</f>
        <v>#REF!</v>
      </c>
      <c r="D72" s="501" t="s">
        <v>786</v>
      </c>
      <c r="E72" s="545"/>
      <c r="F72" s="546"/>
      <c r="G72" s="766" t="s">
        <v>11</v>
      </c>
      <c r="H72" s="764"/>
      <c r="I72" s="767">
        <v>15.8</v>
      </c>
      <c r="J72" s="767"/>
      <c r="K72" s="769">
        <f>+ROUND($H72*J72,2)</f>
        <v>0</v>
      </c>
      <c r="L72" s="640">
        <f>+[191]Metrados!E73</f>
        <v>2</v>
      </c>
      <c r="M72" s="769">
        <f>+ROUND($I72*L72,2)</f>
        <v>31.6</v>
      </c>
      <c r="N72" s="767"/>
      <c r="O72" s="769">
        <f>+ROUND($H72*N72,2)</f>
        <v>0</v>
      </c>
      <c r="P72" s="767">
        <f>+L72</f>
        <v>2</v>
      </c>
      <c r="Q72" s="769">
        <f>+ROUND($I72*P72,2)</f>
        <v>31.6</v>
      </c>
      <c r="R72" s="767"/>
      <c r="S72" s="769">
        <f t="shared" ref="S72" si="20">+ROUND($H72*R72,2)</f>
        <v>0</v>
      </c>
      <c r="T72" s="767"/>
      <c r="U72" s="769">
        <f t="shared" ref="U72" si="21">+ROUND($H72*T72,2)</f>
        <v>0</v>
      </c>
      <c r="V72" s="767"/>
      <c r="Y72" s="1146"/>
      <c r="Z72" s="1149">
        <v>0</v>
      </c>
    </row>
    <row r="73" spans="2:26" ht="21" customHeight="1" x14ac:dyDescent="0.25">
      <c r="B73" s="456"/>
      <c r="C73" s="483" t="e">
        <f>+C71+1</f>
        <v>#REF!</v>
      </c>
      <c r="D73" s="537"/>
      <c r="E73" s="538"/>
      <c r="F73" s="544" t="str">
        <f>+"SUB-TOTAL   "&amp;B57&amp;":  "</f>
        <v xml:space="preserve">SUB-TOTAL   8:  </v>
      </c>
      <c r="G73" s="440"/>
      <c r="H73" s="540"/>
      <c r="I73" s="438"/>
      <c r="J73" s="438"/>
      <c r="K73" s="716">
        <f>+SUM(K58:K72)</f>
        <v>10561.800000000001</v>
      </c>
      <c r="L73" s="540"/>
      <c r="M73" s="716">
        <f>+SUM(M58:M72)</f>
        <v>13670.98</v>
      </c>
      <c r="N73" s="438"/>
      <c r="O73" s="716">
        <f>+SUM(O58:O72)</f>
        <v>4514.0200000000004</v>
      </c>
      <c r="P73" s="438"/>
      <c r="Q73" s="716">
        <f>+SUM(Q58:Q72)</f>
        <v>312.60000000000002</v>
      </c>
      <c r="R73" s="438"/>
      <c r="S73" s="716">
        <f>+SUM(S58:S72)</f>
        <v>1717.4400000000003</v>
      </c>
      <c r="T73" s="438"/>
      <c r="U73" s="716">
        <f>+SUM(U58:U72)</f>
        <v>372.82</v>
      </c>
      <c r="V73" s="438"/>
      <c r="Y73" s="1146"/>
      <c r="Z73" s="1147">
        <v>0</v>
      </c>
    </row>
    <row r="74" spans="2:26" ht="21" customHeight="1" x14ac:dyDescent="0.25">
      <c r="B74" s="452">
        <v>9</v>
      </c>
      <c r="C74" s="481" t="e">
        <f>+C73+1</f>
        <v>#REF!</v>
      </c>
      <c r="D74" s="453" t="s">
        <v>482</v>
      </c>
      <c r="E74" s="445"/>
      <c r="F74" s="446"/>
      <c r="G74" s="527"/>
      <c r="H74" s="438"/>
      <c r="I74" s="438"/>
      <c r="J74" s="438"/>
      <c r="K74" s="438"/>
      <c r="L74" s="756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Y74" s="1146"/>
      <c r="Z74" s="1147">
        <v>0</v>
      </c>
    </row>
    <row r="75" spans="2:26" ht="21" customHeight="1" x14ac:dyDescent="0.25">
      <c r="B75" s="562">
        <v>9.01</v>
      </c>
      <c r="C75" s="576" t="e">
        <f>+C74+1</f>
        <v>#REF!</v>
      </c>
      <c r="D75" s="502" t="s">
        <v>14</v>
      </c>
      <c r="E75" s="496"/>
      <c r="F75" s="497"/>
      <c r="G75" s="755" t="s">
        <v>13</v>
      </c>
      <c r="H75" s="565">
        <v>12.8</v>
      </c>
      <c r="I75" s="565"/>
      <c r="J75" s="565">
        <v>2936.1</v>
      </c>
      <c r="K75" s="565">
        <f>+ROUND($H75*J75,2)</f>
        <v>37582.080000000002</v>
      </c>
      <c r="L75" s="553">
        <f>+[191]Metrados!E76</f>
        <v>3162.9</v>
      </c>
      <c r="M75" s="565">
        <f>+ROUND($H75*L75,2)</f>
        <v>40485.120000000003</v>
      </c>
      <c r="N75" s="565">
        <f>+IF($L75-$J75&gt;=0,$L75-$J75,0)</f>
        <v>226.80000000000018</v>
      </c>
      <c r="O75" s="565">
        <f>+ROUND($H75*N75,2)</f>
        <v>2903.04</v>
      </c>
      <c r="P75" s="565"/>
      <c r="Q75" s="565">
        <f>+ROUND($H75*P75,2)</f>
        <v>0</v>
      </c>
      <c r="R75" s="565">
        <f>+IF($L75-$J75&lt;=0,-$L75+$J75,0)</f>
        <v>0</v>
      </c>
      <c r="S75" s="565">
        <f>+ROUND($H75*R75,2)</f>
        <v>0</v>
      </c>
      <c r="T75" s="565"/>
      <c r="U75" s="565">
        <f>+ROUND($H75*T75,2)</f>
        <v>0</v>
      </c>
      <c r="V75" s="565"/>
      <c r="Y75" s="1146"/>
      <c r="Z75" s="1147">
        <v>0</v>
      </c>
    </row>
    <row r="76" spans="2:26" ht="21" customHeight="1" x14ac:dyDescent="0.25">
      <c r="B76" s="456"/>
      <c r="C76" s="483" t="e">
        <f>+#REF!+1</f>
        <v>#REF!</v>
      </c>
      <c r="D76" s="537"/>
      <c r="E76" s="538"/>
      <c r="F76" s="544" t="str">
        <f>+"SUB-TOTAL   "&amp;B74&amp;":  "</f>
        <v xml:space="preserve">SUB-TOTAL   9:  </v>
      </c>
      <c r="G76" s="440"/>
      <c r="H76" s="438"/>
      <c r="I76" s="438"/>
      <c r="J76" s="438"/>
      <c r="K76" s="548">
        <f>+SUM(K75:K75)</f>
        <v>37582.080000000002</v>
      </c>
      <c r="L76" s="540"/>
      <c r="M76" s="548">
        <f>+SUM(M75:M75)</f>
        <v>40485.120000000003</v>
      </c>
      <c r="N76" s="438"/>
      <c r="O76" s="548">
        <f>+SUM(O75:O75)</f>
        <v>2903.04</v>
      </c>
      <c r="P76" s="438"/>
      <c r="Q76" s="548">
        <f>+SUM(Q75:Q75)</f>
        <v>0</v>
      </c>
      <c r="R76" s="438"/>
      <c r="S76" s="548">
        <f>+SUM(S75:S75)</f>
        <v>0</v>
      </c>
      <c r="T76" s="438"/>
      <c r="U76" s="548">
        <f>+SUM(U75:U75)</f>
        <v>0</v>
      </c>
      <c r="V76" s="438"/>
      <c r="Y76" s="1146"/>
      <c r="Z76" s="1147">
        <v>0</v>
      </c>
    </row>
    <row r="77" spans="2:26" ht="21" customHeight="1" x14ac:dyDescent="0.25">
      <c r="B77" s="452">
        <v>10</v>
      </c>
      <c r="C77" s="481" t="e">
        <f t="shared" ref="C77:C88" si="22">+C76+1</f>
        <v>#REF!</v>
      </c>
      <c r="D77" s="453" t="s">
        <v>481</v>
      </c>
      <c r="E77" s="445"/>
      <c r="F77" s="446"/>
      <c r="G77" s="527"/>
      <c r="H77" s="438"/>
      <c r="I77" s="438"/>
      <c r="J77" s="438"/>
      <c r="K77" s="438"/>
      <c r="L77" s="756"/>
      <c r="M77" s="438"/>
      <c r="N77" s="438"/>
      <c r="O77" s="438"/>
      <c r="P77" s="438"/>
      <c r="Q77" s="438"/>
      <c r="R77" s="438"/>
      <c r="S77" s="438"/>
      <c r="T77" s="438"/>
      <c r="U77" s="438"/>
      <c r="V77" s="438"/>
      <c r="Y77" s="1146"/>
      <c r="Z77" s="1147">
        <v>0</v>
      </c>
    </row>
    <row r="78" spans="2:26" ht="21" customHeight="1" x14ac:dyDescent="0.25">
      <c r="B78" s="562">
        <v>10.01</v>
      </c>
      <c r="C78" s="576" t="e">
        <f t="shared" si="22"/>
        <v>#REF!</v>
      </c>
      <c r="D78" s="502" t="s">
        <v>480</v>
      </c>
      <c r="E78" s="496"/>
      <c r="F78" s="497"/>
      <c r="G78" s="530" t="s">
        <v>11</v>
      </c>
      <c r="H78" s="553">
        <v>3.86</v>
      </c>
      <c r="I78" s="553"/>
      <c r="J78" s="553">
        <v>9</v>
      </c>
      <c r="K78" s="553">
        <f t="shared" ref="K78:K98" si="23">+ROUND($H78*J78,2)</f>
        <v>34.74</v>
      </c>
      <c r="L78" s="553">
        <f>+[191]Metrados!E79</f>
        <v>33</v>
      </c>
      <c r="M78" s="553">
        <f t="shared" ref="M78:M97" si="24">+ROUND($H78*L78,2)</f>
        <v>127.38</v>
      </c>
      <c r="N78" s="553">
        <f t="shared" ref="N78:N97" si="25">+IF($L78-$J78&gt;=0,$L78-$J78,0)</f>
        <v>24</v>
      </c>
      <c r="O78" s="553">
        <f t="shared" ref="O78:O98" si="26">+ROUND($H78*N78,2)</f>
        <v>92.64</v>
      </c>
      <c r="P78" s="553"/>
      <c r="Q78" s="553">
        <f t="shared" ref="Q78:Q97" si="27">+ROUND($H78*P78,2)</f>
        <v>0</v>
      </c>
      <c r="R78" s="553">
        <f t="shared" ref="R78:R97" si="28">+IF($L78-$J78&lt;=0,-$L78+$J78,0)</f>
        <v>0</v>
      </c>
      <c r="S78" s="553">
        <f t="shared" ref="S78:S98" si="29">+ROUND($H78*R78,2)</f>
        <v>0</v>
      </c>
      <c r="T78" s="553"/>
      <c r="U78" s="553">
        <f t="shared" ref="U78:U98" si="30">+ROUND($H78*T78,2)</f>
        <v>0</v>
      </c>
      <c r="V78" s="553"/>
      <c r="Y78" s="1146"/>
      <c r="Z78" s="1147">
        <v>26</v>
      </c>
    </row>
    <row r="79" spans="2:26" ht="21" customHeight="1" x14ac:dyDescent="0.25">
      <c r="B79" s="562">
        <v>10.02</v>
      </c>
      <c r="C79" s="576" t="e">
        <f t="shared" si="22"/>
        <v>#REF!</v>
      </c>
      <c r="D79" s="502" t="s">
        <v>338</v>
      </c>
      <c r="E79" s="496"/>
      <c r="F79" s="497"/>
      <c r="G79" s="530" t="s">
        <v>11</v>
      </c>
      <c r="H79" s="553">
        <v>5.57</v>
      </c>
      <c r="I79" s="553"/>
      <c r="J79" s="553">
        <v>26</v>
      </c>
      <c r="K79" s="553">
        <f t="shared" si="23"/>
        <v>144.82</v>
      </c>
      <c r="L79" s="553">
        <f>+[191]Metrados!E80</f>
        <v>0</v>
      </c>
      <c r="M79" s="553">
        <f t="shared" si="24"/>
        <v>0</v>
      </c>
      <c r="N79" s="553">
        <f t="shared" si="25"/>
        <v>0</v>
      </c>
      <c r="O79" s="553">
        <f t="shared" si="26"/>
        <v>0</v>
      </c>
      <c r="P79" s="553"/>
      <c r="Q79" s="553">
        <f t="shared" si="27"/>
        <v>0</v>
      </c>
      <c r="R79" s="553">
        <f t="shared" si="28"/>
        <v>26</v>
      </c>
      <c r="S79" s="553">
        <f t="shared" si="29"/>
        <v>144.82</v>
      </c>
      <c r="T79" s="553">
        <f>+R79</f>
        <v>26</v>
      </c>
      <c r="U79" s="553">
        <f t="shared" si="30"/>
        <v>144.82</v>
      </c>
      <c r="V79" s="553" t="s">
        <v>834</v>
      </c>
      <c r="Y79" s="1146"/>
      <c r="Z79" s="1147">
        <v>0</v>
      </c>
    </row>
    <row r="80" spans="2:26" ht="21" customHeight="1" x14ac:dyDescent="0.25">
      <c r="B80" s="562">
        <v>10.029999999999999</v>
      </c>
      <c r="C80" s="576" t="e">
        <f t="shared" si="22"/>
        <v>#REF!</v>
      </c>
      <c r="D80" s="502" t="s">
        <v>339</v>
      </c>
      <c r="E80" s="496"/>
      <c r="F80" s="497"/>
      <c r="G80" s="530" t="s">
        <v>11</v>
      </c>
      <c r="H80" s="553">
        <v>6.25</v>
      </c>
      <c r="I80" s="553"/>
      <c r="J80" s="553">
        <v>7</v>
      </c>
      <c r="K80" s="553">
        <f t="shared" si="23"/>
        <v>43.75</v>
      </c>
      <c r="L80" s="553">
        <f>+[191]Metrados!E81</f>
        <v>21</v>
      </c>
      <c r="M80" s="553">
        <f t="shared" si="24"/>
        <v>131.25</v>
      </c>
      <c r="N80" s="553">
        <f t="shared" si="25"/>
        <v>14</v>
      </c>
      <c r="O80" s="553">
        <f t="shared" si="26"/>
        <v>87.5</v>
      </c>
      <c r="P80" s="553"/>
      <c r="Q80" s="553">
        <f t="shared" si="27"/>
        <v>0</v>
      </c>
      <c r="R80" s="553">
        <f t="shared" si="28"/>
        <v>0</v>
      </c>
      <c r="S80" s="553">
        <f t="shared" si="29"/>
        <v>0</v>
      </c>
      <c r="T80" s="553"/>
      <c r="U80" s="553">
        <f t="shared" si="30"/>
        <v>0</v>
      </c>
      <c r="V80" s="553"/>
      <c r="Y80" s="1146"/>
      <c r="Z80" s="1147">
        <v>13</v>
      </c>
    </row>
    <row r="81" spans="2:26" ht="21" customHeight="1" x14ac:dyDescent="0.25">
      <c r="B81" s="562">
        <v>10.039999999999999</v>
      </c>
      <c r="C81" s="576" t="e">
        <f t="shared" si="22"/>
        <v>#REF!</v>
      </c>
      <c r="D81" s="502" t="s">
        <v>479</v>
      </c>
      <c r="E81" s="496"/>
      <c r="F81" s="497"/>
      <c r="G81" s="530" t="s">
        <v>11</v>
      </c>
      <c r="H81" s="553">
        <v>8.61</v>
      </c>
      <c r="I81" s="553"/>
      <c r="J81" s="553">
        <v>18</v>
      </c>
      <c r="K81" s="553">
        <f t="shared" si="23"/>
        <v>154.97999999999999</v>
      </c>
      <c r="L81" s="553">
        <f>+[191]Metrados!E82</f>
        <v>172</v>
      </c>
      <c r="M81" s="553">
        <f t="shared" si="24"/>
        <v>1480.92</v>
      </c>
      <c r="N81" s="553">
        <f t="shared" si="25"/>
        <v>154</v>
      </c>
      <c r="O81" s="553">
        <f t="shared" si="26"/>
        <v>1325.94</v>
      </c>
      <c r="P81" s="553"/>
      <c r="Q81" s="553">
        <f t="shared" si="27"/>
        <v>0</v>
      </c>
      <c r="R81" s="553">
        <f t="shared" si="28"/>
        <v>0</v>
      </c>
      <c r="S81" s="553">
        <f t="shared" si="29"/>
        <v>0</v>
      </c>
      <c r="T81" s="553"/>
      <c r="U81" s="553">
        <f t="shared" si="30"/>
        <v>0</v>
      </c>
      <c r="V81" s="553"/>
      <c r="Y81" s="1146"/>
      <c r="Z81" s="1147">
        <v>0</v>
      </c>
    </row>
    <row r="82" spans="2:26" ht="21" customHeight="1" x14ac:dyDescent="0.25">
      <c r="B82" s="562">
        <v>10.049999999999999</v>
      </c>
      <c r="C82" s="576" t="e">
        <f t="shared" si="22"/>
        <v>#REF!</v>
      </c>
      <c r="D82" s="502" t="s">
        <v>478</v>
      </c>
      <c r="E82" s="496"/>
      <c r="F82" s="497"/>
      <c r="G82" s="530" t="s">
        <v>11</v>
      </c>
      <c r="H82" s="553">
        <v>9.14</v>
      </c>
      <c r="I82" s="553"/>
      <c r="J82" s="553">
        <v>18</v>
      </c>
      <c r="K82" s="553">
        <f t="shared" si="23"/>
        <v>164.52</v>
      </c>
      <c r="L82" s="553">
        <f>+[191]Metrados!E83</f>
        <v>14</v>
      </c>
      <c r="M82" s="553">
        <f t="shared" si="24"/>
        <v>127.96</v>
      </c>
      <c r="N82" s="553">
        <f t="shared" si="25"/>
        <v>0</v>
      </c>
      <c r="O82" s="553">
        <f t="shared" si="26"/>
        <v>0</v>
      </c>
      <c r="P82" s="553"/>
      <c r="Q82" s="553">
        <f t="shared" si="27"/>
        <v>0</v>
      </c>
      <c r="R82" s="553">
        <f t="shared" si="28"/>
        <v>4</v>
      </c>
      <c r="S82" s="553">
        <f t="shared" si="29"/>
        <v>36.56</v>
      </c>
      <c r="T82" s="553">
        <f>+R82</f>
        <v>4</v>
      </c>
      <c r="U82" s="553">
        <f t="shared" si="30"/>
        <v>36.56</v>
      </c>
      <c r="V82" s="553" t="s">
        <v>834</v>
      </c>
      <c r="Y82" s="1146"/>
      <c r="Z82" s="1147">
        <v>0</v>
      </c>
    </row>
    <row r="83" spans="2:26" ht="21" customHeight="1" x14ac:dyDescent="0.25">
      <c r="B83" s="562">
        <v>10.059999999999999</v>
      </c>
      <c r="C83" s="576" t="e">
        <f t="shared" si="22"/>
        <v>#REF!</v>
      </c>
      <c r="D83" s="502" t="s">
        <v>477</v>
      </c>
      <c r="E83" s="496"/>
      <c r="F83" s="497"/>
      <c r="G83" s="530" t="s">
        <v>11</v>
      </c>
      <c r="H83" s="553">
        <v>9.82</v>
      </c>
      <c r="I83" s="553"/>
      <c r="J83" s="553">
        <v>8</v>
      </c>
      <c r="K83" s="553">
        <f t="shared" si="23"/>
        <v>78.56</v>
      </c>
      <c r="L83" s="553">
        <f>+[191]Metrados!E84</f>
        <v>5</v>
      </c>
      <c r="M83" s="553">
        <f t="shared" si="24"/>
        <v>49.1</v>
      </c>
      <c r="N83" s="553">
        <f t="shared" si="25"/>
        <v>0</v>
      </c>
      <c r="O83" s="553">
        <f t="shared" si="26"/>
        <v>0</v>
      </c>
      <c r="P83" s="553"/>
      <c r="Q83" s="553">
        <f t="shared" si="27"/>
        <v>0</v>
      </c>
      <c r="R83" s="553">
        <f t="shared" si="28"/>
        <v>3</v>
      </c>
      <c r="S83" s="553">
        <f t="shared" si="29"/>
        <v>29.46</v>
      </c>
      <c r="T83" s="553">
        <f>+R83</f>
        <v>3</v>
      </c>
      <c r="U83" s="553">
        <f t="shared" si="30"/>
        <v>29.46</v>
      </c>
      <c r="V83" s="553" t="s">
        <v>834</v>
      </c>
      <c r="Y83" s="1146"/>
      <c r="Z83" s="1147">
        <v>0</v>
      </c>
    </row>
    <row r="84" spans="2:26" ht="21" customHeight="1" x14ac:dyDescent="0.25">
      <c r="B84" s="562">
        <v>10.069999999999999</v>
      </c>
      <c r="C84" s="576" t="e">
        <f t="shared" si="22"/>
        <v>#REF!</v>
      </c>
      <c r="D84" s="502" t="s">
        <v>476</v>
      </c>
      <c r="E84" s="496"/>
      <c r="F84" s="497"/>
      <c r="G84" s="530" t="s">
        <v>11</v>
      </c>
      <c r="H84" s="553">
        <v>12.54</v>
      </c>
      <c r="I84" s="553"/>
      <c r="J84" s="553">
        <v>3</v>
      </c>
      <c r="K84" s="553">
        <f t="shared" si="23"/>
        <v>37.619999999999997</v>
      </c>
      <c r="L84" s="553">
        <f>+[191]Metrados!E85</f>
        <v>104</v>
      </c>
      <c r="M84" s="553">
        <f t="shared" si="24"/>
        <v>1304.1600000000001</v>
      </c>
      <c r="N84" s="553">
        <f t="shared" si="25"/>
        <v>101</v>
      </c>
      <c r="O84" s="553">
        <f t="shared" si="26"/>
        <v>1266.54</v>
      </c>
      <c r="P84" s="553"/>
      <c r="Q84" s="553">
        <f t="shared" si="27"/>
        <v>0</v>
      </c>
      <c r="R84" s="553">
        <f t="shared" si="28"/>
        <v>0</v>
      </c>
      <c r="S84" s="553">
        <f t="shared" si="29"/>
        <v>0</v>
      </c>
      <c r="T84" s="553"/>
      <c r="U84" s="553">
        <f t="shared" si="30"/>
        <v>0</v>
      </c>
      <c r="V84" s="553"/>
      <c r="Y84" s="1146"/>
      <c r="Z84" s="1147">
        <v>1</v>
      </c>
    </row>
    <row r="85" spans="2:26" ht="21" customHeight="1" x14ac:dyDescent="0.25">
      <c r="B85" s="562">
        <v>10.079999999999998</v>
      </c>
      <c r="C85" s="576" t="e">
        <f t="shared" si="22"/>
        <v>#REF!</v>
      </c>
      <c r="D85" s="502" t="s">
        <v>475</v>
      </c>
      <c r="E85" s="496"/>
      <c r="F85" s="497"/>
      <c r="G85" s="530" t="s">
        <v>11</v>
      </c>
      <c r="H85" s="553">
        <v>18.18</v>
      </c>
      <c r="I85" s="553"/>
      <c r="J85" s="553">
        <v>380</v>
      </c>
      <c r="K85" s="553">
        <f t="shared" si="23"/>
        <v>6908.4</v>
      </c>
      <c r="L85" s="553">
        <f>+[191]Metrados!E86</f>
        <v>107</v>
      </c>
      <c r="M85" s="553">
        <f t="shared" si="24"/>
        <v>1945.26</v>
      </c>
      <c r="N85" s="553">
        <f t="shared" si="25"/>
        <v>0</v>
      </c>
      <c r="O85" s="553">
        <f t="shared" si="26"/>
        <v>0</v>
      </c>
      <c r="P85" s="553"/>
      <c r="Q85" s="553">
        <f t="shared" si="27"/>
        <v>0</v>
      </c>
      <c r="R85" s="553">
        <f t="shared" si="28"/>
        <v>273</v>
      </c>
      <c r="S85" s="553">
        <f t="shared" si="29"/>
        <v>4963.1400000000003</v>
      </c>
      <c r="T85" s="553">
        <f>+N84</f>
        <v>101</v>
      </c>
      <c r="U85" s="553">
        <f t="shared" si="30"/>
        <v>1836.18</v>
      </c>
      <c r="V85" s="553" t="s">
        <v>835</v>
      </c>
      <c r="Y85" s="1146"/>
      <c r="Z85" s="1147">
        <v>-1</v>
      </c>
    </row>
    <row r="86" spans="2:26" ht="21" customHeight="1" x14ac:dyDescent="0.25">
      <c r="B86" s="562">
        <v>10.089999999999998</v>
      </c>
      <c r="C86" s="576" t="e">
        <f t="shared" si="22"/>
        <v>#REF!</v>
      </c>
      <c r="D86" s="502" t="s">
        <v>15</v>
      </c>
      <c r="E86" s="496"/>
      <c r="F86" s="497"/>
      <c r="G86" s="530" t="s">
        <v>11</v>
      </c>
      <c r="H86" s="553">
        <v>13.11</v>
      </c>
      <c r="I86" s="553"/>
      <c r="J86" s="553">
        <v>61</v>
      </c>
      <c r="K86" s="553">
        <f t="shared" si="23"/>
        <v>799.71</v>
      </c>
      <c r="L86" s="553">
        <f>+[191]Metrados!E87</f>
        <v>70</v>
      </c>
      <c r="M86" s="553">
        <f t="shared" si="24"/>
        <v>917.7</v>
      </c>
      <c r="N86" s="553">
        <f t="shared" si="25"/>
        <v>9</v>
      </c>
      <c r="O86" s="553">
        <f t="shared" si="26"/>
        <v>117.99</v>
      </c>
      <c r="P86" s="553"/>
      <c r="Q86" s="553">
        <f t="shared" si="27"/>
        <v>0</v>
      </c>
      <c r="R86" s="553">
        <f t="shared" si="28"/>
        <v>0</v>
      </c>
      <c r="S86" s="553">
        <f t="shared" si="29"/>
        <v>0</v>
      </c>
      <c r="T86" s="553"/>
      <c r="U86" s="553">
        <f t="shared" si="30"/>
        <v>0</v>
      </c>
      <c r="V86" s="553"/>
      <c r="Y86" s="1146"/>
      <c r="Z86" s="1147">
        <v>0</v>
      </c>
    </row>
    <row r="87" spans="2:26" ht="21" customHeight="1" x14ac:dyDescent="0.25">
      <c r="B87" s="562">
        <v>10.099999999999998</v>
      </c>
      <c r="C87" s="576" t="e">
        <f t="shared" si="22"/>
        <v>#REF!</v>
      </c>
      <c r="D87" s="502" t="s">
        <v>60</v>
      </c>
      <c r="E87" s="496"/>
      <c r="F87" s="497"/>
      <c r="G87" s="530" t="s">
        <v>11</v>
      </c>
      <c r="H87" s="553">
        <v>14.35</v>
      </c>
      <c r="I87" s="553"/>
      <c r="J87" s="553">
        <v>47</v>
      </c>
      <c r="K87" s="553">
        <f t="shared" si="23"/>
        <v>674.45</v>
      </c>
      <c r="L87" s="553">
        <f>+[191]Metrados!E88</f>
        <v>21</v>
      </c>
      <c r="M87" s="553">
        <f t="shared" si="24"/>
        <v>301.35000000000002</v>
      </c>
      <c r="N87" s="553">
        <f t="shared" si="25"/>
        <v>0</v>
      </c>
      <c r="O87" s="553">
        <f t="shared" si="26"/>
        <v>0</v>
      </c>
      <c r="P87" s="553"/>
      <c r="Q87" s="553">
        <f t="shared" si="27"/>
        <v>0</v>
      </c>
      <c r="R87" s="553">
        <f t="shared" si="28"/>
        <v>26</v>
      </c>
      <c r="S87" s="553">
        <f t="shared" si="29"/>
        <v>373.1</v>
      </c>
      <c r="T87" s="553">
        <f>+P98</f>
        <v>24</v>
      </c>
      <c r="U87" s="553">
        <f t="shared" si="30"/>
        <v>344.4</v>
      </c>
      <c r="V87" s="553" t="s">
        <v>910</v>
      </c>
      <c r="Y87" s="1146"/>
      <c r="Z87" s="1147">
        <v>0</v>
      </c>
    </row>
    <row r="88" spans="2:26" ht="21" customHeight="1" x14ac:dyDescent="0.25">
      <c r="B88" s="562">
        <v>10.109999999999998</v>
      </c>
      <c r="C88" s="576" t="e">
        <f t="shared" si="22"/>
        <v>#REF!</v>
      </c>
      <c r="D88" s="502" t="s">
        <v>474</v>
      </c>
      <c r="E88" s="496"/>
      <c r="F88" s="497"/>
      <c r="G88" s="530" t="s">
        <v>11</v>
      </c>
      <c r="H88" s="553">
        <v>14.6</v>
      </c>
      <c r="I88" s="553"/>
      <c r="J88" s="553">
        <v>9</v>
      </c>
      <c r="K88" s="553">
        <f t="shared" si="23"/>
        <v>131.4</v>
      </c>
      <c r="L88" s="553">
        <f>+[191]Metrados!E89</f>
        <v>0</v>
      </c>
      <c r="M88" s="553">
        <f t="shared" si="24"/>
        <v>0</v>
      </c>
      <c r="N88" s="553">
        <f t="shared" si="25"/>
        <v>0</v>
      </c>
      <c r="O88" s="553">
        <f t="shared" si="26"/>
        <v>0</v>
      </c>
      <c r="P88" s="553"/>
      <c r="Q88" s="553">
        <f t="shared" si="27"/>
        <v>0</v>
      </c>
      <c r="R88" s="553">
        <f t="shared" si="28"/>
        <v>9</v>
      </c>
      <c r="S88" s="553">
        <f t="shared" si="29"/>
        <v>131.4</v>
      </c>
      <c r="T88" s="553">
        <f>+R88</f>
        <v>9</v>
      </c>
      <c r="U88" s="553">
        <f t="shared" si="30"/>
        <v>131.4</v>
      </c>
      <c r="V88" s="553" t="s">
        <v>836</v>
      </c>
      <c r="Y88" s="1146"/>
      <c r="Z88" s="1147">
        <v>0</v>
      </c>
    </row>
    <row r="89" spans="2:26" ht="21" customHeight="1" x14ac:dyDescent="0.25">
      <c r="B89" s="562">
        <v>10.119999999999997</v>
      </c>
      <c r="C89" s="576" t="e">
        <f>+C83+1</f>
        <v>#REF!</v>
      </c>
      <c r="D89" s="502" t="s">
        <v>16</v>
      </c>
      <c r="E89" s="496"/>
      <c r="F89" s="497"/>
      <c r="G89" s="530" t="s">
        <v>11</v>
      </c>
      <c r="H89" s="553">
        <v>11.17</v>
      </c>
      <c r="I89" s="553"/>
      <c r="J89" s="553">
        <v>38</v>
      </c>
      <c r="K89" s="553">
        <f t="shared" si="23"/>
        <v>424.46</v>
      </c>
      <c r="L89" s="553">
        <f>+[191]Metrados!E90</f>
        <v>112</v>
      </c>
      <c r="M89" s="553">
        <f t="shared" si="24"/>
        <v>1251.04</v>
      </c>
      <c r="N89" s="553">
        <f t="shared" si="25"/>
        <v>74</v>
      </c>
      <c r="O89" s="553">
        <f t="shared" si="26"/>
        <v>826.58</v>
      </c>
      <c r="P89" s="553"/>
      <c r="Q89" s="553">
        <f t="shared" si="27"/>
        <v>0</v>
      </c>
      <c r="R89" s="553">
        <f t="shared" si="28"/>
        <v>0</v>
      </c>
      <c r="S89" s="553">
        <f t="shared" si="29"/>
        <v>0</v>
      </c>
      <c r="T89" s="553"/>
      <c r="U89" s="553">
        <f t="shared" si="30"/>
        <v>0</v>
      </c>
      <c r="V89" s="553"/>
      <c r="Y89" s="1146"/>
      <c r="Z89" s="1147">
        <v>0</v>
      </c>
    </row>
    <row r="90" spans="2:26" ht="21" customHeight="1" x14ac:dyDescent="0.25">
      <c r="B90" s="562">
        <v>10.129999999999997</v>
      </c>
      <c r="C90" s="576" t="e">
        <f t="shared" ref="C90:C96" si="31">+C89+1</f>
        <v>#REF!</v>
      </c>
      <c r="D90" s="502" t="s">
        <v>473</v>
      </c>
      <c r="E90" s="496"/>
      <c r="F90" s="497"/>
      <c r="G90" s="530" t="s">
        <v>11</v>
      </c>
      <c r="H90" s="553">
        <v>2.74</v>
      </c>
      <c r="I90" s="553"/>
      <c r="J90" s="553">
        <v>4</v>
      </c>
      <c r="K90" s="553">
        <f t="shared" si="23"/>
        <v>10.96</v>
      </c>
      <c r="L90" s="553">
        <f>+[191]Metrados!E91</f>
        <v>0</v>
      </c>
      <c r="M90" s="553">
        <f t="shared" si="24"/>
        <v>0</v>
      </c>
      <c r="N90" s="553">
        <f t="shared" si="25"/>
        <v>0</v>
      </c>
      <c r="O90" s="553">
        <f t="shared" si="26"/>
        <v>0</v>
      </c>
      <c r="P90" s="553"/>
      <c r="Q90" s="553">
        <f t="shared" si="27"/>
        <v>0</v>
      </c>
      <c r="R90" s="553">
        <f t="shared" si="28"/>
        <v>4</v>
      </c>
      <c r="S90" s="553">
        <f t="shared" si="29"/>
        <v>10.96</v>
      </c>
      <c r="T90" s="553">
        <f>+N80</f>
        <v>14</v>
      </c>
      <c r="U90" s="553">
        <f t="shared" si="30"/>
        <v>38.36</v>
      </c>
      <c r="V90" s="553" t="s">
        <v>837</v>
      </c>
      <c r="Y90" s="1146"/>
      <c r="Z90" s="1147">
        <v>0</v>
      </c>
    </row>
    <row r="91" spans="2:26" ht="21" customHeight="1" x14ac:dyDescent="0.25">
      <c r="B91" s="562">
        <v>10.139999999999997</v>
      </c>
      <c r="C91" s="576" t="e">
        <f t="shared" si="31"/>
        <v>#REF!</v>
      </c>
      <c r="D91" s="502" t="s">
        <v>472</v>
      </c>
      <c r="E91" s="496"/>
      <c r="F91" s="497"/>
      <c r="G91" s="530" t="s">
        <v>11</v>
      </c>
      <c r="H91" s="553">
        <v>22.46</v>
      </c>
      <c r="I91" s="553"/>
      <c r="J91" s="553">
        <v>13</v>
      </c>
      <c r="K91" s="553">
        <f t="shared" si="23"/>
        <v>291.98</v>
      </c>
      <c r="L91" s="553">
        <f>+[191]Metrados!E92</f>
        <v>33</v>
      </c>
      <c r="M91" s="553">
        <f t="shared" si="24"/>
        <v>741.18</v>
      </c>
      <c r="N91" s="553">
        <f t="shared" si="25"/>
        <v>20</v>
      </c>
      <c r="O91" s="553">
        <f t="shared" si="26"/>
        <v>449.2</v>
      </c>
      <c r="P91" s="553"/>
      <c r="Q91" s="553">
        <f t="shared" si="27"/>
        <v>0</v>
      </c>
      <c r="R91" s="553">
        <f t="shared" si="28"/>
        <v>0</v>
      </c>
      <c r="S91" s="553">
        <f t="shared" si="29"/>
        <v>0</v>
      </c>
      <c r="T91" s="553"/>
      <c r="U91" s="553">
        <f t="shared" si="30"/>
        <v>0</v>
      </c>
      <c r="V91" s="553"/>
      <c r="Y91" s="1146"/>
      <c r="Z91" s="1147">
        <v>26</v>
      </c>
    </row>
    <row r="92" spans="2:26" ht="21" customHeight="1" x14ac:dyDescent="0.25">
      <c r="B92" s="562">
        <v>10.149999999999997</v>
      </c>
      <c r="C92" s="576" t="e">
        <f t="shared" si="31"/>
        <v>#REF!</v>
      </c>
      <c r="D92" s="502" t="s">
        <v>460</v>
      </c>
      <c r="E92" s="496"/>
      <c r="F92" s="497"/>
      <c r="G92" s="530" t="s">
        <v>11</v>
      </c>
      <c r="H92" s="553">
        <v>1.67</v>
      </c>
      <c r="I92" s="553"/>
      <c r="J92" s="553">
        <v>618</v>
      </c>
      <c r="K92" s="553">
        <f t="shared" si="23"/>
        <v>1032.06</v>
      </c>
      <c r="L92" s="553">
        <f>+[191]Metrados!E93</f>
        <v>518</v>
      </c>
      <c r="M92" s="553">
        <f t="shared" si="24"/>
        <v>865.06</v>
      </c>
      <c r="N92" s="553">
        <f t="shared" si="25"/>
        <v>0</v>
      </c>
      <c r="O92" s="553">
        <f t="shared" si="26"/>
        <v>0</v>
      </c>
      <c r="P92" s="553"/>
      <c r="Q92" s="553">
        <f t="shared" si="27"/>
        <v>0</v>
      </c>
      <c r="R92" s="553">
        <f t="shared" si="28"/>
        <v>100</v>
      </c>
      <c r="S92" s="553">
        <f t="shared" si="29"/>
        <v>167</v>
      </c>
      <c r="T92" s="553"/>
      <c r="U92" s="553">
        <f t="shared" si="30"/>
        <v>0</v>
      </c>
      <c r="V92" s="553"/>
      <c r="Y92" s="1146"/>
      <c r="Z92" s="1147">
        <v>12</v>
      </c>
    </row>
    <row r="93" spans="2:26" ht="21" customHeight="1" x14ac:dyDescent="0.25">
      <c r="B93" s="562">
        <v>10.159999999999997</v>
      </c>
      <c r="C93" s="576" t="e">
        <f t="shared" si="31"/>
        <v>#REF!</v>
      </c>
      <c r="D93" s="502" t="s">
        <v>471</v>
      </c>
      <c r="E93" s="496"/>
      <c r="F93" s="497"/>
      <c r="G93" s="530" t="s">
        <v>11</v>
      </c>
      <c r="H93" s="553">
        <v>1.67</v>
      </c>
      <c r="I93" s="553"/>
      <c r="J93" s="553">
        <v>979</v>
      </c>
      <c r="K93" s="553">
        <f t="shared" si="23"/>
        <v>1634.93</v>
      </c>
      <c r="L93" s="553">
        <f>+[191]Metrados!E94</f>
        <v>772</v>
      </c>
      <c r="M93" s="553">
        <f t="shared" si="24"/>
        <v>1289.24</v>
      </c>
      <c r="N93" s="553">
        <f t="shared" si="25"/>
        <v>0</v>
      </c>
      <c r="O93" s="553">
        <f t="shared" si="26"/>
        <v>0</v>
      </c>
      <c r="P93" s="553"/>
      <c r="Q93" s="553">
        <f t="shared" si="27"/>
        <v>0</v>
      </c>
      <c r="R93" s="553">
        <f t="shared" si="28"/>
        <v>207</v>
      </c>
      <c r="S93" s="553">
        <f t="shared" si="29"/>
        <v>345.69</v>
      </c>
      <c r="T93" s="553"/>
      <c r="U93" s="553">
        <f t="shared" si="30"/>
        <v>0</v>
      </c>
      <c r="V93" s="553"/>
      <c r="Y93" s="1146"/>
      <c r="Z93" s="1147">
        <v>10</v>
      </c>
    </row>
    <row r="94" spans="2:26" ht="21" customHeight="1" x14ac:dyDescent="0.25">
      <c r="B94" s="562">
        <v>10.169999999999996</v>
      </c>
      <c r="C94" s="576" t="e">
        <f t="shared" si="31"/>
        <v>#REF!</v>
      </c>
      <c r="D94" s="502" t="s">
        <v>17</v>
      </c>
      <c r="E94" s="496"/>
      <c r="F94" s="497"/>
      <c r="G94" s="530" t="s">
        <v>18</v>
      </c>
      <c r="H94" s="553">
        <v>23.08</v>
      </c>
      <c r="I94" s="553"/>
      <c r="J94" s="553">
        <v>21</v>
      </c>
      <c r="K94" s="553">
        <f t="shared" si="23"/>
        <v>484.68</v>
      </c>
      <c r="L94" s="553">
        <f>+[191]Metrados!E95</f>
        <v>22</v>
      </c>
      <c r="M94" s="553">
        <f t="shared" si="24"/>
        <v>507.76</v>
      </c>
      <c r="N94" s="553">
        <f t="shared" si="25"/>
        <v>1</v>
      </c>
      <c r="O94" s="553">
        <f t="shared" si="26"/>
        <v>23.08</v>
      </c>
      <c r="P94" s="553"/>
      <c r="Q94" s="553">
        <f t="shared" si="27"/>
        <v>0</v>
      </c>
      <c r="R94" s="553">
        <f t="shared" si="28"/>
        <v>0</v>
      </c>
      <c r="S94" s="553">
        <f t="shared" si="29"/>
        <v>0</v>
      </c>
      <c r="T94" s="553"/>
      <c r="U94" s="553">
        <f t="shared" si="30"/>
        <v>0</v>
      </c>
      <c r="V94" s="553"/>
      <c r="Y94" s="1146"/>
      <c r="Z94" s="1147">
        <v>0</v>
      </c>
    </row>
    <row r="95" spans="2:26" ht="21" customHeight="1" x14ac:dyDescent="0.25">
      <c r="B95" s="562">
        <v>10.179999999999996</v>
      </c>
      <c r="C95" s="576" t="e">
        <f t="shared" si="31"/>
        <v>#REF!</v>
      </c>
      <c r="D95" s="502" t="s">
        <v>470</v>
      </c>
      <c r="E95" s="496"/>
      <c r="F95" s="497"/>
      <c r="G95" s="530" t="s">
        <v>11</v>
      </c>
      <c r="H95" s="553">
        <v>18.239999999999998</v>
      </c>
      <c r="I95" s="553"/>
      <c r="J95" s="553">
        <v>9</v>
      </c>
      <c r="K95" s="553">
        <f t="shared" si="23"/>
        <v>164.16</v>
      </c>
      <c r="L95" s="553">
        <f>+[191]Metrados!E96</f>
        <v>0</v>
      </c>
      <c r="M95" s="553">
        <f t="shared" si="24"/>
        <v>0</v>
      </c>
      <c r="N95" s="553">
        <f t="shared" si="25"/>
        <v>0</v>
      </c>
      <c r="O95" s="553">
        <f t="shared" si="26"/>
        <v>0</v>
      </c>
      <c r="P95" s="553"/>
      <c r="Q95" s="553">
        <f t="shared" si="27"/>
        <v>0</v>
      </c>
      <c r="R95" s="553">
        <f t="shared" si="28"/>
        <v>9</v>
      </c>
      <c r="S95" s="553">
        <f t="shared" si="29"/>
        <v>164.16</v>
      </c>
      <c r="T95" s="553">
        <f>+N94</f>
        <v>1</v>
      </c>
      <c r="U95" s="553">
        <f t="shared" si="30"/>
        <v>18.239999999999998</v>
      </c>
      <c r="V95" s="553" t="s">
        <v>838</v>
      </c>
      <c r="Y95" s="1146"/>
      <c r="Z95" s="1147">
        <v>0</v>
      </c>
    </row>
    <row r="96" spans="2:26" ht="21" customHeight="1" x14ac:dyDescent="0.25">
      <c r="B96" s="562">
        <v>10.189999999999996</v>
      </c>
      <c r="C96" s="576" t="e">
        <f t="shared" si="31"/>
        <v>#REF!</v>
      </c>
      <c r="D96" s="502" t="s">
        <v>342</v>
      </c>
      <c r="E96" s="496"/>
      <c r="F96" s="497"/>
      <c r="G96" s="530" t="s">
        <v>11</v>
      </c>
      <c r="H96" s="553">
        <v>16.84</v>
      </c>
      <c r="I96" s="553"/>
      <c r="J96" s="553">
        <v>9</v>
      </c>
      <c r="K96" s="553">
        <f t="shared" si="23"/>
        <v>151.56</v>
      </c>
      <c r="L96" s="553">
        <f>+[191]Metrados!E97</f>
        <v>0</v>
      </c>
      <c r="M96" s="553">
        <f t="shared" si="24"/>
        <v>0</v>
      </c>
      <c r="N96" s="553">
        <f t="shared" si="25"/>
        <v>0</v>
      </c>
      <c r="O96" s="553">
        <f t="shared" si="26"/>
        <v>0</v>
      </c>
      <c r="P96" s="553"/>
      <c r="Q96" s="553">
        <f t="shared" si="27"/>
        <v>0</v>
      </c>
      <c r="R96" s="553">
        <f t="shared" si="28"/>
        <v>9</v>
      </c>
      <c r="S96" s="553">
        <f t="shared" si="29"/>
        <v>151.56</v>
      </c>
      <c r="T96" s="553">
        <f>+N94</f>
        <v>1</v>
      </c>
      <c r="U96" s="553">
        <f t="shared" si="30"/>
        <v>16.84</v>
      </c>
      <c r="V96" s="553" t="s">
        <v>838</v>
      </c>
      <c r="Y96" s="1146"/>
      <c r="Z96" s="1147">
        <v>0</v>
      </c>
    </row>
    <row r="97" spans="2:26" ht="21" customHeight="1" x14ac:dyDescent="0.25">
      <c r="B97" s="562">
        <v>10.199999999999996</v>
      </c>
      <c r="C97" s="576" t="e">
        <f>+C79+1</f>
        <v>#REF!</v>
      </c>
      <c r="D97" s="502" t="s">
        <v>469</v>
      </c>
      <c r="E97" s="496"/>
      <c r="F97" s="497"/>
      <c r="G97" s="530" t="s">
        <v>11</v>
      </c>
      <c r="H97" s="553">
        <v>18.78</v>
      </c>
      <c r="I97" s="553"/>
      <c r="J97" s="553">
        <v>9</v>
      </c>
      <c r="K97" s="553">
        <f t="shared" si="23"/>
        <v>169.02</v>
      </c>
      <c r="L97" s="553">
        <f>+[191]Metrados!E98</f>
        <v>0</v>
      </c>
      <c r="M97" s="553">
        <f t="shared" si="24"/>
        <v>0</v>
      </c>
      <c r="N97" s="553">
        <f t="shared" si="25"/>
        <v>0</v>
      </c>
      <c r="O97" s="553">
        <f t="shared" si="26"/>
        <v>0</v>
      </c>
      <c r="P97" s="553"/>
      <c r="Q97" s="553">
        <f t="shared" si="27"/>
        <v>0</v>
      </c>
      <c r="R97" s="553">
        <f t="shared" si="28"/>
        <v>9</v>
      </c>
      <c r="S97" s="553">
        <f t="shared" si="29"/>
        <v>169.02</v>
      </c>
      <c r="T97" s="553">
        <f>+N94</f>
        <v>1</v>
      </c>
      <c r="U97" s="553">
        <f t="shared" si="30"/>
        <v>18.78</v>
      </c>
      <c r="V97" s="553" t="s">
        <v>838</v>
      </c>
      <c r="Y97" s="1146"/>
      <c r="Z97" s="1147">
        <v>0</v>
      </c>
    </row>
    <row r="98" spans="2:26" s="547" customFormat="1" ht="21" customHeight="1" x14ac:dyDescent="0.25">
      <c r="B98" s="559">
        <v>10.209999999999996</v>
      </c>
      <c r="C98" s="575" t="e">
        <f>+#REF!+1</f>
        <v>#REF!</v>
      </c>
      <c r="D98" s="501" t="s">
        <v>770</v>
      </c>
      <c r="E98" s="545"/>
      <c r="F98" s="546"/>
      <c r="G98" s="531" t="s">
        <v>11</v>
      </c>
      <c r="H98" s="560"/>
      <c r="I98" s="560">
        <f>+H86*0.9</f>
        <v>11.798999999999999</v>
      </c>
      <c r="J98" s="560"/>
      <c r="K98" s="560">
        <f t="shared" si="23"/>
        <v>0</v>
      </c>
      <c r="L98" s="560">
        <f>+[191]Metrados!E99</f>
        <v>24</v>
      </c>
      <c r="M98" s="560">
        <f>+ROUND($I98*L98,2)</f>
        <v>283.18</v>
      </c>
      <c r="N98" s="560"/>
      <c r="O98" s="560">
        <f t="shared" si="26"/>
        <v>0</v>
      </c>
      <c r="P98" s="560">
        <f>+L98</f>
        <v>24</v>
      </c>
      <c r="Q98" s="560">
        <f>+ROUND($I98*P98,2)</f>
        <v>283.18</v>
      </c>
      <c r="R98" s="560"/>
      <c r="S98" s="560">
        <f t="shared" si="29"/>
        <v>0</v>
      </c>
      <c r="T98" s="560"/>
      <c r="U98" s="560">
        <f t="shared" si="30"/>
        <v>0</v>
      </c>
      <c r="V98" s="560"/>
      <c r="Y98" s="1146"/>
      <c r="Z98" s="1149">
        <v>0</v>
      </c>
    </row>
    <row r="99" spans="2:26" s="547" customFormat="1" ht="21" customHeight="1" x14ac:dyDescent="0.25">
      <c r="B99" s="559">
        <v>10.219999999999995</v>
      </c>
      <c r="C99" s="575" t="e">
        <f>+#REF!+1</f>
        <v>#REF!</v>
      </c>
      <c r="D99" s="501" t="s">
        <v>809</v>
      </c>
      <c r="E99" s="545"/>
      <c r="F99" s="546"/>
      <c r="G99" s="531" t="s">
        <v>11</v>
      </c>
      <c r="H99" s="560"/>
      <c r="I99" s="560">
        <v>38</v>
      </c>
      <c r="J99" s="560"/>
      <c r="K99" s="560">
        <f t="shared" ref="K99:K100" si="32">+ROUND($H99*J99,2)</f>
        <v>0</v>
      </c>
      <c r="L99" s="560">
        <f>+[191]Metrados!E100</f>
        <v>2</v>
      </c>
      <c r="M99" s="560">
        <f>+ROUND($I99*L99,2)</f>
        <v>76</v>
      </c>
      <c r="N99" s="560"/>
      <c r="O99" s="560">
        <f t="shared" ref="O99:O100" si="33">+ROUND($H99*N99,2)</f>
        <v>0</v>
      </c>
      <c r="P99" s="560">
        <f>+L99</f>
        <v>2</v>
      </c>
      <c r="Q99" s="560">
        <f>+ROUND($I99*P99,2)</f>
        <v>76</v>
      </c>
      <c r="R99" s="560"/>
      <c r="S99" s="560">
        <f t="shared" ref="S99:S100" si="34">+ROUND($H99*R99,2)</f>
        <v>0</v>
      </c>
      <c r="T99" s="560"/>
      <c r="U99" s="560">
        <f t="shared" ref="U99:U100" si="35">+ROUND($H99*T99,2)</f>
        <v>0</v>
      </c>
      <c r="V99" s="560"/>
      <c r="Y99" s="1146"/>
      <c r="Z99" s="1149">
        <v>0</v>
      </c>
    </row>
    <row r="100" spans="2:26" s="547" customFormat="1" ht="21" customHeight="1" x14ac:dyDescent="0.25">
      <c r="B100" s="559">
        <v>10.229999999999995</v>
      </c>
      <c r="C100" s="575" t="e">
        <f>+#REF!+1</f>
        <v>#REF!</v>
      </c>
      <c r="D100" s="501" t="s">
        <v>810</v>
      </c>
      <c r="E100" s="545"/>
      <c r="F100" s="546"/>
      <c r="G100" s="766" t="s">
        <v>11</v>
      </c>
      <c r="H100" s="767"/>
      <c r="I100" s="767">
        <v>50</v>
      </c>
      <c r="J100" s="767"/>
      <c r="K100" s="769">
        <f t="shared" si="32"/>
        <v>0</v>
      </c>
      <c r="L100" s="560">
        <f>+[191]Metrados!E101</f>
        <v>75</v>
      </c>
      <c r="M100" s="769">
        <f>+ROUND($I100*L100,2)</f>
        <v>3750</v>
      </c>
      <c r="N100" s="767"/>
      <c r="O100" s="769">
        <f t="shared" si="33"/>
        <v>0</v>
      </c>
      <c r="P100" s="767">
        <f>+L100</f>
        <v>75</v>
      </c>
      <c r="Q100" s="769">
        <f>+ROUND($I100*P100,2)</f>
        <v>3750</v>
      </c>
      <c r="R100" s="767"/>
      <c r="S100" s="769">
        <f t="shared" si="34"/>
        <v>0</v>
      </c>
      <c r="T100" s="767"/>
      <c r="U100" s="769">
        <f t="shared" si="35"/>
        <v>0</v>
      </c>
      <c r="V100" s="767"/>
      <c r="Y100" s="1146"/>
      <c r="Z100" s="1149">
        <v>0</v>
      </c>
    </row>
    <row r="101" spans="2:26" ht="21" customHeight="1" x14ac:dyDescent="0.25">
      <c r="B101" s="456"/>
      <c r="C101" s="483" t="e">
        <f>+C98+1</f>
        <v>#REF!</v>
      </c>
      <c r="D101" s="537"/>
      <c r="E101" s="538"/>
      <c r="F101" s="544" t="str">
        <f>+"SUB-TOTAL   "&amp;B77&amp;":  "</f>
        <v xml:space="preserve">SUB-TOTAL   10:  </v>
      </c>
      <c r="G101" s="440"/>
      <c r="H101" s="438"/>
      <c r="I101" s="438"/>
      <c r="J101" s="438"/>
      <c r="K101" s="716">
        <f>+SUM(K78:K100)</f>
        <v>13536.759999999997</v>
      </c>
      <c r="L101" s="540"/>
      <c r="M101" s="716">
        <f>+SUM(M78:M100)</f>
        <v>15148.54</v>
      </c>
      <c r="N101" s="438"/>
      <c r="O101" s="716">
        <f>+SUM(O78:O100)</f>
        <v>4189.4699999999993</v>
      </c>
      <c r="P101" s="438"/>
      <c r="Q101" s="716">
        <f>+SUM(Q78:Q100)</f>
        <v>4109.18</v>
      </c>
      <c r="R101" s="438"/>
      <c r="S101" s="716">
        <f>+SUM(S78:S100)</f>
        <v>6686.8700000000008</v>
      </c>
      <c r="T101" s="438"/>
      <c r="U101" s="716">
        <f>+SUM(U78:U100)</f>
        <v>2615.0400000000004</v>
      </c>
      <c r="V101" s="438"/>
      <c r="Y101" s="1146"/>
      <c r="Z101" s="1147">
        <v>0</v>
      </c>
    </row>
    <row r="102" spans="2:26" ht="21" customHeight="1" x14ac:dyDescent="0.25">
      <c r="B102" s="452">
        <v>11</v>
      </c>
      <c r="C102" s="481" t="e">
        <f t="shared" ref="C102:C113" si="36">+C101+1</f>
        <v>#REF!</v>
      </c>
      <c r="D102" s="453" t="s">
        <v>20</v>
      </c>
      <c r="E102" s="445"/>
      <c r="F102" s="446"/>
      <c r="G102" s="527"/>
      <c r="H102" s="438"/>
      <c r="I102" s="438"/>
      <c r="J102" s="438"/>
      <c r="K102" s="438"/>
      <c r="L102" s="756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Y102" s="1146"/>
      <c r="Z102" s="1147">
        <v>0</v>
      </c>
    </row>
    <row r="103" spans="2:26" ht="21" customHeight="1" x14ac:dyDescent="0.25">
      <c r="B103" s="562">
        <v>11.01</v>
      </c>
      <c r="C103" s="576" t="e">
        <f t="shared" si="36"/>
        <v>#REF!</v>
      </c>
      <c r="D103" s="502" t="s">
        <v>468</v>
      </c>
      <c r="E103" s="496"/>
      <c r="F103" s="497"/>
      <c r="G103" s="530" t="s">
        <v>13</v>
      </c>
      <c r="H103" s="553">
        <v>4.3099999999999996</v>
      </c>
      <c r="I103" s="553"/>
      <c r="J103" s="553">
        <v>881</v>
      </c>
      <c r="K103" s="553">
        <f t="shared" ref="K103:K115" si="37">+ROUND($H103*J103,2)</f>
        <v>3797.11</v>
      </c>
      <c r="L103" s="553">
        <f>+[191]Metrados!E104</f>
        <v>0</v>
      </c>
      <c r="M103" s="553">
        <f t="shared" ref="M103:M115" si="38">+ROUND($H103*L103,2)</f>
        <v>0</v>
      </c>
      <c r="N103" s="553">
        <f t="shared" ref="N103:N115" si="39">+IF($L103-$J103&gt;=0,$L103-$J103,0)</f>
        <v>0</v>
      </c>
      <c r="O103" s="553">
        <f t="shared" ref="O103:O115" si="40">+ROUND($H103*N103,2)</f>
        <v>0</v>
      </c>
      <c r="P103" s="553"/>
      <c r="Q103" s="553">
        <f t="shared" ref="Q103:Q115" si="41">+ROUND($H103*P103,2)</f>
        <v>0</v>
      </c>
      <c r="R103" s="553">
        <f t="shared" ref="R103:R116" si="42">+IF($L103-$J103&lt;=0,-$L103+$J103,0)</f>
        <v>881</v>
      </c>
      <c r="S103" s="553">
        <f t="shared" ref="S103:S115" si="43">+ROUND($H103*R103,2)</f>
        <v>3797.11</v>
      </c>
      <c r="T103" s="553"/>
      <c r="U103" s="553">
        <f t="shared" ref="U103:U115" si="44">+ROUND($H103*T103,2)</f>
        <v>0</v>
      </c>
      <c r="V103" s="553"/>
      <c r="Y103" s="1146"/>
      <c r="Z103" s="1147">
        <v>0</v>
      </c>
    </row>
    <row r="104" spans="2:26" ht="21" customHeight="1" x14ac:dyDescent="0.25">
      <c r="B104" s="562">
        <v>11.02</v>
      </c>
      <c r="C104" s="576" t="e">
        <f t="shared" si="36"/>
        <v>#REF!</v>
      </c>
      <c r="D104" s="502" t="s">
        <v>21</v>
      </c>
      <c r="E104" s="496"/>
      <c r="F104" s="497"/>
      <c r="G104" s="530" t="s">
        <v>11</v>
      </c>
      <c r="H104" s="553">
        <v>46.85</v>
      </c>
      <c r="I104" s="553"/>
      <c r="J104" s="553">
        <v>66</v>
      </c>
      <c r="K104" s="553">
        <f t="shared" si="37"/>
        <v>3092.1</v>
      </c>
      <c r="L104" s="553">
        <f>+[191]Metrados!E105</f>
        <v>83</v>
      </c>
      <c r="M104" s="553">
        <f t="shared" si="38"/>
        <v>3888.55</v>
      </c>
      <c r="N104" s="553">
        <f t="shared" si="39"/>
        <v>17</v>
      </c>
      <c r="O104" s="553">
        <f t="shared" si="40"/>
        <v>796.45</v>
      </c>
      <c r="P104" s="553"/>
      <c r="Q104" s="553">
        <f t="shared" si="41"/>
        <v>0</v>
      </c>
      <c r="R104" s="553">
        <f t="shared" si="42"/>
        <v>0</v>
      </c>
      <c r="S104" s="553">
        <f t="shared" si="43"/>
        <v>0</v>
      </c>
      <c r="T104" s="553"/>
      <c r="U104" s="553">
        <f t="shared" si="44"/>
        <v>0</v>
      </c>
      <c r="V104" s="553"/>
      <c r="Y104" s="1146"/>
      <c r="Z104" s="1147">
        <v>0</v>
      </c>
    </row>
    <row r="105" spans="2:26" ht="21" customHeight="1" x14ac:dyDescent="0.25">
      <c r="B105" s="562">
        <v>11.03</v>
      </c>
      <c r="C105" s="576" t="e">
        <f t="shared" si="36"/>
        <v>#REF!</v>
      </c>
      <c r="D105" s="502" t="s">
        <v>22</v>
      </c>
      <c r="E105" s="496"/>
      <c r="F105" s="497"/>
      <c r="G105" s="530" t="s">
        <v>11</v>
      </c>
      <c r="H105" s="553">
        <v>11.69</v>
      </c>
      <c r="I105" s="553"/>
      <c r="J105" s="553">
        <v>208</v>
      </c>
      <c r="K105" s="553">
        <f t="shared" si="37"/>
        <v>2431.52</v>
      </c>
      <c r="L105" s="553">
        <f>+[191]Metrados!E106</f>
        <v>166</v>
      </c>
      <c r="M105" s="553">
        <f t="shared" si="38"/>
        <v>1940.54</v>
      </c>
      <c r="N105" s="553">
        <f t="shared" si="39"/>
        <v>0</v>
      </c>
      <c r="O105" s="553">
        <f t="shared" si="40"/>
        <v>0</v>
      </c>
      <c r="P105" s="553"/>
      <c r="Q105" s="553">
        <f t="shared" si="41"/>
        <v>0</v>
      </c>
      <c r="R105" s="553">
        <f t="shared" si="42"/>
        <v>42</v>
      </c>
      <c r="S105" s="553">
        <f t="shared" si="43"/>
        <v>490.98</v>
      </c>
      <c r="T105" s="553"/>
      <c r="U105" s="553">
        <f t="shared" si="44"/>
        <v>0</v>
      </c>
      <c r="V105" s="553"/>
      <c r="Y105" s="1146"/>
      <c r="Z105" s="1147">
        <v>0</v>
      </c>
    </row>
    <row r="106" spans="2:26" ht="21" customHeight="1" x14ac:dyDescent="0.25">
      <c r="B106" s="562">
        <v>11.04</v>
      </c>
      <c r="C106" s="576" t="e">
        <f t="shared" si="36"/>
        <v>#REF!</v>
      </c>
      <c r="D106" s="502" t="s">
        <v>467</v>
      </c>
      <c r="E106" s="496"/>
      <c r="F106" s="497"/>
      <c r="G106" s="530" t="s">
        <v>13</v>
      </c>
      <c r="H106" s="553">
        <v>0.71</v>
      </c>
      <c r="I106" s="553"/>
      <c r="J106" s="553">
        <v>312</v>
      </c>
      <c r="K106" s="553">
        <f t="shared" si="37"/>
        <v>221.52</v>
      </c>
      <c r="L106" s="553">
        <f>+[191]Metrados!E107</f>
        <v>124.5</v>
      </c>
      <c r="M106" s="553">
        <f t="shared" si="38"/>
        <v>88.4</v>
      </c>
      <c r="N106" s="553">
        <f t="shared" si="39"/>
        <v>0</v>
      </c>
      <c r="O106" s="553">
        <f t="shared" si="40"/>
        <v>0</v>
      </c>
      <c r="P106" s="553"/>
      <c r="Q106" s="553">
        <f t="shared" si="41"/>
        <v>0</v>
      </c>
      <c r="R106" s="553">
        <f t="shared" si="42"/>
        <v>187.5</v>
      </c>
      <c r="S106" s="553">
        <f t="shared" si="43"/>
        <v>133.13</v>
      </c>
      <c r="T106" s="553"/>
      <c r="U106" s="553">
        <f t="shared" si="44"/>
        <v>0</v>
      </c>
      <c r="V106" s="553"/>
      <c r="Y106" s="1146"/>
      <c r="Z106" s="1147">
        <v>0</v>
      </c>
    </row>
    <row r="107" spans="2:26" ht="21" customHeight="1" x14ac:dyDescent="0.25">
      <c r="B107" s="562">
        <v>11.049999999999999</v>
      </c>
      <c r="C107" s="576" t="e">
        <f t="shared" si="36"/>
        <v>#REF!</v>
      </c>
      <c r="D107" s="502" t="s">
        <v>24</v>
      </c>
      <c r="E107" s="496"/>
      <c r="F107" s="497"/>
      <c r="G107" s="530" t="s">
        <v>11</v>
      </c>
      <c r="H107" s="553">
        <v>5.46</v>
      </c>
      <c r="I107" s="553"/>
      <c r="J107" s="553">
        <v>66</v>
      </c>
      <c r="K107" s="553">
        <f t="shared" si="37"/>
        <v>360.36</v>
      </c>
      <c r="L107" s="553">
        <f>+[191]Metrados!E108</f>
        <v>83</v>
      </c>
      <c r="M107" s="553">
        <f t="shared" si="38"/>
        <v>453.18</v>
      </c>
      <c r="N107" s="553">
        <f t="shared" si="39"/>
        <v>17</v>
      </c>
      <c r="O107" s="553">
        <f t="shared" si="40"/>
        <v>92.82</v>
      </c>
      <c r="P107" s="553"/>
      <c r="Q107" s="553">
        <f t="shared" si="41"/>
        <v>0</v>
      </c>
      <c r="R107" s="553">
        <f t="shared" si="42"/>
        <v>0</v>
      </c>
      <c r="S107" s="553">
        <f t="shared" si="43"/>
        <v>0</v>
      </c>
      <c r="T107" s="553"/>
      <c r="U107" s="553">
        <f t="shared" si="44"/>
        <v>0</v>
      </c>
      <c r="V107" s="553"/>
      <c r="Y107" s="1146"/>
      <c r="Z107" s="1147">
        <v>0</v>
      </c>
    </row>
    <row r="108" spans="2:26" ht="21" customHeight="1" x14ac:dyDescent="0.25">
      <c r="B108" s="562">
        <v>11.059999999999999</v>
      </c>
      <c r="C108" s="576" t="e">
        <f t="shared" si="36"/>
        <v>#REF!</v>
      </c>
      <c r="D108" s="502" t="s">
        <v>466</v>
      </c>
      <c r="E108" s="496"/>
      <c r="F108" s="497"/>
      <c r="G108" s="530" t="s">
        <v>11</v>
      </c>
      <c r="H108" s="553">
        <v>112.06</v>
      </c>
      <c r="I108" s="553"/>
      <c r="J108" s="553">
        <v>12</v>
      </c>
      <c r="K108" s="553">
        <f t="shared" si="37"/>
        <v>1344.72</v>
      </c>
      <c r="L108" s="553">
        <f>+[191]Metrados!E109</f>
        <v>0</v>
      </c>
      <c r="M108" s="553">
        <f t="shared" si="38"/>
        <v>0</v>
      </c>
      <c r="N108" s="553">
        <f t="shared" si="39"/>
        <v>0</v>
      </c>
      <c r="O108" s="553">
        <f t="shared" si="40"/>
        <v>0</v>
      </c>
      <c r="P108" s="553"/>
      <c r="Q108" s="553">
        <f t="shared" si="41"/>
        <v>0</v>
      </c>
      <c r="R108" s="553">
        <f t="shared" si="42"/>
        <v>12</v>
      </c>
      <c r="S108" s="553">
        <f t="shared" si="43"/>
        <v>1344.72</v>
      </c>
      <c r="T108" s="553"/>
      <c r="U108" s="553">
        <f t="shared" si="44"/>
        <v>0</v>
      </c>
      <c r="V108" s="553"/>
      <c r="Y108" s="1146"/>
      <c r="Z108" s="1147">
        <v>0</v>
      </c>
    </row>
    <row r="109" spans="2:26" ht="21" customHeight="1" x14ac:dyDescent="0.25">
      <c r="B109" s="562">
        <v>11.069999999999999</v>
      </c>
      <c r="C109" s="576" t="e">
        <f t="shared" si="36"/>
        <v>#REF!</v>
      </c>
      <c r="D109" s="502" t="s">
        <v>465</v>
      </c>
      <c r="E109" s="496"/>
      <c r="F109" s="497"/>
      <c r="G109" s="530" t="s">
        <v>11</v>
      </c>
      <c r="H109" s="553">
        <v>81.849999999999994</v>
      </c>
      <c r="I109" s="553"/>
      <c r="J109" s="553">
        <v>66</v>
      </c>
      <c r="K109" s="553">
        <f t="shared" si="37"/>
        <v>5402.1</v>
      </c>
      <c r="L109" s="553">
        <f>+[191]Metrados!E110</f>
        <v>83</v>
      </c>
      <c r="M109" s="553">
        <f t="shared" si="38"/>
        <v>6793.55</v>
      </c>
      <c r="N109" s="553">
        <f t="shared" si="39"/>
        <v>17</v>
      </c>
      <c r="O109" s="553">
        <f t="shared" si="40"/>
        <v>1391.45</v>
      </c>
      <c r="P109" s="553"/>
      <c r="Q109" s="553">
        <f t="shared" si="41"/>
        <v>0</v>
      </c>
      <c r="R109" s="553">
        <f t="shared" si="42"/>
        <v>0</v>
      </c>
      <c r="S109" s="553">
        <f t="shared" si="43"/>
        <v>0</v>
      </c>
      <c r="T109" s="553"/>
      <c r="U109" s="553">
        <f t="shared" si="44"/>
        <v>0</v>
      </c>
      <c r="V109" s="553"/>
      <c r="Y109" s="1146"/>
      <c r="Z109" s="1147">
        <v>0</v>
      </c>
    </row>
    <row r="110" spans="2:26" ht="21" customHeight="1" x14ac:dyDescent="0.25">
      <c r="B110" s="562">
        <v>11.079999999999998</v>
      </c>
      <c r="C110" s="576" t="e">
        <f t="shared" si="36"/>
        <v>#REF!</v>
      </c>
      <c r="D110" s="502" t="s">
        <v>464</v>
      </c>
      <c r="E110" s="496"/>
      <c r="F110" s="497"/>
      <c r="G110" s="530" t="s">
        <v>11</v>
      </c>
      <c r="H110" s="553">
        <v>28.99</v>
      </c>
      <c r="I110" s="553"/>
      <c r="J110" s="553">
        <v>66</v>
      </c>
      <c r="K110" s="553">
        <f t="shared" si="37"/>
        <v>1913.34</v>
      </c>
      <c r="L110" s="553">
        <f>+[191]Metrados!E111</f>
        <v>83</v>
      </c>
      <c r="M110" s="553">
        <f t="shared" si="38"/>
        <v>2406.17</v>
      </c>
      <c r="N110" s="553">
        <f t="shared" si="39"/>
        <v>17</v>
      </c>
      <c r="O110" s="553">
        <f t="shared" si="40"/>
        <v>492.83</v>
      </c>
      <c r="P110" s="553"/>
      <c r="Q110" s="553">
        <f t="shared" si="41"/>
        <v>0</v>
      </c>
      <c r="R110" s="553">
        <f t="shared" si="42"/>
        <v>0</v>
      </c>
      <c r="S110" s="553">
        <f t="shared" si="43"/>
        <v>0</v>
      </c>
      <c r="T110" s="553"/>
      <c r="U110" s="553">
        <f t="shared" si="44"/>
        <v>0</v>
      </c>
      <c r="V110" s="553"/>
      <c r="Y110" s="1146"/>
      <c r="Z110" s="1147">
        <v>0</v>
      </c>
    </row>
    <row r="111" spans="2:26" ht="21" customHeight="1" x14ac:dyDescent="0.25">
      <c r="B111" s="562">
        <v>11.089999999999998</v>
      </c>
      <c r="C111" s="576" t="e">
        <f t="shared" si="36"/>
        <v>#REF!</v>
      </c>
      <c r="D111" s="502" t="s">
        <v>463</v>
      </c>
      <c r="E111" s="496"/>
      <c r="F111" s="497"/>
      <c r="G111" s="530" t="s">
        <v>11</v>
      </c>
      <c r="H111" s="553">
        <v>76.66</v>
      </c>
      <c r="I111" s="553"/>
      <c r="J111" s="553">
        <v>66</v>
      </c>
      <c r="K111" s="553">
        <f t="shared" si="37"/>
        <v>5059.5600000000004</v>
      </c>
      <c r="L111" s="553">
        <f>+[191]Metrados!E112</f>
        <v>83</v>
      </c>
      <c r="M111" s="553">
        <f t="shared" si="38"/>
        <v>6362.78</v>
      </c>
      <c r="N111" s="553">
        <f t="shared" si="39"/>
        <v>17</v>
      </c>
      <c r="O111" s="553">
        <f t="shared" si="40"/>
        <v>1303.22</v>
      </c>
      <c r="P111" s="553"/>
      <c r="Q111" s="553">
        <f t="shared" si="41"/>
        <v>0</v>
      </c>
      <c r="R111" s="553">
        <f t="shared" si="42"/>
        <v>0</v>
      </c>
      <c r="S111" s="553">
        <f t="shared" si="43"/>
        <v>0</v>
      </c>
      <c r="T111" s="553"/>
      <c r="U111" s="553">
        <f t="shared" si="44"/>
        <v>0</v>
      </c>
      <c r="V111" s="553"/>
      <c r="Y111" s="1146"/>
      <c r="Z111" s="1147">
        <v>0</v>
      </c>
    </row>
    <row r="112" spans="2:26" ht="21" customHeight="1" x14ac:dyDescent="0.25">
      <c r="B112" s="562">
        <v>11.099999999999998</v>
      </c>
      <c r="C112" s="576" t="e">
        <f t="shared" si="36"/>
        <v>#REF!</v>
      </c>
      <c r="D112" s="502" t="s">
        <v>462</v>
      </c>
      <c r="E112" s="496"/>
      <c r="F112" s="497"/>
      <c r="G112" s="530" t="s">
        <v>11</v>
      </c>
      <c r="H112" s="553">
        <v>15.01</v>
      </c>
      <c r="I112" s="553"/>
      <c r="J112" s="553">
        <v>85</v>
      </c>
      <c r="K112" s="553">
        <f t="shared" si="37"/>
        <v>1275.8499999999999</v>
      </c>
      <c r="L112" s="553">
        <f>+[191]Metrados!E113</f>
        <v>83</v>
      </c>
      <c r="M112" s="553">
        <f t="shared" si="38"/>
        <v>1245.83</v>
      </c>
      <c r="N112" s="553">
        <f t="shared" si="39"/>
        <v>0</v>
      </c>
      <c r="O112" s="553">
        <f t="shared" si="40"/>
        <v>0</v>
      </c>
      <c r="P112" s="553"/>
      <c r="Q112" s="553">
        <f t="shared" si="41"/>
        <v>0</v>
      </c>
      <c r="R112" s="553">
        <f t="shared" si="42"/>
        <v>2</v>
      </c>
      <c r="S112" s="553">
        <f t="shared" si="43"/>
        <v>30.02</v>
      </c>
      <c r="T112" s="553"/>
      <c r="U112" s="553">
        <f t="shared" si="44"/>
        <v>0</v>
      </c>
      <c r="V112" s="553"/>
      <c r="Y112" s="1146"/>
      <c r="Z112" s="1147">
        <v>0</v>
      </c>
    </row>
    <row r="113" spans="2:26" ht="21" customHeight="1" x14ac:dyDescent="0.25">
      <c r="B113" s="562">
        <v>11.109999999999998</v>
      </c>
      <c r="C113" s="576" t="e">
        <f t="shared" si="36"/>
        <v>#REF!</v>
      </c>
      <c r="D113" s="502" t="s">
        <v>461</v>
      </c>
      <c r="E113" s="496"/>
      <c r="F113" s="497"/>
      <c r="G113" s="530" t="s">
        <v>11</v>
      </c>
      <c r="H113" s="553">
        <v>40.94</v>
      </c>
      <c r="I113" s="553"/>
      <c r="J113" s="553">
        <v>66</v>
      </c>
      <c r="K113" s="553">
        <f t="shared" si="37"/>
        <v>2702.04</v>
      </c>
      <c r="L113" s="553">
        <f>+[191]Metrados!E114</f>
        <v>83</v>
      </c>
      <c r="M113" s="553">
        <f t="shared" si="38"/>
        <v>3398.02</v>
      </c>
      <c r="N113" s="553">
        <f t="shared" si="39"/>
        <v>17</v>
      </c>
      <c r="O113" s="553">
        <f t="shared" si="40"/>
        <v>695.98</v>
      </c>
      <c r="P113" s="553"/>
      <c r="Q113" s="553">
        <f t="shared" si="41"/>
        <v>0</v>
      </c>
      <c r="R113" s="553">
        <f t="shared" si="42"/>
        <v>0</v>
      </c>
      <c r="S113" s="553">
        <f t="shared" si="43"/>
        <v>0</v>
      </c>
      <c r="T113" s="553"/>
      <c r="U113" s="553">
        <f t="shared" si="44"/>
        <v>0</v>
      </c>
      <c r="V113" s="553"/>
      <c r="Y113" s="1146"/>
      <c r="Z113" s="1147">
        <v>0</v>
      </c>
    </row>
    <row r="114" spans="2:26" ht="21" customHeight="1" x14ac:dyDescent="0.25">
      <c r="B114" s="562">
        <v>11.119999999999997</v>
      </c>
      <c r="C114" s="576" t="e">
        <f>+C108+1</f>
        <v>#REF!</v>
      </c>
      <c r="D114" s="502" t="s">
        <v>16</v>
      </c>
      <c r="E114" s="496"/>
      <c r="F114" s="497"/>
      <c r="G114" s="530" t="s">
        <v>11</v>
      </c>
      <c r="H114" s="553">
        <v>11.17</v>
      </c>
      <c r="I114" s="553"/>
      <c r="J114" s="553">
        <v>22</v>
      </c>
      <c r="K114" s="553">
        <f t="shared" si="37"/>
        <v>245.74</v>
      </c>
      <c r="L114" s="553">
        <f>+[191]Metrados!E115</f>
        <v>0</v>
      </c>
      <c r="M114" s="553">
        <f t="shared" si="38"/>
        <v>0</v>
      </c>
      <c r="N114" s="553">
        <f t="shared" si="39"/>
        <v>0</v>
      </c>
      <c r="O114" s="553">
        <f t="shared" si="40"/>
        <v>0</v>
      </c>
      <c r="P114" s="553"/>
      <c r="Q114" s="553">
        <f t="shared" si="41"/>
        <v>0</v>
      </c>
      <c r="R114" s="553">
        <f t="shared" si="42"/>
        <v>22</v>
      </c>
      <c r="S114" s="553">
        <f t="shared" si="43"/>
        <v>245.74</v>
      </c>
      <c r="T114" s="553"/>
      <c r="U114" s="553">
        <f t="shared" si="44"/>
        <v>0</v>
      </c>
      <c r="V114" s="553"/>
      <c r="Y114" s="1146"/>
      <c r="Z114" s="1147">
        <v>0</v>
      </c>
    </row>
    <row r="115" spans="2:26" ht="21" customHeight="1" x14ac:dyDescent="0.25">
      <c r="B115" s="582">
        <v>11.129999999999997</v>
      </c>
      <c r="C115" s="583" t="e">
        <f>+C104+1</f>
        <v>#REF!</v>
      </c>
      <c r="D115" s="537" t="s">
        <v>460</v>
      </c>
      <c r="E115" s="538"/>
      <c r="F115" s="578"/>
      <c r="G115" s="539" t="s">
        <v>11</v>
      </c>
      <c r="H115" s="579">
        <v>1.67</v>
      </c>
      <c r="I115" s="579"/>
      <c r="J115" s="579">
        <v>39</v>
      </c>
      <c r="K115" s="579">
        <f t="shared" si="37"/>
        <v>65.13</v>
      </c>
      <c r="L115" s="579">
        <f>+[191]Metrados!E116</f>
        <v>0</v>
      </c>
      <c r="M115" s="579">
        <f t="shared" si="38"/>
        <v>0</v>
      </c>
      <c r="N115" s="579">
        <f t="shared" si="39"/>
        <v>0</v>
      </c>
      <c r="O115" s="579">
        <f t="shared" si="40"/>
        <v>0</v>
      </c>
      <c r="P115" s="553"/>
      <c r="Q115" s="553">
        <f t="shared" si="41"/>
        <v>0</v>
      </c>
      <c r="R115" s="579">
        <f t="shared" si="42"/>
        <v>39</v>
      </c>
      <c r="S115" s="579">
        <f t="shared" si="43"/>
        <v>65.13</v>
      </c>
      <c r="T115" s="579"/>
      <c r="U115" s="579">
        <f t="shared" si="44"/>
        <v>0</v>
      </c>
      <c r="V115" s="579"/>
      <c r="Y115" s="1146"/>
      <c r="Z115" s="1147">
        <v>0</v>
      </c>
    </row>
    <row r="116" spans="2:26" s="547" customFormat="1" ht="21" customHeight="1" x14ac:dyDescent="0.25">
      <c r="B116" s="559">
        <v>11.14</v>
      </c>
      <c r="C116" s="577" t="e">
        <f t="shared" ref="C116" si="45">+C115+1</f>
        <v>#REF!</v>
      </c>
      <c r="D116" s="501" t="s">
        <v>1018</v>
      </c>
      <c r="E116" s="545"/>
      <c r="F116" s="546"/>
      <c r="G116" s="564" t="s">
        <v>13</v>
      </c>
      <c r="H116" s="633"/>
      <c r="I116" s="633">
        <f>+H103</f>
        <v>4.3099999999999996</v>
      </c>
      <c r="J116" s="633"/>
      <c r="K116" s="633">
        <f t="shared" ref="K116" si="46">+ROUND($H116*J116,2)</f>
        <v>0</v>
      </c>
      <c r="L116" s="633">
        <f>+[191]Metrados!E117</f>
        <v>1162</v>
      </c>
      <c r="M116" s="633">
        <f>+ROUND($I116*L116,2)</f>
        <v>5008.22</v>
      </c>
      <c r="N116" s="633"/>
      <c r="O116" s="633">
        <f t="shared" ref="O116" si="47">+ROUND($H116*N116,2)</f>
        <v>0</v>
      </c>
      <c r="P116" s="633">
        <f>+L116</f>
        <v>1162</v>
      </c>
      <c r="Q116" s="633">
        <f>+ROUND($I116*P116,2)</f>
        <v>5008.22</v>
      </c>
      <c r="R116" s="633">
        <f t="shared" si="42"/>
        <v>0</v>
      </c>
      <c r="S116" s="633">
        <f t="shared" ref="S116" si="48">+ROUND($H116*R116,2)</f>
        <v>0</v>
      </c>
      <c r="T116" s="633"/>
      <c r="U116" s="633">
        <f t="shared" ref="U116" si="49">+ROUND($H116*T116,2)</f>
        <v>0</v>
      </c>
      <c r="V116" s="633"/>
      <c r="Y116" s="1127"/>
      <c r="Z116" s="1149">
        <v>0</v>
      </c>
    </row>
    <row r="117" spans="2:26" ht="21" customHeight="1" x14ac:dyDescent="0.25">
      <c r="B117" s="456"/>
      <c r="C117" s="483" t="e">
        <f>+#REF!+1</f>
        <v>#REF!</v>
      </c>
      <c r="D117" s="743"/>
      <c r="E117" s="445"/>
      <c r="F117" s="533" t="str">
        <f>+"SUB-TOTAL   "&amp;B102&amp;":  "</f>
        <v xml:space="preserve">SUB-TOTAL   11:  </v>
      </c>
      <c r="G117" s="440"/>
      <c r="H117" s="438"/>
      <c r="I117" s="438"/>
      <c r="J117" s="438"/>
      <c r="K117" s="548">
        <f>+SUM(K103:K115)</f>
        <v>27911.090000000004</v>
      </c>
      <c r="L117" s="438"/>
      <c r="M117" s="548">
        <f>+SUM(M103:M116)</f>
        <v>31585.24</v>
      </c>
      <c r="N117" s="438"/>
      <c r="O117" s="548">
        <f>+SUM(O103:O116)</f>
        <v>4772.75</v>
      </c>
      <c r="P117" s="438"/>
      <c r="Q117" s="548">
        <f>+SUM(Q103:Q116)</f>
        <v>5008.22</v>
      </c>
      <c r="R117" s="438"/>
      <c r="S117" s="548">
        <f>+SUM(S103:S116)</f>
        <v>6106.8300000000008</v>
      </c>
      <c r="T117" s="438"/>
      <c r="U117" s="548">
        <f>+SUM(U103:U116)</f>
        <v>0</v>
      </c>
      <c r="V117" s="438"/>
      <c r="W117" s="660">
        <f>+K117-M117+O117+Q117-S117</f>
        <v>-9.9999999983992893E-3</v>
      </c>
      <c r="Y117" s="1146"/>
      <c r="Z117" s="1147">
        <v>0</v>
      </c>
    </row>
    <row r="118" spans="2:26" ht="21" customHeight="1" x14ac:dyDescent="0.25">
      <c r="B118" s="452">
        <v>12</v>
      </c>
      <c r="C118" s="481" t="e">
        <f t="shared" ref="C118:C127" si="50">+C117+1</f>
        <v>#REF!</v>
      </c>
      <c r="D118" s="453" t="s">
        <v>459</v>
      </c>
      <c r="E118" s="445"/>
      <c r="F118" s="446"/>
      <c r="G118" s="527"/>
      <c r="H118" s="438"/>
      <c r="I118" s="438"/>
      <c r="J118" s="438"/>
      <c r="K118" s="438"/>
      <c r="L118" s="756"/>
      <c r="M118" s="438"/>
      <c r="N118" s="438"/>
      <c r="O118" s="438"/>
      <c r="P118" s="438"/>
      <c r="Q118" s="438"/>
      <c r="R118" s="438"/>
      <c r="S118" s="438"/>
      <c r="T118" s="438"/>
      <c r="U118" s="438"/>
      <c r="V118" s="438"/>
      <c r="Y118" s="1146"/>
      <c r="Z118" s="1147">
        <v>0</v>
      </c>
    </row>
    <row r="119" spans="2:26" ht="21" customHeight="1" x14ac:dyDescent="0.25">
      <c r="B119" s="562">
        <v>12.01</v>
      </c>
      <c r="C119" s="576" t="e">
        <f t="shared" si="50"/>
        <v>#REF!</v>
      </c>
      <c r="D119" s="502" t="s">
        <v>25</v>
      </c>
      <c r="E119" s="496"/>
      <c r="F119" s="497"/>
      <c r="G119" s="530" t="s">
        <v>11</v>
      </c>
      <c r="H119" s="553">
        <v>66.7</v>
      </c>
      <c r="I119" s="553"/>
      <c r="J119" s="553">
        <v>15</v>
      </c>
      <c r="K119" s="553">
        <f t="shared" ref="K119:K127" si="51">+ROUND($H119*J119,2)</f>
        <v>1000.5</v>
      </c>
      <c r="L119" s="553">
        <f>+[191]Metrados!E120</f>
        <v>16</v>
      </c>
      <c r="M119" s="553">
        <f t="shared" ref="M119:M127" si="52">+ROUND($H119*L119,2)</f>
        <v>1067.2</v>
      </c>
      <c r="N119" s="553">
        <f t="shared" ref="N119:N127" si="53">+IF($L119-$J119&gt;=0,$L119-$J119,0)</f>
        <v>1</v>
      </c>
      <c r="O119" s="553">
        <f t="shared" ref="O119:O128" si="54">+ROUND($H119*N119,2)</f>
        <v>66.7</v>
      </c>
      <c r="P119" s="553"/>
      <c r="Q119" s="553">
        <f t="shared" ref="Q119:Q127" si="55">+ROUND($H119*P119,2)</f>
        <v>0</v>
      </c>
      <c r="R119" s="553">
        <f t="shared" ref="R119:R127" si="56">+IF($L119-$J119&lt;=0,-$L119+$J119,0)</f>
        <v>0</v>
      </c>
      <c r="S119" s="553">
        <f t="shared" ref="S119:S128" si="57">+ROUND($H119*R119,2)</f>
        <v>0</v>
      </c>
      <c r="T119" s="553"/>
      <c r="U119" s="553">
        <f t="shared" ref="U119:U128" si="58">+ROUND($H119*T119,2)</f>
        <v>0</v>
      </c>
      <c r="V119" s="553"/>
      <c r="Y119" s="1146"/>
      <c r="Z119" s="1147">
        <v>0</v>
      </c>
    </row>
    <row r="120" spans="2:26" ht="21" customHeight="1" x14ac:dyDescent="0.25">
      <c r="B120" s="562">
        <v>12.02</v>
      </c>
      <c r="C120" s="576" t="e">
        <f t="shared" si="50"/>
        <v>#REF!</v>
      </c>
      <c r="D120" s="502" t="s">
        <v>458</v>
      </c>
      <c r="E120" s="496"/>
      <c r="F120" s="497"/>
      <c r="G120" s="530" t="s">
        <v>11</v>
      </c>
      <c r="H120" s="553">
        <v>10.54</v>
      </c>
      <c r="I120" s="553"/>
      <c r="J120" s="553">
        <v>518</v>
      </c>
      <c r="K120" s="553">
        <f t="shared" si="51"/>
        <v>5459.72</v>
      </c>
      <c r="L120" s="553">
        <f>+[191]Metrados!E121</f>
        <v>450</v>
      </c>
      <c r="M120" s="553">
        <f t="shared" si="52"/>
        <v>4743</v>
      </c>
      <c r="N120" s="553">
        <f t="shared" si="53"/>
        <v>0</v>
      </c>
      <c r="O120" s="553">
        <f t="shared" si="54"/>
        <v>0</v>
      </c>
      <c r="P120" s="553"/>
      <c r="Q120" s="553">
        <f t="shared" si="55"/>
        <v>0</v>
      </c>
      <c r="R120" s="553">
        <f t="shared" si="56"/>
        <v>68</v>
      </c>
      <c r="S120" s="553">
        <f t="shared" si="57"/>
        <v>716.72</v>
      </c>
      <c r="T120" s="553"/>
      <c r="U120" s="553">
        <f t="shared" si="58"/>
        <v>0</v>
      </c>
      <c r="V120" s="553"/>
      <c r="Y120" s="1146"/>
      <c r="Z120" s="1147">
        <v>0</v>
      </c>
    </row>
    <row r="121" spans="2:26" ht="21" customHeight="1" x14ac:dyDescent="0.25">
      <c r="B121" s="562">
        <v>12.03</v>
      </c>
      <c r="C121" s="576" t="e">
        <f t="shared" si="50"/>
        <v>#REF!</v>
      </c>
      <c r="D121" s="502" t="s">
        <v>457</v>
      </c>
      <c r="E121" s="496"/>
      <c r="F121" s="497"/>
      <c r="G121" s="530" t="s">
        <v>11</v>
      </c>
      <c r="H121" s="553">
        <v>6.94</v>
      </c>
      <c r="I121" s="553"/>
      <c r="J121" s="553">
        <v>15</v>
      </c>
      <c r="K121" s="553">
        <f t="shared" si="51"/>
        <v>104.1</v>
      </c>
      <c r="L121" s="553">
        <f>+[191]Metrados!E122</f>
        <v>100</v>
      </c>
      <c r="M121" s="553">
        <f t="shared" si="52"/>
        <v>694</v>
      </c>
      <c r="N121" s="553">
        <f t="shared" si="53"/>
        <v>85</v>
      </c>
      <c r="O121" s="553">
        <f t="shared" si="54"/>
        <v>589.9</v>
      </c>
      <c r="P121" s="553"/>
      <c r="Q121" s="553">
        <f t="shared" si="55"/>
        <v>0</v>
      </c>
      <c r="R121" s="553">
        <f t="shared" si="56"/>
        <v>0</v>
      </c>
      <c r="S121" s="553">
        <f t="shared" si="57"/>
        <v>0</v>
      </c>
      <c r="T121" s="553"/>
      <c r="U121" s="553">
        <f t="shared" si="58"/>
        <v>0</v>
      </c>
      <c r="V121" s="553"/>
      <c r="Y121" s="1146"/>
      <c r="Z121" s="1147">
        <v>0</v>
      </c>
    </row>
    <row r="122" spans="2:26" ht="21" customHeight="1" x14ac:dyDescent="0.25">
      <c r="B122" s="562">
        <v>12.04</v>
      </c>
      <c r="C122" s="576" t="e">
        <f t="shared" si="50"/>
        <v>#REF!</v>
      </c>
      <c r="D122" s="502" t="s">
        <v>456</v>
      </c>
      <c r="E122" s="496"/>
      <c r="F122" s="497"/>
      <c r="G122" s="530" t="s">
        <v>11</v>
      </c>
      <c r="H122" s="553">
        <v>7.4</v>
      </c>
      <c r="I122" s="553"/>
      <c r="J122" s="553">
        <v>428</v>
      </c>
      <c r="K122" s="553">
        <f t="shared" si="51"/>
        <v>3167.2</v>
      </c>
      <c r="L122" s="553">
        <f>+[191]Metrados!E123</f>
        <v>262</v>
      </c>
      <c r="M122" s="553">
        <f t="shared" si="52"/>
        <v>1938.8</v>
      </c>
      <c r="N122" s="553">
        <f t="shared" si="53"/>
        <v>0</v>
      </c>
      <c r="O122" s="553">
        <f t="shared" si="54"/>
        <v>0</v>
      </c>
      <c r="P122" s="553"/>
      <c r="Q122" s="553">
        <f t="shared" si="55"/>
        <v>0</v>
      </c>
      <c r="R122" s="553">
        <f t="shared" si="56"/>
        <v>166</v>
      </c>
      <c r="S122" s="553">
        <f t="shared" si="57"/>
        <v>1228.4000000000001</v>
      </c>
      <c r="T122" s="553"/>
      <c r="U122" s="553">
        <f t="shared" si="58"/>
        <v>0</v>
      </c>
      <c r="V122" s="553"/>
      <c r="Y122" s="1146"/>
      <c r="Z122" s="1147">
        <v>0</v>
      </c>
    </row>
    <row r="123" spans="2:26" ht="21" customHeight="1" x14ac:dyDescent="0.25">
      <c r="B123" s="562">
        <v>12.049999999999999</v>
      </c>
      <c r="C123" s="576" t="e">
        <f t="shared" si="50"/>
        <v>#REF!</v>
      </c>
      <c r="D123" s="502" t="s">
        <v>455</v>
      </c>
      <c r="E123" s="496"/>
      <c r="F123" s="497"/>
      <c r="G123" s="530" t="s">
        <v>11</v>
      </c>
      <c r="H123" s="553">
        <v>53.58</v>
      </c>
      <c r="I123" s="553"/>
      <c r="J123" s="553">
        <v>15</v>
      </c>
      <c r="K123" s="553">
        <f t="shared" si="51"/>
        <v>803.7</v>
      </c>
      <c r="L123" s="553">
        <f>+[191]Metrados!E124</f>
        <v>16</v>
      </c>
      <c r="M123" s="553">
        <f t="shared" si="52"/>
        <v>857.28</v>
      </c>
      <c r="N123" s="553">
        <f t="shared" si="53"/>
        <v>1</v>
      </c>
      <c r="O123" s="553">
        <f t="shared" si="54"/>
        <v>53.58</v>
      </c>
      <c r="P123" s="553"/>
      <c r="Q123" s="553">
        <f t="shared" si="55"/>
        <v>0</v>
      </c>
      <c r="R123" s="553">
        <f t="shared" si="56"/>
        <v>0</v>
      </c>
      <c r="S123" s="553">
        <f t="shared" si="57"/>
        <v>0</v>
      </c>
      <c r="T123" s="553"/>
      <c r="U123" s="553">
        <f t="shared" si="58"/>
        <v>0</v>
      </c>
      <c r="V123" s="553"/>
      <c r="Y123" s="1146"/>
      <c r="Z123" s="1147">
        <v>0</v>
      </c>
    </row>
    <row r="124" spans="2:26" ht="21" customHeight="1" x14ac:dyDescent="0.25">
      <c r="B124" s="562">
        <v>12.059999999999999</v>
      </c>
      <c r="C124" s="576" t="e">
        <f t="shared" si="50"/>
        <v>#REF!</v>
      </c>
      <c r="D124" s="502" t="s">
        <v>454</v>
      </c>
      <c r="E124" s="496"/>
      <c r="F124" s="497"/>
      <c r="G124" s="530" t="s">
        <v>11</v>
      </c>
      <c r="H124" s="553">
        <v>0.47</v>
      </c>
      <c r="I124" s="553"/>
      <c r="J124" s="553">
        <v>204</v>
      </c>
      <c r="K124" s="553">
        <f t="shared" si="51"/>
        <v>95.88</v>
      </c>
      <c r="L124" s="553">
        <f>+[191]Metrados!E125</f>
        <v>171</v>
      </c>
      <c r="M124" s="553">
        <f t="shared" si="52"/>
        <v>80.37</v>
      </c>
      <c r="N124" s="553">
        <f t="shared" si="53"/>
        <v>0</v>
      </c>
      <c r="O124" s="553">
        <f t="shared" si="54"/>
        <v>0</v>
      </c>
      <c r="P124" s="553"/>
      <c r="Q124" s="553">
        <f t="shared" si="55"/>
        <v>0</v>
      </c>
      <c r="R124" s="553">
        <f t="shared" si="56"/>
        <v>33</v>
      </c>
      <c r="S124" s="553">
        <f t="shared" si="57"/>
        <v>15.51</v>
      </c>
      <c r="T124" s="553"/>
      <c r="U124" s="553">
        <f t="shared" si="58"/>
        <v>0</v>
      </c>
      <c r="V124" s="553"/>
      <c r="Y124" s="1146"/>
      <c r="Z124" s="1147">
        <v>52</v>
      </c>
    </row>
    <row r="125" spans="2:26" ht="21" customHeight="1" x14ac:dyDescent="0.25">
      <c r="B125" s="562">
        <v>12.069999999999999</v>
      </c>
      <c r="C125" s="576" t="e">
        <f t="shared" si="50"/>
        <v>#REF!</v>
      </c>
      <c r="D125" s="502" t="s">
        <v>453</v>
      </c>
      <c r="E125" s="496"/>
      <c r="F125" s="497"/>
      <c r="G125" s="530" t="s">
        <v>11</v>
      </c>
      <c r="H125" s="553">
        <v>17.43</v>
      </c>
      <c r="I125" s="553"/>
      <c r="J125" s="553">
        <v>2</v>
      </c>
      <c r="K125" s="553">
        <f t="shared" si="51"/>
        <v>34.86</v>
      </c>
      <c r="L125" s="553">
        <f>+[191]Metrados!E126</f>
        <v>0</v>
      </c>
      <c r="M125" s="553">
        <f t="shared" si="52"/>
        <v>0</v>
      </c>
      <c r="N125" s="553">
        <f t="shared" si="53"/>
        <v>0</v>
      </c>
      <c r="O125" s="553">
        <f t="shared" si="54"/>
        <v>0</v>
      </c>
      <c r="P125" s="553"/>
      <c r="Q125" s="553">
        <f t="shared" si="55"/>
        <v>0</v>
      </c>
      <c r="R125" s="553">
        <f t="shared" si="56"/>
        <v>2</v>
      </c>
      <c r="S125" s="553">
        <f t="shared" si="57"/>
        <v>34.86</v>
      </c>
      <c r="T125" s="553">
        <f>+R125</f>
        <v>2</v>
      </c>
      <c r="U125" s="553">
        <f t="shared" si="58"/>
        <v>34.86</v>
      </c>
      <c r="V125" s="553" t="s">
        <v>839</v>
      </c>
      <c r="Y125" s="1146"/>
      <c r="Z125" s="1147">
        <v>0</v>
      </c>
    </row>
    <row r="126" spans="2:26" ht="21" customHeight="1" x14ac:dyDescent="0.25">
      <c r="B126" s="562">
        <v>12.079999999999998</v>
      </c>
      <c r="C126" s="576" t="e">
        <f t="shared" si="50"/>
        <v>#REF!</v>
      </c>
      <c r="D126" s="502" t="s">
        <v>26</v>
      </c>
      <c r="E126" s="496"/>
      <c r="F126" s="497"/>
      <c r="G126" s="530" t="s">
        <v>11</v>
      </c>
      <c r="H126" s="553">
        <v>16.25</v>
      </c>
      <c r="I126" s="553"/>
      <c r="J126" s="553">
        <v>6</v>
      </c>
      <c r="K126" s="553">
        <f t="shared" si="51"/>
        <v>97.5</v>
      </c>
      <c r="L126" s="553">
        <f>+[191]Metrados!E127</f>
        <v>15</v>
      </c>
      <c r="M126" s="553">
        <f t="shared" si="52"/>
        <v>243.75</v>
      </c>
      <c r="N126" s="553">
        <f t="shared" si="53"/>
        <v>9</v>
      </c>
      <c r="O126" s="553">
        <f t="shared" si="54"/>
        <v>146.25</v>
      </c>
      <c r="P126" s="553"/>
      <c r="Q126" s="553">
        <f t="shared" si="55"/>
        <v>0</v>
      </c>
      <c r="R126" s="553">
        <f t="shared" si="56"/>
        <v>0</v>
      </c>
      <c r="S126" s="553">
        <f t="shared" si="57"/>
        <v>0</v>
      </c>
      <c r="T126" s="553"/>
      <c r="U126" s="553">
        <f t="shared" si="58"/>
        <v>0</v>
      </c>
      <c r="V126" s="553"/>
      <c r="Y126" s="1146"/>
      <c r="Z126" s="1147">
        <v>0</v>
      </c>
    </row>
    <row r="127" spans="2:26" ht="21" customHeight="1" x14ac:dyDescent="0.25">
      <c r="B127" s="562">
        <v>12.089999999999998</v>
      </c>
      <c r="C127" s="576" t="e">
        <f t="shared" si="50"/>
        <v>#REF!</v>
      </c>
      <c r="D127" s="502" t="s">
        <v>349</v>
      </c>
      <c r="E127" s="496"/>
      <c r="F127" s="497"/>
      <c r="G127" s="530" t="s">
        <v>11</v>
      </c>
      <c r="H127" s="553">
        <v>2.39</v>
      </c>
      <c r="I127" s="553"/>
      <c r="J127" s="553">
        <v>180</v>
      </c>
      <c r="K127" s="553">
        <f t="shared" si="51"/>
        <v>430.2</v>
      </c>
      <c r="L127" s="553">
        <f>+[191]Metrados!E128</f>
        <v>156</v>
      </c>
      <c r="M127" s="553">
        <f t="shared" si="52"/>
        <v>372.84</v>
      </c>
      <c r="N127" s="553">
        <f t="shared" si="53"/>
        <v>0</v>
      </c>
      <c r="O127" s="553">
        <f t="shared" si="54"/>
        <v>0</v>
      </c>
      <c r="P127" s="553"/>
      <c r="Q127" s="553">
        <f t="shared" si="55"/>
        <v>0</v>
      </c>
      <c r="R127" s="553">
        <f t="shared" si="56"/>
        <v>24</v>
      </c>
      <c r="S127" s="553">
        <f t="shared" si="57"/>
        <v>57.36</v>
      </c>
      <c r="T127" s="553"/>
      <c r="U127" s="553">
        <f t="shared" si="58"/>
        <v>0</v>
      </c>
      <c r="V127" s="553"/>
      <c r="Y127" s="1146"/>
      <c r="Z127" s="1147">
        <v>0</v>
      </c>
    </row>
    <row r="128" spans="2:26" s="547" customFormat="1" ht="21" customHeight="1" x14ac:dyDescent="0.25">
      <c r="B128" s="559">
        <v>12.1</v>
      </c>
      <c r="C128" s="575" t="e">
        <f>+#REF!+1</f>
        <v>#REF!</v>
      </c>
      <c r="D128" s="501" t="s">
        <v>350</v>
      </c>
      <c r="E128" s="545"/>
      <c r="F128" s="546"/>
      <c r="G128" s="564" t="s">
        <v>11</v>
      </c>
      <c r="H128" s="633"/>
      <c r="I128" s="633">
        <v>30</v>
      </c>
      <c r="J128" s="633"/>
      <c r="K128" s="560">
        <f>+ROUND($H128*J128,2)</f>
        <v>0</v>
      </c>
      <c r="L128" s="560">
        <f>+[191]Metrados!E129</f>
        <v>48</v>
      </c>
      <c r="M128" s="560">
        <f>+ROUND($I128*L128,2)</f>
        <v>1440</v>
      </c>
      <c r="N128" s="633"/>
      <c r="O128" s="560">
        <f t="shared" si="54"/>
        <v>0</v>
      </c>
      <c r="P128" s="633">
        <f>+L128</f>
        <v>48</v>
      </c>
      <c r="Q128" s="560">
        <f>+ROUND($I128*P128,2)</f>
        <v>1440</v>
      </c>
      <c r="R128" s="633"/>
      <c r="S128" s="560">
        <f t="shared" si="57"/>
        <v>0</v>
      </c>
      <c r="T128" s="633"/>
      <c r="U128" s="560">
        <f t="shared" si="58"/>
        <v>0</v>
      </c>
      <c r="V128" s="633"/>
      <c r="Y128" s="1146"/>
      <c r="Z128" s="1149">
        <v>0</v>
      </c>
    </row>
    <row r="129" spans="2:26" ht="21" customHeight="1" x14ac:dyDescent="0.25">
      <c r="B129" s="456"/>
      <c r="C129" s="483" t="e">
        <f t="shared" ref="C129:C134" si="59">+C128+1</f>
        <v>#REF!</v>
      </c>
      <c r="D129" s="537"/>
      <c r="E129" s="538"/>
      <c r="F129" s="544" t="str">
        <f>+"SUB-TOTAL   "&amp;B118&amp;":  "</f>
        <v xml:space="preserve">SUB-TOTAL   12:  </v>
      </c>
      <c r="G129" s="440"/>
      <c r="H129" s="438"/>
      <c r="I129" s="438"/>
      <c r="J129" s="438"/>
      <c r="K129" s="716">
        <f>+SUM(K119:K128)</f>
        <v>11193.660000000002</v>
      </c>
      <c r="L129" s="540"/>
      <c r="M129" s="716">
        <f>+SUM(M119:M128)</f>
        <v>11437.240000000002</v>
      </c>
      <c r="N129" s="438"/>
      <c r="O129" s="716">
        <f>+SUM(O119:O128)</f>
        <v>856.43000000000006</v>
      </c>
      <c r="P129" s="438"/>
      <c r="Q129" s="716">
        <f>+SUM(Q119:Q128)</f>
        <v>1440</v>
      </c>
      <c r="R129" s="438"/>
      <c r="S129" s="716">
        <f>+SUM(S119:S128)</f>
        <v>2052.85</v>
      </c>
      <c r="T129" s="438"/>
      <c r="U129" s="716">
        <f>+SUM(U119:U128)</f>
        <v>34.86</v>
      </c>
      <c r="V129" s="438"/>
      <c r="Y129" s="1146"/>
      <c r="Z129" s="1147">
        <v>0</v>
      </c>
    </row>
    <row r="130" spans="2:26" ht="21" customHeight="1" x14ac:dyDescent="0.25">
      <c r="B130" s="452">
        <v>13</v>
      </c>
      <c r="C130" s="481" t="e">
        <f t="shared" si="59"/>
        <v>#REF!</v>
      </c>
      <c r="D130" s="453" t="s">
        <v>452</v>
      </c>
      <c r="E130" s="445"/>
      <c r="F130" s="446"/>
      <c r="G130" s="527"/>
      <c r="H130" s="438"/>
      <c r="I130" s="438"/>
      <c r="J130" s="438"/>
      <c r="K130" s="438"/>
      <c r="L130" s="438"/>
      <c r="M130" s="438"/>
      <c r="N130" s="438"/>
      <c r="O130" s="438"/>
      <c r="P130" s="438"/>
      <c r="Q130" s="438"/>
      <c r="R130" s="438"/>
      <c r="S130" s="438"/>
      <c r="T130" s="438"/>
      <c r="U130" s="438"/>
      <c r="V130" s="438"/>
      <c r="Y130" s="1146"/>
      <c r="Z130" s="1147">
        <v>0</v>
      </c>
    </row>
    <row r="131" spans="2:26" ht="21" customHeight="1" x14ac:dyDescent="0.25">
      <c r="B131" s="562">
        <v>13.01</v>
      </c>
      <c r="C131" s="576" t="e">
        <f t="shared" si="59"/>
        <v>#REF!</v>
      </c>
      <c r="D131" s="502" t="s">
        <v>451</v>
      </c>
      <c r="E131" s="496"/>
      <c r="F131" s="497"/>
      <c r="G131" s="530" t="s">
        <v>11</v>
      </c>
      <c r="H131" s="553">
        <v>377.78</v>
      </c>
      <c r="I131" s="553"/>
      <c r="J131" s="553">
        <v>15</v>
      </c>
      <c r="K131" s="553">
        <f t="shared" ref="K131:K135" si="60">+ROUND($H131*J131,2)</f>
        <v>5666.7</v>
      </c>
      <c r="L131" s="553">
        <f>+[191]Metrados!E132</f>
        <v>13</v>
      </c>
      <c r="M131" s="553">
        <f>+ROUND($H131*L131,2)</f>
        <v>4911.1400000000003</v>
      </c>
      <c r="N131" s="553">
        <f>+IF($L131-$J131&gt;=0,$L131-$J131,0)</f>
        <v>0</v>
      </c>
      <c r="O131" s="553">
        <f t="shared" ref="O131:O135" si="61">+ROUND($H131*N131,2)</f>
        <v>0</v>
      </c>
      <c r="P131" s="553"/>
      <c r="Q131" s="553">
        <f>+ROUND($H131*P131,2)</f>
        <v>0</v>
      </c>
      <c r="R131" s="553">
        <f>+IF($L131-$J131&lt;=0,-$L131+$J131,0)</f>
        <v>2</v>
      </c>
      <c r="S131" s="553">
        <f t="shared" ref="S131:S135" si="62">+ROUND($H131*R131,2)</f>
        <v>755.56</v>
      </c>
      <c r="T131" s="553"/>
      <c r="U131" s="553">
        <f t="shared" ref="U131:U135" si="63">+ROUND($H131*T131,2)</f>
        <v>0</v>
      </c>
      <c r="V131" s="553"/>
      <c r="Y131" s="1146"/>
      <c r="Z131" s="1147">
        <v>0</v>
      </c>
    </row>
    <row r="132" spans="2:26" ht="21" customHeight="1" x14ac:dyDescent="0.25">
      <c r="B132" s="562">
        <v>13.02</v>
      </c>
      <c r="C132" s="576" t="e">
        <f t="shared" si="59"/>
        <v>#REF!</v>
      </c>
      <c r="D132" s="502" t="s">
        <v>450</v>
      </c>
      <c r="E132" s="496"/>
      <c r="F132" s="497"/>
      <c r="G132" s="530" t="s">
        <v>11</v>
      </c>
      <c r="H132" s="553">
        <v>7.26</v>
      </c>
      <c r="I132" s="553"/>
      <c r="J132" s="553">
        <v>12</v>
      </c>
      <c r="K132" s="553">
        <f t="shared" si="60"/>
        <v>87.12</v>
      </c>
      <c r="L132" s="553">
        <f>+[191]Metrados!E133</f>
        <v>7</v>
      </c>
      <c r="M132" s="553">
        <f>+ROUND($H132*L132,2)</f>
        <v>50.82</v>
      </c>
      <c r="N132" s="553">
        <f>+IF($L132-$J132&gt;=0,$L132-$J132,0)</f>
        <v>0</v>
      </c>
      <c r="O132" s="553">
        <f t="shared" si="61"/>
        <v>0</v>
      </c>
      <c r="P132" s="553"/>
      <c r="Q132" s="553">
        <f>+ROUND($H132*P132,2)</f>
        <v>0</v>
      </c>
      <c r="R132" s="553">
        <f>+IF($L132-$J132&lt;=0,-$L132+$J132,0)</f>
        <v>5</v>
      </c>
      <c r="S132" s="553">
        <f t="shared" si="62"/>
        <v>36.299999999999997</v>
      </c>
      <c r="T132" s="553">
        <f>+N133</f>
        <v>3</v>
      </c>
      <c r="U132" s="553">
        <f t="shared" si="63"/>
        <v>21.78</v>
      </c>
      <c r="V132" s="553" t="s">
        <v>840</v>
      </c>
      <c r="Y132" s="1146"/>
      <c r="Z132" s="1147">
        <v>0</v>
      </c>
    </row>
    <row r="133" spans="2:26" ht="21" customHeight="1" x14ac:dyDescent="0.25">
      <c r="B133" s="562">
        <v>13.03</v>
      </c>
      <c r="C133" s="576" t="e">
        <f t="shared" si="59"/>
        <v>#REF!</v>
      </c>
      <c r="D133" s="502" t="s">
        <v>449</v>
      </c>
      <c r="E133" s="496"/>
      <c r="F133" s="497"/>
      <c r="G133" s="530" t="s">
        <v>11</v>
      </c>
      <c r="H133" s="553">
        <v>7.22</v>
      </c>
      <c r="I133" s="553"/>
      <c r="J133" s="553">
        <v>3</v>
      </c>
      <c r="K133" s="553">
        <f t="shared" si="60"/>
        <v>21.66</v>
      </c>
      <c r="L133" s="553">
        <f>+[191]Metrados!E134</f>
        <v>6</v>
      </c>
      <c r="M133" s="553">
        <f>+ROUND($H133*L133,2)</f>
        <v>43.32</v>
      </c>
      <c r="N133" s="553">
        <f>+IF($L133-$J133&gt;=0,$L133-$J133,0)</f>
        <v>3</v>
      </c>
      <c r="O133" s="553">
        <f t="shared" si="61"/>
        <v>21.66</v>
      </c>
      <c r="P133" s="553"/>
      <c r="Q133" s="553">
        <f>+ROUND($H133*P133,2)</f>
        <v>0</v>
      </c>
      <c r="R133" s="553">
        <f>+IF($L133-$J133&lt;=0,-$L133+$J133,0)</f>
        <v>0</v>
      </c>
      <c r="S133" s="553">
        <f t="shared" si="62"/>
        <v>0</v>
      </c>
      <c r="T133" s="553"/>
      <c r="U133" s="553">
        <f t="shared" si="63"/>
        <v>0</v>
      </c>
      <c r="V133" s="553"/>
      <c r="Y133" s="1146"/>
      <c r="Z133" s="1147">
        <v>0</v>
      </c>
    </row>
    <row r="134" spans="2:26" ht="21" customHeight="1" x14ac:dyDescent="0.25">
      <c r="B134" s="562">
        <v>13.04</v>
      </c>
      <c r="C134" s="576" t="e">
        <f t="shared" si="59"/>
        <v>#REF!</v>
      </c>
      <c r="D134" s="502" t="s">
        <v>448</v>
      </c>
      <c r="E134" s="496"/>
      <c r="F134" s="497"/>
      <c r="G134" s="530" t="s">
        <v>11</v>
      </c>
      <c r="H134" s="553">
        <v>264.86</v>
      </c>
      <c r="I134" s="553"/>
      <c r="J134" s="553">
        <v>15</v>
      </c>
      <c r="K134" s="553">
        <f t="shared" si="60"/>
        <v>3972.9</v>
      </c>
      <c r="L134" s="553">
        <f>+[191]Metrados!E135</f>
        <v>5</v>
      </c>
      <c r="M134" s="553">
        <f>+ROUND($H134*L134,2)</f>
        <v>1324.3</v>
      </c>
      <c r="N134" s="553">
        <f>+IF($L134-$J134&gt;=0,$L134-$J134,0)</f>
        <v>0</v>
      </c>
      <c r="O134" s="553">
        <f t="shared" si="61"/>
        <v>0</v>
      </c>
      <c r="P134" s="553"/>
      <c r="Q134" s="553">
        <f>+ROUND($H134*P134,2)</f>
        <v>0</v>
      </c>
      <c r="R134" s="553">
        <f>+IF($L134-$J134&lt;=0,-$L134+$J134,0)</f>
        <v>10</v>
      </c>
      <c r="S134" s="553">
        <f t="shared" si="62"/>
        <v>2648.6</v>
      </c>
      <c r="T134" s="553">
        <f>+P135</f>
        <v>28</v>
      </c>
      <c r="U134" s="553">
        <f t="shared" si="63"/>
        <v>7416.08</v>
      </c>
      <c r="V134" s="553" t="s">
        <v>841</v>
      </c>
      <c r="Y134" s="1146"/>
      <c r="Z134" s="1147">
        <v>0</v>
      </c>
    </row>
    <row r="135" spans="2:26" s="547" customFormat="1" ht="21" customHeight="1" x14ac:dyDescent="0.25">
      <c r="B135" s="559">
        <v>13.05</v>
      </c>
      <c r="C135" s="575" t="e">
        <f>+#REF!+1</f>
        <v>#REF!</v>
      </c>
      <c r="D135" s="501" t="s">
        <v>827</v>
      </c>
      <c r="E135" s="545"/>
      <c r="F135" s="546"/>
      <c r="G135" s="564" t="s">
        <v>11</v>
      </c>
      <c r="H135" s="633"/>
      <c r="I135" s="633">
        <v>264.86</v>
      </c>
      <c r="J135" s="633"/>
      <c r="K135" s="633">
        <f t="shared" si="60"/>
        <v>0</v>
      </c>
      <c r="L135" s="640">
        <f>+[191]Metrados!E136</f>
        <v>28</v>
      </c>
      <c r="M135" s="633">
        <f>+ROUND($I135*L135,2)</f>
        <v>7416.08</v>
      </c>
      <c r="N135" s="633"/>
      <c r="O135" s="633">
        <f t="shared" si="61"/>
        <v>0</v>
      </c>
      <c r="P135" s="633">
        <f>+L135</f>
        <v>28</v>
      </c>
      <c r="Q135" s="633">
        <f>+ROUND($I135*P135,2)</f>
        <v>7416.08</v>
      </c>
      <c r="R135" s="633"/>
      <c r="S135" s="633">
        <f t="shared" si="62"/>
        <v>0</v>
      </c>
      <c r="T135" s="633"/>
      <c r="U135" s="633">
        <f t="shared" si="63"/>
        <v>0</v>
      </c>
      <c r="V135" s="633"/>
      <c r="Y135" s="1146"/>
      <c r="Z135" s="1149">
        <v>20</v>
      </c>
    </row>
    <row r="136" spans="2:26" ht="21" customHeight="1" x14ac:dyDescent="0.25">
      <c r="B136" s="456"/>
      <c r="C136" s="483" t="e">
        <f>+#REF!+1</f>
        <v>#REF!</v>
      </c>
      <c r="D136" s="537"/>
      <c r="E136" s="538"/>
      <c r="F136" s="544" t="str">
        <f>+"SUB-TOTAL   "&amp;B130&amp;":  "</f>
        <v xml:space="preserve">SUB-TOTAL   13:  </v>
      </c>
      <c r="G136" s="440"/>
      <c r="H136" s="438"/>
      <c r="I136" s="438"/>
      <c r="J136" s="438"/>
      <c r="K136" s="548">
        <f>+SUM(K131:K135)</f>
        <v>9748.3799999999992</v>
      </c>
      <c r="L136" s="540"/>
      <c r="M136" s="548">
        <f>+SUM(M131:M135)</f>
        <v>13745.66</v>
      </c>
      <c r="N136" s="438"/>
      <c r="O136" s="548">
        <f>+SUM(O131:O135)</f>
        <v>21.66</v>
      </c>
      <c r="P136" s="438"/>
      <c r="Q136" s="548">
        <f>+SUM(Q131:Q135)</f>
        <v>7416.08</v>
      </c>
      <c r="R136" s="438"/>
      <c r="S136" s="548">
        <f>+SUM(S131:S135)</f>
        <v>3440.46</v>
      </c>
      <c r="T136" s="438"/>
      <c r="U136" s="548">
        <f>+SUM(U131:U134)</f>
        <v>7437.86</v>
      </c>
      <c r="V136" s="438"/>
      <c r="Y136" s="1146"/>
      <c r="Z136" s="1147">
        <v>0</v>
      </c>
    </row>
    <row r="137" spans="2:26" ht="21" customHeight="1" x14ac:dyDescent="0.25">
      <c r="B137" s="452">
        <v>14</v>
      </c>
      <c r="C137" s="481" t="e">
        <f t="shared" ref="C137:C147" si="64">+C136+1</f>
        <v>#REF!</v>
      </c>
      <c r="D137" s="453" t="s">
        <v>447</v>
      </c>
      <c r="E137" s="445"/>
      <c r="F137" s="446"/>
      <c r="G137" s="527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Y137" s="1146"/>
      <c r="Z137" s="1147">
        <v>0</v>
      </c>
    </row>
    <row r="138" spans="2:26" ht="21" customHeight="1" x14ac:dyDescent="0.25">
      <c r="B138" s="562">
        <v>14.01</v>
      </c>
      <c r="C138" s="576" t="e">
        <f t="shared" si="64"/>
        <v>#REF!</v>
      </c>
      <c r="D138" s="502" t="s">
        <v>446</v>
      </c>
      <c r="E138" s="496"/>
      <c r="F138" s="497"/>
      <c r="G138" s="530" t="s">
        <v>11</v>
      </c>
      <c r="H138" s="553">
        <v>10.61</v>
      </c>
      <c r="I138" s="553"/>
      <c r="J138" s="553">
        <v>24</v>
      </c>
      <c r="K138" s="553">
        <f t="shared" ref="K138:K152" si="65">+ROUND($H138*J138,2)</f>
        <v>254.64</v>
      </c>
      <c r="L138" s="553">
        <f>+[191]Metrados!E139</f>
        <v>37</v>
      </c>
      <c r="M138" s="553">
        <f t="shared" ref="M138:M147" si="66">+ROUND($H138*L138,2)</f>
        <v>392.57</v>
      </c>
      <c r="N138" s="553">
        <f t="shared" ref="N138:N147" si="67">+IF($L138-$J138&gt;=0,$L138-$J138,0)</f>
        <v>13</v>
      </c>
      <c r="O138" s="553">
        <f t="shared" ref="O138:O152" si="68">+ROUND($H138*N138,2)</f>
        <v>137.93</v>
      </c>
      <c r="P138" s="553"/>
      <c r="Q138" s="553">
        <f t="shared" ref="Q138:Q147" si="69">+ROUND($H138*P138,2)</f>
        <v>0</v>
      </c>
      <c r="R138" s="553">
        <f t="shared" ref="R138:R147" si="70">+IF($L138-$J138&lt;=0,-$L138+$J138,0)</f>
        <v>0</v>
      </c>
      <c r="S138" s="553">
        <f t="shared" ref="S138:S152" si="71">+ROUND($H138*R138,2)</f>
        <v>0</v>
      </c>
      <c r="T138" s="553"/>
      <c r="U138" s="553">
        <f t="shared" ref="U138:U152" si="72">+ROUND($H138*T138,2)</f>
        <v>0</v>
      </c>
      <c r="V138" s="553"/>
      <c r="Y138" s="1146"/>
      <c r="Z138" s="1147">
        <v>0</v>
      </c>
    </row>
    <row r="139" spans="2:26" ht="21" customHeight="1" x14ac:dyDescent="0.25">
      <c r="B139" s="562">
        <v>14.02</v>
      </c>
      <c r="C139" s="576" t="e">
        <f t="shared" si="64"/>
        <v>#REF!</v>
      </c>
      <c r="D139" s="502" t="s">
        <v>445</v>
      </c>
      <c r="E139" s="496"/>
      <c r="F139" s="497"/>
      <c r="G139" s="530" t="s">
        <v>11</v>
      </c>
      <c r="H139" s="553">
        <v>867.73</v>
      </c>
      <c r="I139" s="553"/>
      <c r="J139" s="553">
        <v>30</v>
      </c>
      <c r="K139" s="553">
        <f t="shared" si="65"/>
        <v>26031.9</v>
      </c>
      <c r="L139" s="553">
        <f>+[191]Metrados!E140</f>
        <v>36</v>
      </c>
      <c r="M139" s="553">
        <f t="shared" si="66"/>
        <v>31238.28</v>
      </c>
      <c r="N139" s="553">
        <f t="shared" si="67"/>
        <v>6</v>
      </c>
      <c r="O139" s="553">
        <f t="shared" si="68"/>
        <v>5206.38</v>
      </c>
      <c r="P139" s="553"/>
      <c r="Q139" s="553">
        <f t="shared" si="69"/>
        <v>0</v>
      </c>
      <c r="R139" s="553">
        <f t="shared" si="70"/>
        <v>0</v>
      </c>
      <c r="S139" s="553">
        <f t="shared" si="71"/>
        <v>0</v>
      </c>
      <c r="T139" s="553"/>
      <c r="U139" s="553">
        <f t="shared" si="72"/>
        <v>0</v>
      </c>
      <c r="V139" s="553"/>
      <c r="Y139" s="1146"/>
      <c r="Z139" s="1147">
        <v>0</v>
      </c>
    </row>
    <row r="140" spans="2:26" ht="21" customHeight="1" x14ac:dyDescent="0.25">
      <c r="B140" s="562">
        <v>14.03</v>
      </c>
      <c r="C140" s="576" t="e">
        <f t="shared" si="64"/>
        <v>#REF!</v>
      </c>
      <c r="D140" s="502" t="s">
        <v>444</v>
      </c>
      <c r="E140" s="496"/>
      <c r="F140" s="497"/>
      <c r="G140" s="530" t="s">
        <v>13</v>
      </c>
      <c r="H140" s="553">
        <v>40</v>
      </c>
      <c r="I140" s="553"/>
      <c r="J140" s="553">
        <v>673.12</v>
      </c>
      <c r="K140" s="553">
        <f t="shared" si="65"/>
        <v>26924.799999999999</v>
      </c>
      <c r="L140" s="553">
        <f>+[191]Metrados!E141</f>
        <v>1174.7511499999998</v>
      </c>
      <c r="M140" s="553">
        <f t="shared" si="66"/>
        <v>46990.05</v>
      </c>
      <c r="N140" s="553">
        <f t="shared" si="67"/>
        <v>501.63114999999982</v>
      </c>
      <c r="O140" s="553">
        <f t="shared" si="68"/>
        <v>20065.25</v>
      </c>
      <c r="P140" s="553"/>
      <c r="Q140" s="553">
        <f t="shared" si="69"/>
        <v>0</v>
      </c>
      <c r="R140" s="553">
        <f t="shared" si="70"/>
        <v>0</v>
      </c>
      <c r="S140" s="553">
        <f t="shared" si="71"/>
        <v>0</v>
      </c>
      <c r="T140" s="553"/>
      <c r="U140" s="553">
        <f t="shared" si="72"/>
        <v>0</v>
      </c>
      <c r="V140" s="553"/>
      <c r="Y140" s="1146"/>
      <c r="Z140" s="1147">
        <v>0</v>
      </c>
    </row>
    <row r="141" spans="2:26" ht="21" customHeight="1" x14ac:dyDescent="0.25">
      <c r="B141" s="562">
        <v>14.04</v>
      </c>
      <c r="C141" s="576" t="e">
        <f t="shared" si="64"/>
        <v>#REF!</v>
      </c>
      <c r="D141" s="502" t="s">
        <v>443</v>
      </c>
      <c r="E141" s="496"/>
      <c r="F141" s="497"/>
      <c r="G141" s="530" t="s">
        <v>11</v>
      </c>
      <c r="H141" s="553">
        <v>81.86</v>
      </c>
      <c r="I141" s="553"/>
      <c r="J141" s="553">
        <v>12</v>
      </c>
      <c r="K141" s="553">
        <f t="shared" si="65"/>
        <v>982.32</v>
      </c>
      <c r="L141" s="553">
        <f>+[191]Metrados!E142</f>
        <v>10</v>
      </c>
      <c r="M141" s="553">
        <f t="shared" si="66"/>
        <v>818.6</v>
      </c>
      <c r="N141" s="553">
        <f t="shared" si="67"/>
        <v>0</v>
      </c>
      <c r="O141" s="553">
        <f t="shared" si="68"/>
        <v>0</v>
      </c>
      <c r="P141" s="553"/>
      <c r="Q141" s="553">
        <f t="shared" si="69"/>
        <v>0</v>
      </c>
      <c r="R141" s="553">
        <f t="shared" si="70"/>
        <v>2</v>
      </c>
      <c r="S141" s="553">
        <f t="shared" si="71"/>
        <v>163.72</v>
      </c>
      <c r="T141" s="553">
        <f>+P152</f>
        <v>0</v>
      </c>
      <c r="U141" s="553">
        <f t="shared" si="72"/>
        <v>0</v>
      </c>
      <c r="V141" s="553" t="s">
        <v>842</v>
      </c>
      <c r="Y141" s="1146"/>
      <c r="Z141" s="1147">
        <v>10</v>
      </c>
    </row>
    <row r="142" spans="2:26" ht="21" customHeight="1" x14ac:dyDescent="0.25">
      <c r="B142" s="562">
        <v>14.049999999999999</v>
      </c>
      <c r="C142" s="576" t="e">
        <f t="shared" si="64"/>
        <v>#REF!</v>
      </c>
      <c r="D142" s="502" t="s">
        <v>442</v>
      </c>
      <c r="E142" s="496"/>
      <c r="F142" s="497"/>
      <c r="G142" s="530" t="s">
        <v>11</v>
      </c>
      <c r="H142" s="553">
        <v>1.47</v>
      </c>
      <c r="I142" s="553"/>
      <c r="J142" s="553">
        <v>25</v>
      </c>
      <c r="K142" s="553">
        <f>+ROUND($H142*J142,2)</f>
        <v>36.75</v>
      </c>
      <c r="L142" s="553">
        <f>+[191]Metrados!E143</f>
        <v>32</v>
      </c>
      <c r="M142" s="553">
        <f t="shared" si="66"/>
        <v>47.04</v>
      </c>
      <c r="N142" s="553">
        <f t="shared" si="67"/>
        <v>7</v>
      </c>
      <c r="O142" s="553">
        <f t="shared" si="68"/>
        <v>10.29</v>
      </c>
      <c r="P142" s="553"/>
      <c r="Q142" s="553">
        <f t="shared" si="69"/>
        <v>0</v>
      </c>
      <c r="R142" s="553">
        <f t="shared" si="70"/>
        <v>0</v>
      </c>
      <c r="S142" s="553">
        <f t="shared" si="71"/>
        <v>0</v>
      </c>
      <c r="T142" s="553"/>
      <c r="U142" s="553">
        <f t="shared" si="72"/>
        <v>0</v>
      </c>
      <c r="V142" s="553"/>
      <c r="Y142" s="1146"/>
      <c r="Z142" s="1147">
        <v>0</v>
      </c>
    </row>
    <row r="143" spans="2:26" ht="21" customHeight="1" x14ac:dyDescent="0.25">
      <c r="B143" s="562">
        <v>14.059999999999999</v>
      </c>
      <c r="C143" s="576" t="e">
        <f t="shared" si="64"/>
        <v>#REF!</v>
      </c>
      <c r="D143" s="502" t="s">
        <v>1029</v>
      </c>
      <c r="E143" s="496"/>
      <c r="F143" s="497"/>
      <c r="G143" s="530" t="s">
        <v>11</v>
      </c>
      <c r="H143" s="553">
        <v>3.17</v>
      </c>
      <c r="I143" s="553"/>
      <c r="J143" s="553">
        <v>23</v>
      </c>
      <c r="K143" s="553">
        <f t="shared" si="65"/>
        <v>72.91</v>
      </c>
      <c r="L143" s="553">
        <f>+[191]Metrados!E144</f>
        <v>32</v>
      </c>
      <c r="M143" s="553">
        <f t="shared" si="66"/>
        <v>101.44</v>
      </c>
      <c r="N143" s="553">
        <f t="shared" si="67"/>
        <v>9</v>
      </c>
      <c r="O143" s="553">
        <f t="shared" si="68"/>
        <v>28.53</v>
      </c>
      <c r="P143" s="553"/>
      <c r="Q143" s="553">
        <f t="shared" si="69"/>
        <v>0</v>
      </c>
      <c r="R143" s="553">
        <f t="shared" si="70"/>
        <v>0</v>
      </c>
      <c r="S143" s="553">
        <f t="shared" si="71"/>
        <v>0</v>
      </c>
      <c r="T143" s="553"/>
      <c r="U143" s="553">
        <f t="shared" si="72"/>
        <v>0</v>
      </c>
      <c r="V143" s="553"/>
      <c r="Y143" s="1146"/>
      <c r="Z143" s="1147">
        <v>0</v>
      </c>
    </row>
    <row r="144" spans="2:26" ht="21" customHeight="1" x14ac:dyDescent="0.25">
      <c r="B144" s="562">
        <v>14.069999999999999</v>
      </c>
      <c r="C144" s="576" t="e">
        <f t="shared" si="64"/>
        <v>#REF!</v>
      </c>
      <c r="D144" s="502" t="s">
        <v>440</v>
      </c>
      <c r="E144" s="496"/>
      <c r="F144" s="497"/>
      <c r="G144" s="530" t="s">
        <v>11</v>
      </c>
      <c r="H144" s="553">
        <v>13.05</v>
      </c>
      <c r="I144" s="553"/>
      <c r="J144" s="553">
        <v>32</v>
      </c>
      <c r="K144" s="553">
        <f t="shared" si="65"/>
        <v>417.6</v>
      </c>
      <c r="L144" s="553">
        <f>+[191]Metrados!E145</f>
        <v>64</v>
      </c>
      <c r="M144" s="553">
        <f t="shared" si="66"/>
        <v>835.2</v>
      </c>
      <c r="N144" s="553">
        <f t="shared" si="67"/>
        <v>32</v>
      </c>
      <c r="O144" s="553">
        <f t="shared" si="68"/>
        <v>417.6</v>
      </c>
      <c r="P144" s="553"/>
      <c r="Q144" s="553">
        <f t="shared" si="69"/>
        <v>0</v>
      </c>
      <c r="R144" s="553">
        <f t="shared" si="70"/>
        <v>0</v>
      </c>
      <c r="S144" s="553">
        <f t="shared" si="71"/>
        <v>0</v>
      </c>
      <c r="T144" s="553"/>
      <c r="U144" s="553">
        <f t="shared" si="72"/>
        <v>0</v>
      </c>
      <c r="V144" s="553"/>
      <c r="Y144" s="1146"/>
      <c r="Z144" s="1147">
        <v>0</v>
      </c>
    </row>
    <row r="145" spans="2:26" ht="21" customHeight="1" x14ac:dyDescent="0.25">
      <c r="B145" s="562">
        <v>14.079999999999998</v>
      </c>
      <c r="C145" s="576" t="e">
        <f t="shared" si="64"/>
        <v>#REF!</v>
      </c>
      <c r="D145" s="502" t="s">
        <v>439</v>
      </c>
      <c r="E145" s="496"/>
      <c r="F145" s="497"/>
      <c r="G145" s="530" t="s">
        <v>13</v>
      </c>
      <c r="H145" s="553">
        <v>6.02</v>
      </c>
      <c r="I145" s="553"/>
      <c r="J145" s="553">
        <v>53</v>
      </c>
      <c r="K145" s="553">
        <f t="shared" si="65"/>
        <v>319.06</v>
      </c>
      <c r="L145" s="553">
        <f>+[191]Metrados!E146</f>
        <v>55</v>
      </c>
      <c r="M145" s="553">
        <f t="shared" si="66"/>
        <v>331.1</v>
      </c>
      <c r="N145" s="553">
        <f t="shared" si="67"/>
        <v>2</v>
      </c>
      <c r="O145" s="553">
        <f t="shared" si="68"/>
        <v>12.04</v>
      </c>
      <c r="P145" s="553"/>
      <c r="Q145" s="553">
        <f t="shared" si="69"/>
        <v>0</v>
      </c>
      <c r="R145" s="553">
        <f t="shared" si="70"/>
        <v>0</v>
      </c>
      <c r="S145" s="553">
        <f t="shared" si="71"/>
        <v>0</v>
      </c>
      <c r="T145" s="553"/>
      <c r="U145" s="553">
        <f t="shared" si="72"/>
        <v>0</v>
      </c>
      <c r="V145" s="553"/>
      <c r="Y145" s="1146"/>
      <c r="Z145" s="1147">
        <v>0</v>
      </c>
    </row>
    <row r="146" spans="2:26" ht="21" customHeight="1" x14ac:dyDescent="0.25">
      <c r="B146" s="562">
        <v>14.089999999999998</v>
      </c>
      <c r="C146" s="576" t="e">
        <f t="shared" si="64"/>
        <v>#REF!</v>
      </c>
      <c r="D146" s="502" t="s">
        <v>1028</v>
      </c>
      <c r="E146" s="496"/>
      <c r="F146" s="497"/>
      <c r="G146" s="530" t="s">
        <v>11</v>
      </c>
      <c r="H146" s="553">
        <v>27.44</v>
      </c>
      <c r="I146" s="553"/>
      <c r="J146" s="553">
        <v>10</v>
      </c>
      <c r="K146" s="553">
        <f t="shared" si="65"/>
        <v>274.39999999999998</v>
      </c>
      <c r="L146" s="553">
        <f>+[191]Metrados!E147</f>
        <v>10</v>
      </c>
      <c r="M146" s="553">
        <f t="shared" si="66"/>
        <v>274.39999999999998</v>
      </c>
      <c r="N146" s="553">
        <f t="shared" si="67"/>
        <v>0</v>
      </c>
      <c r="O146" s="553">
        <f t="shared" si="68"/>
        <v>0</v>
      </c>
      <c r="P146" s="553"/>
      <c r="Q146" s="553">
        <f t="shared" si="69"/>
        <v>0</v>
      </c>
      <c r="R146" s="553">
        <f t="shared" si="70"/>
        <v>0</v>
      </c>
      <c r="S146" s="553">
        <f t="shared" si="71"/>
        <v>0</v>
      </c>
      <c r="T146" s="553">
        <f>+R146</f>
        <v>0</v>
      </c>
      <c r="U146" s="553">
        <f t="shared" si="72"/>
        <v>0</v>
      </c>
      <c r="V146" s="553" t="s">
        <v>842</v>
      </c>
      <c r="Y146" s="1146"/>
      <c r="Z146" s="1147">
        <v>10</v>
      </c>
    </row>
    <row r="147" spans="2:26" ht="21" customHeight="1" x14ac:dyDescent="0.25">
      <c r="B147" s="562">
        <v>14.099999999999998</v>
      </c>
      <c r="C147" s="576" t="e">
        <f t="shared" si="64"/>
        <v>#REF!</v>
      </c>
      <c r="D147" s="502" t="s">
        <v>437</v>
      </c>
      <c r="E147" s="496"/>
      <c r="F147" s="497"/>
      <c r="G147" s="530" t="s">
        <v>11</v>
      </c>
      <c r="H147" s="553">
        <v>30.41</v>
      </c>
      <c r="I147" s="553"/>
      <c r="J147" s="553">
        <v>60</v>
      </c>
      <c r="K147" s="553">
        <f t="shared" si="65"/>
        <v>1824.6</v>
      </c>
      <c r="L147" s="553">
        <f>+[191]Metrados!E148</f>
        <v>0</v>
      </c>
      <c r="M147" s="553">
        <f t="shared" si="66"/>
        <v>0</v>
      </c>
      <c r="N147" s="553">
        <f t="shared" si="67"/>
        <v>0</v>
      </c>
      <c r="O147" s="553">
        <f t="shared" si="68"/>
        <v>0</v>
      </c>
      <c r="P147" s="553"/>
      <c r="Q147" s="553">
        <f t="shared" si="69"/>
        <v>0</v>
      </c>
      <c r="R147" s="553">
        <f t="shared" si="70"/>
        <v>60</v>
      </c>
      <c r="S147" s="553">
        <f t="shared" si="71"/>
        <v>1824.6</v>
      </c>
      <c r="T147" s="553">
        <f>+R147</f>
        <v>60</v>
      </c>
      <c r="U147" s="553">
        <f t="shared" si="72"/>
        <v>1824.6</v>
      </c>
      <c r="V147" s="553" t="s">
        <v>843</v>
      </c>
      <c r="Y147" s="1146"/>
      <c r="Z147" s="1147">
        <v>0</v>
      </c>
    </row>
    <row r="148" spans="2:26" s="547" customFormat="1" ht="21" customHeight="1" x14ac:dyDescent="0.25">
      <c r="B148" s="559">
        <v>14.11</v>
      </c>
      <c r="C148" s="577" t="e">
        <f>+#REF!+1</f>
        <v>#REF!</v>
      </c>
      <c r="D148" s="501" t="s">
        <v>761</v>
      </c>
      <c r="E148" s="545"/>
      <c r="F148" s="546"/>
      <c r="G148" s="531" t="s">
        <v>11</v>
      </c>
      <c r="H148" s="560"/>
      <c r="I148" s="560">
        <v>40</v>
      </c>
      <c r="J148" s="560"/>
      <c r="K148" s="560">
        <f t="shared" si="65"/>
        <v>0</v>
      </c>
      <c r="L148" s="560">
        <f>+[191]Metrados!E149</f>
        <v>76</v>
      </c>
      <c r="M148" s="560">
        <f t="shared" ref="M148:M152" si="73">+ROUND($I148*L148,2)</f>
        <v>3040</v>
      </c>
      <c r="N148" s="560"/>
      <c r="O148" s="560">
        <f t="shared" si="68"/>
        <v>0</v>
      </c>
      <c r="P148" s="560">
        <f t="shared" ref="P148:P152" si="74">+L148</f>
        <v>76</v>
      </c>
      <c r="Q148" s="560">
        <f t="shared" ref="Q148:Q152" si="75">+ROUND($I148*P148,2)</f>
        <v>3040</v>
      </c>
      <c r="R148" s="560"/>
      <c r="S148" s="560">
        <f t="shared" si="71"/>
        <v>0</v>
      </c>
      <c r="T148" s="560"/>
      <c r="U148" s="560">
        <f t="shared" si="72"/>
        <v>0</v>
      </c>
      <c r="V148" s="560"/>
      <c r="Y148" s="1146"/>
      <c r="Z148" s="1149">
        <v>0</v>
      </c>
    </row>
    <row r="149" spans="2:26" s="547" customFormat="1" ht="21" customHeight="1" x14ac:dyDescent="0.25">
      <c r="B149" s="559">
        <v>14.12</v>
      </c>
      <c r="C149" s="577" t="e">
        <f>+#REF!+1</f>
        <v>#REF!</v>
      </c>
      <c r="D149" s="501" t="s">
        <v>763</v>
      </c>
      <c r="E149" s="545"/>
      <c r="F149" s="546"/>
      <c r="G149" s="531" t="s">
        <v>11</v>
      </c>
      <c r="H149" s="560"/>
      <c r="I149" s="560">
        <v>0.8</v>
      </c>
      <c r="J149" s="560"/>
      <c r="K149" s="560">
        <f t="shared" si="65"/>
        <v>0</v>
      </c>
      <c r="L149" s="560">
        <f>+[191]Metrados!E150</f>
        <v>2031</v>
      </c>
      <c r="M149" s="560">
        <f t="shared" si="73"/>
        <v>1624.8</v>
      </c>
      <c r="N149" s="560"/>
      <c r="O149" s="560">
        <f t="shared" si="68"/>
        <v>0</v>
      </c>
      <c r="P149" s="560">
        <f t="shared" si="74"/>
        <v>2031</v>
      </c>
      <c r="Q149" s="560">
        <f t="shared" si="75"/>
        <v>1624.8</v>
      </c>
      <c r="R149" s="560"/>
      <c r="S149" s="560">
        <f t="shared" si="71"/>
        <v>0</v>
      </c>
      <c r="T149" s="560"/>
      <c r="U149" s="560">
        <f t="shared" si="72"/>
        <v>0</v>
      </c>
      <c r="V149" s="560"/>
      <c r="Y149" s="1146"/>
      <c r="Z149" s="1149">
        <v>0</v>
      </c>
    </row>
    <row r="150" spans="2:26" s="547" customFormat="1" ht="21" customHeight="1" x14ac:dyDescent="0.25">
      <c r="B150" s="559">
        <v>14.13</v>
      </c>
      <c r="C150" s="577" t="e">
        <f>+#REF!+1</f>
        <v>#REF!</v>
      </c>
      <c r="D150" s="501" t="s">
        <v>764</v>
      </c>
      <c r="E150" s="545"/>
      <c r="F150" s="546"/>
      <c r="G150" s="531" t="s">
        <v>11</v>
      </c>
      <c r="H150" s="560"/>
      <c r="I150" s="560">
        <v>0.5</v>
      </c>
      <c r="J150" s="560"/>
      <c r="K150" s="560">
        <f t="shared" si="65"/>
        <v>0</v>
      </c>
      <c r="L150" s="560">
        <f>+[191]Metrados!E151</f>
        <v>309</v>
      </c>
      <c r="M150" s="560">
        <f t="shared" si="73"/>
        <v>154.5</v>
      </c>
      <c r="N150" s="560"/>
      <c r="O150" s="560">
        <f t="shared" si="68"/>
        <v>0</v>
      </c>
      <c r="P150" s="560">
        <f t="shared" si="74"/>
        <v>309</v>
      </c>
      <c r="Q150" s="560">
        <f t="shared" si="75"/>
        <v>154.5</v>
      </c>
      <c r="R150" s="560"/>
      <c r="S150" s="560">
        <f t="shared" si="71"/>
        <v>0</v>
      </c>
      <c r="T150" s="560"/>
      <c r="U150" s="560">
        <f t="shared" si="72"/>
        <v>0</v>
      </c>
      <c r="V150" s="560"/>
      <c r="Y150" s="1146"/>
      <c r="Z150" s="1149">
        <v>0</v>
      </c>
    </row>
    <row r="151" spans="2:26" s="547" customFormat="1" ht="21" customHeight="1" x14ac:dyDescent="0.25">
      <c r="B151" s="559">
        <v>14.14</v>
      </c>
      <c r="C151" s="577" t="e">
        <f>+#REF!+1</f>
        <v>#REF!</v>
      </c>
      <c r="D151" s="501" t="s">
        <v>1017</v>
      </c>
      <c r="E151" s="545"/>
      <c r="F151" s="546"/>
      <c r="G151" s="564" t="s">
        <v>11</v>
      </c>
      <c r="H151" s="633"/>
      <c r="I151" s="633">
        <v>45</v>
      </c>
      <c r="J151" s="633"/>
      <c r="K151" s="633">
        <f t="shared" si="65"/>
        <v>0</v>
      </c>
      <c r="L151" s="560">
        <f>+[191]Metrados!E152</f>
        <v>15</v>
      </c>
      <c r="M151" s="560">
        <f t="shared" si="73"/>
        <v>675</v>
      </c>
      <c r="N151" s="560"/>
      <c r="O151" s="560">
        <f t="shared" si="68"/>
        <v>0</v>
      </c>
      <c r="P151" s="560">
        <f t="shared" si="74"/>
        <v>15</v>
      </c>
      <c r="Q151" s="560">
        <f t="shared" si="75"/>
        <v>675</v>
      </c>
      <c r="R151" s="560"/>
      <c r="S151" s="560">
        <f t="shared" si="71"/>
        <v>0</v>
      </c>
      <c r="T151" s="560"/>
      <c r="U151" s="560">
        <f t="shared" si="72"/>
        <v>0</v>
      </c>
      <c r="V151" s="560"/>
      <c r="Y151" s="1146"/>
      <c r="Z151" s="1149">
        <v>0</v>
      </c>
    </row>
    <row r="152" spans="2:26" s="547" customFormat="1" ht="21" hidden="1" customHeight="1" x14ac:dyDescent="0.25">
      <c r="B152" s="617">
        <v>14.15</v>
      </c>
      <c r="C152" s="773" t="e">
        <f>+C148+1</f>
        <v>#REF!</v>
      </c>
      <c r="D152" s="516" t="s">
        <v>765</v>
      </c>
      <c r="E152" s="545"/>
      <c r="F152" s="546"/>
      <c r="G152" s="766" t="s">
        <v>11</v>
      </c>
      <c r="H152" s="767"/>
      <c r="I152" s="767">
        <v>300</v>
      </c>
      <c r="J152" s="767"/>
      <c r="K152" s="769">
        <f t="shared" si="65"/>
        <v>0</v>
      </c>
      <c r="L152" s="640">
        <f>+[191]Metrados!E153</f>
        <v>0</v>
      </c>
      <c r="M152" s="560">
        <f t="shared" si="73"/>
        <v>0</v>
      </c>
      <c r="N152" s="633"/>
      <c r="O152" s="560">
        <f t="shared" si="68"/>
        <v>0</v>
      </c>
      <c r="P152" s="633">
        <f t="shared" si="74"/>
        <v>0</v>
      </c>
      <c r="Q152" s="560">
        <f t="shared" si="75"/>
        <v>0</v>
      </c>
      <c r="R152" s="633"/>
      <c r="S152" s="560">
        <f t="shared" si="71"/>
        <v>0</v>
      </c>
      <c r="T152" s="633"/>
      <c r="U152" s="560">
        <f t="shared" si="72"/>
        <v>0</v>
      </c>
      <c r="V152" s="633"/>
      <c r="Y152" s="1146"/>
      <c r="Z152" s="1149">
        <v>-10</v>
      </c>
    </row>
    <row r="153" spans="2:26" ht="21" customHeight="1" x14ac:dyDescent="0.25">
      <c r="B153" s="456"/>
      <c r="C153" s="483" t="e">
        <f>+C152+1</f>
        <v>#REF!</v>
      </c>
      <c r="D153" s="537"/>
      <c r="E153" s="538"/>
      <c r="F153" s="544" t="str">
        <f>+"SUB-TOTAL   "&amp;B137&amp;":  "</f>
        <v xml:space="preserve">SUB-TOTAL   14:  </v>
      </c>
      <c r="G153" s="440"/>
      <c r="H153" s="438"/>
      <c r="I153" s="438"/>
      <c r="J153" s="438"/>
      <c r="K153" s="716">
        <f>+SUM(K138:K152)</f>
        <v>57138.979999999996</v>
      </c>
      <c r="L153" s="770"/>
      <c r="M153" s="716">
        <f>+SUM(M138:M152)</f>
        <v>86522.98</v>
      </c>
      <c r="N153" s="438"/>
      <c r="O153" s="716">
        <f>+SUM(O138:O152)</f>
        <v>25878.02</v>
      </c>
      <c r="P153" s="438"/>
      <c r="Q153" s="716">
        <f>+SUM(Q138:Q152)</f>
        <v>5494.3</v>
      </c>
      <c r="R153" s="438"/>
      <c r="S153" s="716">
        <f>+SUM(S138:S152)</f>
        <v>1988.32</v>
      </c>
      <c r="T153" s="438"/>
      <c r="U153" s="716">
        <f>+SUM(U138:U152)</f>
        <v>1824.6</v>
      </c>
      <c r="V153" s="438"/>
      <c r="Y153" s="1146"/>
    </row>
    <row r="154" spans="2:26" s="630" customFormat="1" ht="45.75" customHeight="1" x14ac:dyDescent="0.3">
      <c r="B154" s="623"/>
      <c r="C154" s="624" t="e">
        <f>+#REF!+1</f>
        <v>#REF!</v>
      </c>
      <c r="D154" s="625" t="s">
        <v>27</v>
      </c>
      <c r="E154" s="626"/>
      <c r="F154" s="627"/>
      <c r="G154" s="628"/>
      <c r="H154" s="629"/>
      <c r="I154" s="629"/>
      <c r="J154" s="629"/>
      <c r="K154" s="629">
        <f>+K153+K136+K129+K117+K101+K76+K73+K56+K48+K42+K36+K32+K29+K22+K52</f>
        <v>628325.26</v>
      </c>
      <c r="L154" s="629"/>
      <c r="M154" s="629">
        <f>+M153+M136+M129+M117+M101+M76+M73+M56+M48+M42+M36+M32+M29+M22+M52</f>
        <v>683730.19000000006</v>
      </c>
      <c r="N154" s="629"/>
      <c r="O154" s="629">
        <f>+O153+O136+O129+O117+O101+O76+O73+O56+O48+O42+O36+O32+O29+O22+O52</f>
        <v>91503.469999999987</v>
      </c>
      <c r="P154" s="629"/>
      <c r="Q154" s="629">
        <f>+Q153+Q136+Q129+Q117+Q101+Q76+Q73+Q56+Q48+Q42+Q36+Q32+Q29+Q22+Q52</f>
        <v>85371.61</v>
      </c>
      <c r="R154" s="629"/>
      <c r="S154" s="629">
        <f>+S153+S136+S129+S117+S101+S76+S73+S56+S48+S42+S36+S32+S29+S22+S52</f>
        <v>121470.15999999997</v>
      </c>
      <c r="T154" s="629"/>
      <c r="U154" s="629">
        <f>+U153+U136+U129+U117+U101+U76+U73+U56+U48+U42+U36+U32+U29+U22+U52</f>
        <v>94577.959999999992</v>
      </c>
      <c r="V154" s="629"/>
      <c r="Y154" s="1146"/>
    </row>
    <row r="155" spans="2:26" ht="21" customHeight="1" x14ac:dyDescent="0.25">
      <c r="B155" s="467" t="s">
        <v>88</v>
      </c>
      <c r="C155" s="485" t="e">
        <f t="shared" ref="C155:C164" si="76">+C154+1</f>
        <v>#REF!</v>
      </c>
      <c r="D155" s="468" t="s">
        <v>105</v>
      </c>
      <c r="E155" s="445"/>
      <c r="F155" s="446"/>
      <c r="G155" s="52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Y155" s="1146"/>
    </row>
    <row r="156" spans="2:26" ht="21" customHeight="1" x14ac:dyDescent="0.25">
      <c r="B156" s="439">
        <v>1</v>
      </c>
      <c r="C156" s="480" t="e">
        <f>+#REF!+1</f>
        <v>#REF!</v>
      </c>
      <c r="D156" s="441" t="s">
        <v>28</v>
      </c>
      <c r="E156" s="486"/>
      <c r="F156" s="461"/>
      <c r="G156" s="440"/>
      <c r="H156" s="438"/>
      <c r="I156" s="438"/>
      <c r="J156" s="438"/>
      <c r="K156" s="600"/>
      <c r="L156" s="438"/>
      <c r="M156" s="600"/>
      <c r="N156" s="536"/>
      <c r="O156" s="600"/>
      <c r="P156" s="536"/>
      <c r="Q156" s="600"/>
      <c r="R156" s="536"/>
      <c r="S156" s="600"/>
      <c r="T156" s="536"/>
      <c r="U156" s="600"/>
      <c r="V156" s="536"/>
      <c r="Y156" s="1146"/>
    </row>
    <row r="157" spans="2:26" ht="21" customHeight="1" x14ac:dyDescent="0.25">
      <c r="B157" s="554">
        <v>1.01</v>
      </c>
      <c r="C157" s="584" t="e">
        <f t="shared" si="76"/>
        <v>#REF!</v>
      </c>
      <c r="D157" s="495" t="s">
        <v>614</v>
      </c>
      <c r="E157" s="511"/>
      <c r="F157" s="512"/>
      <c r="G157" s="530" t="s">
        <v>29</v>
      </c>
      <c r="H157" s="553">
        <v>5182.5200000000004</v>
      </c>
      <c r="I157" s="553"/>
      <c r="J157" s="553">
        <v>1</v>
      </c>
      <c r="K157" s="553">
        <f t="shared" ref="K157:K165" si="77">+ROUND($H157*J157,2)</f>
        <v>5182.5200000000004</v>
      </c>
      <c r="L157" s="553">
        <f>+[191]Metrados!E158</f>
        <v>1</v>
      </c>
      <c r="M157" s="553">
        <f t="shared" ref="M157:M164" si="78">+ROUND($H157*L157,2)</f>
        <v>5182.5200000000004</v>
      </c>
      <c r="N157" s="553">
        <f t="shared" ref="N157:N164" si="79">+IF($L157-$J157&gt;=0,$L157-$J157,0)</f>
        <v>0</v>
      </c>
      <c r="O157" s="553">
        <f t="shared" ref="O157:O165" si="80">+ROUND($H157*N157,2)</f>
        <v>0</v>
      </c>
      <c r="P157" s="553"/>
      <c r="Q157" s="553">
        <f t="shared" ref="Q157:Q164" si="81">+ROUND($H157*P157,2)</f>
        <v>0</v>
      </c>
      <c r="R157" s="553">
        <f t="shared" ref="R157:R164" si="82">+IF($L157-$J157&lt;=0,-$L157+$J157,0)</f>
        <v>0</v>
      </c>
      <c r="S157" s="553">
        <f t="shared" ref="S157:S165" si="83">+ROUND($H157*R157,2)</f>
        <v>0</v>
      </c>
      <c r="T157" s="553"/>
      <c r="U157" s="553">
        <f t="shared" ref="U157:U165" si="84">+ROUND($H157*T157,2)</f>
        <v>0</v>
      </c>
      <c r="V157" s="553"/>
      <c r="Y157" s="1146"/>
      <c r="Z157" s="1144">
        <v>0</v>
      </c>
    </row>
    <row r="158" spans="2:26" ht="21" customHeight="1" x14ac:dyDescent="0.25">
      <c r="B158" s="554">
        <v>1.02</v>
      </c>
      <c r="C158" s="576" t="e">
        <f t="shared" si="76"/>
        <v>#REF!</v>
      </c>
      <c r="D158" s="495" t="s">
        <v>613</v>
      </c>
      <c r="E158" s="496"/>
      <c r="F158" s="497"/>
      <c r="G158" s="530" t="s">
        <v>29</v>
      </c>
      <c r="H158" s="553">
        <v>7070.38</v>
      </c>
      <c r="I158" s="553"/>
      <c r="J158" s="553">
        <v>1</v>
      </c>
      <c r="K158" s="553">
        <f t="shared" si="77"/>
        <v>7070.38</v>
      </c>
      <c r="L158" s="553">
        <f>+[191]Metrados!E159</f>
        <v>1</v>
      </c>
      <c r="M158" s="553">
        <f t="shared" si="78"/>
        <v>7070.38</v>
      </c>
      <c r="N158" s="553">
        <f t="shared" si="79"/>
        <v>0</v>
      </c>
      <c r="O158" s="553">
        <f t="shared" si="80"/>
        <v>0</v>
      </c>
      <c r="P158" s="553"/>
      <c r="Q158" s="553">
        <f t="shared" si="81"/>
        <v>0</v>
      </c>
      <c r="R158" s="553">
        <f t="shared" si="82"/>
        <v>0</v>
      </c>
      <c r="S158" s="553">
        <f t="shared" si="83"/>
        <v>0</v>
      </c>
      <c r="T158" s="553"/>
      <c r="U158" s="553">
        <f t="shared" si="84"/>
        <v>0</v>
      </c>
      <c r="V158" s="553"/>
      <c r="Y158" s="1146"/>
      <c r="Z158" s="1144">
        <v>0</v>
      </c>
    </row>
    <row r="159" spans="2:26" ht="21" customHeight="1" x14ac:dyDescent="0.25">
      <c r="B159" s="554">
        <v>1.03</v>
      </c>
      <c r="C159" s="576" t="e">
        <f t="shared" si="76"/>
        <v>#REF!</v>
      </c>
      <c r="D159" s="495" t="s">
        <v>612</v>
      </c>
      <c r="E159" s="496"/>
      <c r="F159" s="497"/>
      <c r="G159" s="530" t="s">
        <v>29</v>
      </c>
      <c r="H159" s="553">
        <v>4953.82</v>
      </c>
      <c r="I159" s="553"/>
      <c r="J159" s="553">
        <v>1</v>
      </c>
      <c r="K159" s="553">
        <f t="shared" si="77"/>
        <v>4953.82</v>
      </c>
      <c r="L159" s="553">
        <f>+[191]Metrados!E160</f>
        <v>1</v>
      </c>
      <c r="M159" s="553">
        <f t="shared" si="78"/>
        <v>4953.82</v>
      </c>
      <c r="N159" s="553">
        <f t="shared" si="79"/>
        <v>0</v>
      </c>
      <c r="O159" s="553">
        <f t="shared" si="80"/>
        <v>0</v>
      </c>
      <c r="P159" s="553"/>
      <c r="Q159" s="553">
        <f t="shared" si="81"/>
        <v>0</v>
      </c>
      <c r="R159" s="553">
        <f t="shared" si="82"/>
        <v>0</v>
      </c>
      <c r="S159" s="553">
        <f t="shared" si="83"/>
        <v>0</v>
      </c>
      <c r="T159" s="553"/>
      <c r="U159" s="553">
        <f t="shared" si="84"/>
        <v>0</v>
      </c>
      <c r="V159" s="553"/>
      <c r="Y159" s="1146"/>
      <c r="Z159" s="1144">
        <v>0</v>
      </c>
    </row>
    <row r="160" spans="2:26" ht="21" customHeight="1" x14ac:dyDescent="0.25">
      <c r="B160" s="554">
        <v>1.04</v>
      </c>
      <c r="C160" s="576" t="e">
        <f t="shared" si="76"/>
        <v>#REF!</v>
      </c>
      <c r="D160" s="495" t="s">
        <v>611</v>
      </c>
      <c r="E160" s="513"/>
      <c r="F160" s="499"/>
      <c r="G160" s="530" t="s">
        <v>29</v>
      </c>
      <c r="H160" s="553">
        <v>5429.3</v>
      </c>
      <c r="I160" s="553"/>
      <c r="J160" s="553">
        <v>1</v>
      </c>
      <c r="K160" s="553">
        <f t="shared" si="77"/>
        <v>5429.3</v>
      </c>
      <c r="L160" s="553">
        <f>+[191]Metrados!E161</f>
        <v>1</v>
      </c>
      <c r="M160" s="553">
        <f t="shared" si="78"/>
        <v>5429.3</v>
      </c>
      <c r="N160" s="553">
        <f t="shared" si="79"/>
        <v>0</v>
      </c>
      <c r="O160" s="553">
        <f t="shared" si="80"/>
        <v>0</v>
      </c>
      <c r="P160" s="557"/>
      <c r="Q160" s="553">
        <f t="shared" si="81"/>
        <v>0</v>
      </c>
      <c r="R160" s="553">
        <f t="shared" si="82"/>
        <v>0</v>
      </c>
      <c r="S160" s="553">
        <f t="shared" si="83"/>
        <v>0</v>
      </c>
      <c r="T160" s="557"/>
      <c r="U160" s="553">
        <f t="shared" si="84"/>
        <v>0</v>
      </c>
      <c r="V160" s="557"/>
      <c r="Y160" s="1146"/>
      <c r="Z160" s="1144">
        <v>0</v>
      </c>
    </row>
    <row r="161" spans="2:26" ht="21" customHeight="1" x14ac:dyDescent="0.25">
      <c r="B161" s="554">
        <v>1.05</v>
      </c>
      <c r="C161" s="584" t="e">
        <f t="shared" si="76"/>
        <v>#REF!</v>
      </c>
      <c r="D161" s="495" t="s">
        <v>610</v>
      </c>
      <c r="E161" s="511"/>
      <c r="F161" s="512"/>
      <c r="G161" s="530" t="s">
        <v>29</v>
      </c>
      <c r="H161" s="553">
        <v>1947.8000000000002</v>
      </c>
      <c r="I161" s="553"/>
      <c r="J161" s="553">
        <v>1</v>
      </c>
      <c r="K161" s="553">
        <f t="shared" si="77"/>
        <v>1947.8</v>
      </c>
      <c r="L161" s="553">
        <f>+[191]Metrados!E162</f>
        <v>1</v>
      </c>
      <c r="M161" s="553">
        <f t="shared" si="78"/>
        <v>1947.8</v>
      </c>
      <c r="N161" s="553">
        <f t="shared" si="79"/>
        <v>0</v>
      </c>
      <c r="O161" s="553">
        <f t="shared" si="80"/>
        <v>0</v>
      </c>
      <c r="P161" s="553"/>
      <c r="Q161" s="553">
        <f t="shared" si="81"/>
        <v>0</v>
      </c>
      <c r="R161" s="553">
        <f t="shared" si="82"/>
        <v>0</v>
      </c>
      <c r="S161" s="553">
        <f t="shared" si="83"/>
        <v>0</v>
      </c>
      <c r="T161" s="553"/>
      <c r="U161" s="553">
        <f t="shared" si="84"/>
        <v>0</v>
      </c>
      <c r="V161" s="553"/>
      <c r="Y161" s="1146"/>
      <c r="Z161" s="1144">
        <v>0</v>
      </c>
    </row>
    <row r="162" spans="2:26" ht="21" customHeight="1" x14ac:dyDescent="0.25">
      <c r="B162" s="554">
        <v>1.06</v>
      </c>
      <c r="C162" s="584" t="e">
        <f t="shared" si="76"/>
        <v>#REF!</v>
      </c>
      <c r="D162" s="495" t="s">
        <v>609</v>
      </c>
      <c r="E162" s="496"/>
      <c r="F162" s="497"/>
      <c r="G162" s="530" t="s">
        <v>11</v>
      </c>
      <c r="H162" s="553">
        <v>1703.1</v>
      </c>
      <c r="I162" s="553"/>
      <c r="J162" s="553">
        <v>1</v>
      </c>
      <c r="K162" s="553">
        <f t="shared" si="77"/>
        <v>1703.1</v>
      </c>
      <c r="L162" s="553">
        <f>+[191]Metrados!E163</f>
        <v>1</v>
      </c>
      <c r="M162" s="553">
        <f t="shared" si="78"/>
        <v>1703.1</v>
      </c>
      <c r="N162" s="553">
        <f t="shared" si="79"/>
        <v>0</v>
      </c>
      <c r="O162" s="553">
        <f t="shared" si="80"/>
        <v>0</v>
      </c>
      <c r="P162" s="553"/>
      <c r="Q162" s="553">
        <f t="shared" si="81"/>
        <v>0</v>
      </c>
      <c r="R162" s="553">
        <f t="shared" si="82"/>
        <v>0</v>
      </c>
      <c r="S162" s="553">
        <f t="shared" si="83"/>
        <v>0</v>
      </c>
      <c r="T162" s="553"/>
      <c r="U162" s="553">
        <f t="shared" si="84"/>
        <v>0</v>
      </c>
      <c r="V162" s="553"/>
      <c r="Y162" s="1146"/>
      <c r="Z162" s="1144">
        <v>0</v>
      </c>
    </row>
    <row r="163" spans="2:26" ht="21" customHeight="1" x14ac:dyDescent="0.25">
      <c r="B163" s="554">
        <v>1.07</v>
      </c>
      <c r="C163" s="584" t="e">
        <f t="shared" si="76"/>
        <v>#REF!</v>
      </c>
      <c r="D163" s="495" t="s">
        <v>608</v>
      </c>
      <c r="E163" s="496"/>
      <c r="F163" s="497"/>
      <c r="G163" s="530" t="s">
        <v>607</v>
      </c>
      <c r="H163" s="553">
        <v>2340.59</v>
      </c>
      <c r="I163" s="553"/>
      <c r="J163" s="553">
        <v>0.68</v>
      </c>
      <c r="K163" s="553">
        <f t="shared" si="77"/>
        <v>1591.6</v>
      </c>
      <c r="L163" s="553">
        <f>+[191]Metrados!E164</f>
        <v>0.69</v>
      </c>
      <c r="M163" s="553">
        <f t="shared" si="78"/>
        <v>1615.01</v>
      </c>
      <c r="N163" s="553">
        <f t="shared" si="79"/>
        <v>9.9999999999998979E-3</v>
      </c>
      <c r="O163" s="553">
        <f t="shared" si="80"/>
        <v>23.41</v>
      </c>
      <c r="P163" s="553"/>
      <c r="Q163" s="553">
        <f t="shared" si="81"/>
        <v>0</v>
      </c>
      <c r="R163" s="553">
        <f t="shared" si="82"/>
        <v>0</v>
      </c>
      <c r="S163" s="553">
        <f t="shared" si="83"/>
        <v>0</v>
      </c>
      <c r="T163" s="553"/>
      <c r="U163" s="553">
        <f t="shared" si="84"/>
        <v>0</v>
      </c>
      <c r="V163" s="553"/>
      <c r="Y163" s="1146"/>
      <c r="Z163" s="1144">
        <v>0</v>
      </c>
    </row>
    <row r="164" spans="2:26" ht="21" customHeight="1" x14ac:dyDescent="0.25">
      <c r="B164" s="554">
        <v>1.08</v>
      </c>
      <c r="C164" s="584" t="e">
        <f t="shared" si="76"/>
        <v>#REF!</v>
      </c>
      <c r="D164" s="495" t="s">
        <v>606</v>
      </c>
      <c r="E164" s="496"/>
      <c r="F164" s="497"/>
      <c r="G164" s="530" t="s">
        <v>12</v>
      </c>
      <c r="H164" s="553">
        <v>585.05999999999995</v>
      </c>
      <c r="I164" s="553"/>
      <c r="J164" s="553">
        <v>22.95</v>
      </c>
      <c r="K164" s="553">
        <f t="shared" si="77"/>
        <v>13427.13</v>
      </c>
      <c r="L164" s="553">
        <f>+[191]Metrados!E165</f>
        <v>21.65</v>
      </c>
      <c r="M164" s="553">
        <f t="shared" si="78"/>
        <v>12666.55</v>
      </c>
      <c r="N164" s="553">
        <f t="shared" si="79"/>
        <v>0</v>
      </c>
      <c r="O164" s="553">
        <f t="shared" si="80"/>
        <v>0</v>
      </c>
      <c r="P164" s="553"/>
      <c r="Q164" s="553">
        <f t="shared" si="81"/>
        <v>0</v>
      </c>
      <c r="R164" s="553">
        <f t="shared" si="82"/>
        <v>1.3000000000000007</v>
      </c>
      <c r="S164" s="553">
        <f t="shared" si="83"/>
        <v>760.58</v>
      </c>
      <c r="T164" s="553"/>
      <c r="U164" s="553">
        <f t="shared" si="84"/>
        <v>0</v>
      </c>
      <c r="V164" s="553"/>
      <c r="Y164" s="1146"/>
      <c r="Z164" s="1144">
        <v>0</v>
      </c>
    </row>
    <row r="165" spans="2:26" s="547" customFormat="1" ht="19.2" hidden="1" customHeight="1" x14ac:dyDescent="0.25">
      <c r="B165" s="559">
        <v>1.0900000000000001</v>
      </c>
      <c r="C165" s="577" t="e">
        <f>+#REF!+1</f>
        <v>#REF!</v>
      </c>
      <c r="D165" s="501" t="s">
        <v>811</v>
      </c>
      <c r="E165" s="545"/>
      <c r="F165" s="546"/>
      <c r="G165" s="531" t="s">
        <v>11</v>
      </c>
      <c r="H165" s="560"/>
      <c r="I165" s="774">
        <v>0</v>
      </c>
      <c r="J165" s="560"/>
      <c r="K165" s="560">
        <f t="shared" si="77"/>
        <v>0</v>
      </c>
      <c r="L165" s="553">
        <f>+[191]Metrados!E166</f>
        <v>21.65</v>
      </c>
      <c r="M165" s="560">
        <f t="shared" ref="M165" si="85">+ROUND($I165*L165,2)</f>
        <v>0</v>
      </c>
      <c r="N165" s="560"/>
      <c r="O165" s="560">
        <f t="shared" si="80"/>
        <v>0</v>
      </c>
      <c r="P165" s="560">
        <f t="shared" ref="P165" si="86">+L165</f>
        <v>21.65</v>
      </c>
      <c r="Q165" s="560">
        <f t="shared" ref="Q165" si="87">+ROUND($I165*P165,2)</f>
        <v>0</v>
      </c>
      <c r="R165" s="560"/>
      <c r="S165" s="560">
        <f t="shared" si="83"/>
        <v>0</v>
      </c>
      <c r="T165" s="560"/>
      <c r="U165" s="560">
        <f t="shared" si="84"/>
        <v>0</v>
      </c>
      <c r="V165" s="560"/>
      <c r="Y165" s="1146"/>
      <c r="Z165" s="1144">
        <v>0</v>
      </c>
    </row>
    <row r="166" spans="2:26" ht="21" customHeight="1" x14ac:dyDescent="0.25">
      <c r="B166" s="598"/>
      <c r="C166" s="575" t="e">
        <f>+#REF!+1</f>
        <v>#REF!</v>
      </c>
      <c r="D166" s="542"/>
      <c r="E166" s="599"/>
      <c r="F166" s="544" t="str">
        <f>+"SUB-TOTAL   "&amp;B156&amp;":  "</f>
        <v xml:space="preserve">SUB-TOTAL   1:  </v>
      </c>
      <c r="G166" s="567"/>
      <c r="H166" s="540"/>
      <c r="I166" s="540"/>
      <c r="J166" s="540"/>
      <c r="K166" s="610">
        <f>+SUM(K157:K165)</f>
        <v>41305.649999999994</v>
      </c>
      <c r="L166" s="540"/>
      <c r="M166" s="610">
        <f>+SUM(M157:M165)</f>
        <v>40568.479999999996</v>
      </c>
      <c r="N166" s="540">
        <f>+IF($L166-$J166&gt;=0,$L166-$J166,0)</f>
        <v>0</v>
      </c>
      <c r="O166" s="610">
        <f>+SUM(O157:O165)</f>
        <v>23.41</v>
      </c>
      <c r="P166" s="540"/>
      <c r="Q166" s="610">
        <f>+SUM(Q157:Q165)</f>
        <v>0</v>
      </c>
      <c r="R166" s="540">
        <f>+IF($L166-$J166&lt;=0,-$L166+$J166,0)</f>
        <v>0</v>
      </c>
      <c r="S166" s="610">
        <f>+SUM(S157:S165)</f>
        <v>760.58</v>
      </c>
      <c r="T166" s="540"/>
      <c r="U166" s="610">
        <f>+SUM(U157:U165)</f>
        <v>0</v>
      </c>
      <c r="V166" s="540"/>
      <c r="Y166" s="1146"/>
      <c r="Z166" s="1144">
        <v>0</v>
      </c>
    </row>
    <row r="167" spans="2:26" s="418" customFormat="1" ht="21" customHeight="1" x14ac:dyDescent="0.25">
      <c r="B167" s="439">
        <v>2</v>
      </c>
      <c r="C167" s="482" t="e">
        <f t="shared" ref="C167:C201" si="88">+C166+1</f>
        <v>#REF!</v>
      </c>
      <c r="D167" s="441" t="s">
        <v>357</v>
      </c>
      <c r="E167" s="487"/>
      <c r="F167" s="469"/>
      <c r="G167" s="440"/>
      <c r="H167" s="438"/>
      <c r="I167" s="438"/>
      <c r="J167" s="438"/>
      <c r="K167" s="470"/>
      <c r="L167" s="756"/>
      <c r="M167" s="470"/>
      <c r="N167" s="470"/>
      <c r="O167" s="470"/>
      <c r="P167" s="470"/>
      <c r="Q167" s="470"/>
      <c r="R167" s="470"/>
      <c r="S167" s="470"/>
      <c r="T167" s="470"/>
      <c r="U167" s="470"/>
      <c r="V167" s="470"/>
      <c r="Y167" s="1146"/>
      <c r="Z167" s="1144">
        <v>0</v>
      </c>
    </row>
    <row r="168" spans="2:26" s="418" customFormat="1" ht="21" customHeight="1" x14ac:dyDescent="0.25">
      <c r="B168" s="554">
        <v>2.0099999999999998</v>
      </c>
      <c r="C168" s="577" t="e">
        <f t="shared" si="88"/>
        <v>#REF!</v>
      </c>
      <c r="D168" s="495" t="s">
        <v>605</v>
      </c>
      <c r="E168" s="517"/>
      <c r="F168" s="518"/>
      <c r="G168" s="530" t="s">
        <v>11</v>
      </c>
      <c r="H168" s="553">
        <v>247.05</v>
      </c>
      <c r="I168" s="553"/>
      <c r="J168" s="553">
        <v>14</v>
      </c>
      <c r="K168" s="553">
        <f t="shared" ref="K168:K209" si="89">+ROUND($H168*J168,2)</f>
        <v>3458.7</v>
      </c>
      <c r="L168" s="553">
        <f>+[191]Metrados!E169</f>
        <v>3</v>
      </c>
      <c r="M168" s="553">
        <f t="shared" ref="M168:M202" si="90">+ROUND($H168*L168,2)</f>
        <v>741.15</v>
      </c>
      <c r="N168" s="553">
        <f t="shared" ref="N168:N202" si="91">+IF($L168-$J168&gt;=0,$L168-$J168,0)</f>
        <v>0</v>
      </c>
      <c r="O168" s="553">
        <f t="shared" ref="O168:O209" si="92">+ROUND($H168*N168,2)</f>
        <v>0</v>
      </c>
      <c r="P168" s="553"/>
      <c r="Q168" s="553">
        <f t="shared" ref="Q168:Q202" si="93">+ROUND($H168*P168,2)</f>
        <v>0</v>
      </c>
      <c r="R168" s="553">
        <f t="shared" ref="R168:R202" si="94">+IF($L168-$J168&lt;=0,-$L168+$J168,0)</f>
        <v>11</v>
      </c>
      <c r="S168" s="553">
        <f t="shared" ref="S168:S209" si="95">+ROUND($H168*R168,2)</f>
        <v>2717.55</v>
      </c>
      <c r="T168" s="553">
        <f>+R168</f>
        <v>11</v>
      </c>
      <c r="U168" s="553">
        <f t="shared" ref="U168:U209" si="96">+ROUND($H168*T168,2)</f>
        <v>2717.55</v>
      </c>
      <c r="V168" s="553" t="s">
        <v>848</v>
      </c>
      <c r="Y168" s="1146"/>
      <c r="Z168" s="1144">
        <v>0</v>
      </c>
    </row>
    <row r="169" spans="2:26" s="418" customFormat="1" ht="21" customHeight="1" x14ac:dyDescent="0.25">
      <c r="B169" s="554">
        <v>2.0199999999999996</v>
      </c>
      <c r="C169" s="577" t="e">
        <f t="shared" si="88"/>
        <v>#REF!</v>
      </c>
      <c r="D169" s="495" t="s">
        <v>604</v>
      </c>
      <c r="E169" s="757"/>
      <c r="F169" s="758"/>
      <c r="G169" s="530" t="s">
        <v>11</v>
      </c>
      <c r="H169" s="713">
        <v>375.26</v>
      </c>
      <c r="I169" s="713"/>
      <c r="J169" s="553">
        <v>1</v>
      </c>
      <c r="K169" s="553">
        <f t="shared" si="89"/>
        <v>375.26</v>
      </c>
      <c r="L169" s="553">
        <f>+[191]Metrados!E170</f>
        <v>0</v>
      </c>
      <c r="M169" s="553">
        <f t="shared" si="90"/>
        <v>0</v>
      </c>
      <c r="N169" s="553">
        <f t="shared" si="91"/>
        <v>0</v>
      </c>
      <c r="O169" s="553">
        <f t="shared" si="92"/>
        <v>0</v>
      </c>
      <c r="P169" s="713"/>
      <c r="Q169" s="553">
        <f t="shared" si="93"/>
        <v>0</v>
      </c>
      <c r="R169" s="553">
        <f t="shared" si="94"/>
        <v>1</v>
      </c>
      <c r="S169" s="553">
        <f t="shared" si="95"/>
        <v>375.26</v>
      </c>
      <c r="T169" s="713">
        <f>+R169</f>
        <v>1</v>
      </c>
      <c r="U169" s="553">
        <f t="shared" si="96"/>
        <v>375.26</v>
      </c>
      <c r="V169" s="553" t="s">
        <v>853</v>
      </c>
      <c r="Y169" s="1146"/>
      <c r="Z169" s="1144">
        <v>0</v>
      </c>
    </row>
    <row r="170" spans="2:26" s="418" customFormat="1" ht="21" customHeight="1" x14ac:dyDescent="0.25">
      <c r="B170" s="554">
        <v>2.0299999999999994</v>
      </c>
      <c r="C170" s="584" t="e">
        <f t="shared" si="88"/>
        <v>#REF!</v>
      </c>
      <c r="D170" s="495" t="s">
        <v>603</v>
      </c>
      <c r="E170" s="521"/>
      <c r="F170" s="522"/>
      <c r="G170" s="530" t="s">
        <v>11</v>
      </c>
      <c r="H170" s="553">
        <v>270.58999999999997</v>
      </c>
      <c r="I170" s="553"/>
      <c r="J170" s="553">
        <v>5</v>
      </c>
      <c r="K170" s="553">
        <f t="shared" si="89"/>
        <v>1352.95</v>
      </c>
      <c r="L170" s="553">
        <f>+[191]Metrados!E171</f>
        <v>6</v>
      </c>
      <c r="M170" s="553">
        <f t="shared" si="90"/>
        <v>1623.54</v>
      </c>
      <c r="N170" s="553">
        <f t="shared" si="91"/>
        <v>1</v>
      </c>
      <c r="O170" s="553">
        <f t="shared" si="92"/>
        <v>270.58999999999997</v>
      </c>
      <c r="P170" s="553"/>
      <c r="Q170" s="553">
        <f t="shared" si="93"/>
        <v>0</v>
      </c>
      <c r="R170" s="553">
        <f t="shared" si="94"/>
        <v>0</v>
      </c>
      <c r="S170" s="553">
        <f t="shared" si="95"/>
        <v>0</v>
      </c>
      <c r="T170" s="553"/>
      <c r="U170" s="553">
        <f t="shared" si="96"/>
        <v>0</v>
      </c>
      <c r="V170" s="553"/>
      <c r="Y170" s="1146"/>
      <c r="Z170" s="1144">
        <v>0</v>
      </c>
    </row>
    <row r="171" spans="2:26" s="418" customFormat="1" ht="21" customHeight="1" x14ac:dyDescent="0.25">
      <c r="B171" s="554">
        <v>2.0399999999999991</v>
      </c>
      <c r="C171" s="584" t="e">
        <f t="shared" si="88"/>
        <v>#REF!</v>
      </c>
      <c r="D171" s="495" t="s">
        <v>602</v>
      </c>
      <c r="E171" s="521"/>
      <c r="F171" s="522"/>
      <c r="G171" s="530" t="s">
        <v>11</v>
      </c>
      <c r="H171" s="553">
        <v>416.46</v>
      </c>
      <c r="I171" s="553"/>
      <c r="J171" s="553">
        <v>1</v>
      </c>
      <c r="K171" s="553">
        <f t="shared" si="89"/>
        <v>416.46</v>
      </c>
      <c r="L171" s="553">
        <f>+[191]Metrados!E172</f>
        <v>0</v>
      </c>
      <c r="M171" s="553">
        <f t="shared" si="90"/>
        <v>0</v>
      </c>
      <c r="N171" s="553">
        <f t="shared" si="91"/>
        <v>0</v>
      </c>
      <c r="O171" s="553">
        <f t="shared" si="92"/>
        <v>0</v>
      </c>
      <c r="P171" s="553"/>
      <c r="Q171" s="553">
        <f t="shared" si="93"/>
        <v>0</v>
      </c>
      <c r="R171" s="553">
        <f t="shared" si="94"/>
        <v>1</v>
      </c>
      <c r="S171" s="553">
        <f t="shared" si="95"/>
        <v>416.46</v>
      </c>
      <c r="T171" s="553">
        <f>+N170</f>
        <v>1</v>
      </c>
      <c r="U171" s="553">
        <f t="shared" si="96"/>
        <v>416.46</v>
      </c>
      <c r="V171" s="553" t="s">
        <v>844</v>
      </c>
      <c r="Y171" s="1146"/>
      <c r="Z171" s="1144">
        <v>0</v>
      </c>
    </row>
    <row r="172" spans="2:26" s="418" customFormat="1" ht="21" customHeight="1" x14ac:dyDescent="0.25">
      <c r="B172" s="554">
        <v>2.0499999999999989</v>
      </c>
      <c r="C172" s="584" t="e">
        <f t="shared" si="88"/>
        <v>#REF!</v>
      </c>
      <c r="D172" s="495" t="s">
        <v>601</v>
      </c>
      <c r="E172" s="493"/>
      <c r="F172" s="494"/>
      <c r="G172" s="530" t="s">
        <v>11</v>
      </c>
      <c r="H172" s="553">
        <v>301.45999999999998</v>
      </c>
      <c r="I172" s="553"/>
      <c r="J172" s="553">
        <v>118</v>
      </c>
      <c r="K172" s="553">
        <f t="shared" si="89"/>
        <v>35572.28</v>
      </c>
      <c r="L172" s="553">
        <f>+[191]Metrados!E173</f>
        <v>96</v>
      </c>
      <c r="M172" s="553">
        <f t="shared" si="90"/>
        <v>28940.16</v>
      </c>
      <c r="N172" s="553">
        <f t="shared" si="91"/>
        <v>0</v>
      </c>
      <c r="O172" s="553">
        <f t="shared" si="92"/>
        <v>0</v>
      </c>
      <c r="P172" s="553"/>
      <c r="Q172" s="553">
        <f t="shared" si="93"/>
        <v>0</v>
      </c>
      <c r="R172" s="553">
        <f t="shared" si="94"/>
        <v>22</v>
      </c>
      <c r="S172" s="553">
        <f t="shared" si="95"/>
        <v>6632.12</v>
      </c>
      <c r="T172" s="553">
        <f>+R172</f>
        <v>22</v>
      </c>
      <c r="U172" s="553">
        <f t="shared" si="96"/>
        <v>6632.12</v>
      </c>
      <c r="V172" s="553" t="s">
        <v>849</v>
      </c>
      <c r="Y172" s="1146"/>
      <c r="Z172" s="1144">
        <v>0</v>
      </c>
    </row>
    <row r="173" spans="2:26" s="418" customFormat="1" ht="21" customHeight="1" x14ac:dyDescent="0.25">
      <c r="B173" s="554">
        <v>2.0599999999999987</v>
      </c>
      <c r="C173" s="584" t="e">
        <f t="shared" si="88"/>
        <v>#REF!</v>
      </c>
      <c r="D173" s="495" t="s">
        <v>600</v>
      </c>
      <c r="E173" s="523"/>
      <c r="F173" s="524"/>
      <c r="G173" s="530" t="s">
        <v>11</v>
      </c>
      <c r="H173" s="553">
        <v>338.24</v>
      </c>
      <c r="I173" s="553"/>
      <c r="J173" s="553">
        <v>32</v>
      </c>
      <c r="K173" s="553">
        <f t="shared" si="89"/>
        <v>10823.68</v>
      </c>
      <c r="L173" s="553">
        <f>+[191]Metrados!E174</f>
        <v>60</v>
      </c>
      <c r="M173" s="553">
        <f t="shared" si="90"/>
        <v>20294.400000000001</v>
      </c>
      <c r="N173" s="553">
        <f t="shared" si="91"/>
        <v>28</v>
      </c>
      <c r="O173" s="553">
        <f t="shared" si="92"/>
        <v>9470.7199999999993</v>
      </c>
      <c r="P173" s="553"/>
      <c r="Q173" s="553">
        <f t="shared" si="93"/>
        <v>0</v>
      </c>
      <c r="R173" s="553">
        <f t="shared" si="94"/>
        <v>0</v>
      </c>
      <c r="S173" s="553">
        <f t="shared" si="95"/>
        <v>0</v>
      </c>
      <c r="T173" s="553"/>
      <c r="U173" s="553">
        <f t="shared" si="96"/>
        <v>0</v>
      </c>
      <c r="V173" s="553"/>
      <c r="Y173" s="1146"/>
      <c r="Z173" s="1144">
        <v>0</v>
      </c>
    </row>
    <row r="174" spans="2:26" s="418" customFormat="1" ht="21" customHeight="1" x14ac:dyDescent="0.25">
      <c r="B174" s="554">
        <v>2.0699999999999985</v>
      </c>
      <c r="C174" s="584" t="e">
        <f t="shared" si="88"/>
        <v>#REF!</v>
      </c>
      <c r="D174" s="495" t="s">
        <v>599</v>
      </c>
      <c r="E174" s="523"/>
      <c r="F174" s="524"/>
      <c r="G174" s="530" t="s">
        <v>11</v>
      </c>
      <c r="H174" s="553">
        <v>176.17</v>
      </c>
      <c r="I174" s="553"/>
      <c r="J174" s="553">
        <v>2</v>
      </c>
      <c r="K174" s="553">
        <f t="shared" si="89"/>
        <v>352.34</v>
      </c>
      <c r="L174" s="553">
        <f>+[191]Metrados!E175</f>
        <v>0</v>
      </c>
      <c r="M174" s="553">
        <f t="shared" si="90"/>
        <v>0</v>
      </c>
      <c r="N174" s="553">
        <f t="shared" si="91"/>
        <v>0</v>
      </c>
      <c r="O174" s="553">
        <f t="shared" si="92"/>
        <v>0</v>
      </c>
      <c r="P174" s="553"/>
      <c r="Q174" s="553">
        <f t="shared" si="93"/>
        <v>0</v>
      </c>
      <c r="R174" s="553">
        <f t="shared" si="94"/>
        <v>2</v>
      </c>
      <c r="S174" s="553">
        <f t="shared" si="95"/>
        <v>352.34</v>
      </c>
      <c r="T174" s="553">
        <f>+R174</f>
        <v>2</v>
      </c>
      <c r="U174" s="553">
        <f t="shared" si="96"/>
        <v>352.34</v>
      </c>
      <c r="V174" s="553" t="s">
        <v>848</v>
      </c>
      <c r="Y174" s="1146"/>
      <c r="Z174" s="1144">
        <v>0</v>
      </c>
    </row>
    <row r="175" spans="2:26" s="418" customFormat="1" ht="21" customHeight="1" x14ac:dyDescent="0.25">
      <c r="B175" s="554">
        <v>2.0799999999999983</v>
      </c>
      <c r="C175" s="577" t="e">
        <f t="shared" si="88"/>
        <v>#REF!</v>
      </c>
      <c r="D175" s="495" t="s">
        <v>598</v>
      </c>
      <c r="E175" s="517"/>
      <c r="F175" s="518"/>
      <c r="G175" s="530" t="s">
        <v>11</v>
      </c>
      <c r="H175" s="553">
        <v>244.71</v>
      </c>
      <c r="I175" s="553"/>
      <c r="J175" s="553">
        <v>7</v>
      </c>
      <c r="K175" s="553">
        <f t="shared" si="89"/>
        <v>1712.97</v>
      </c>
      <c r="L175" s="553">
        <f>+[191]Metrados!E176</f>
        <v>0</v>
      </c>
      <c r="M175" s="553">
        <f t="shared" si="90"/>
        <v>0</v>
      </c>
      <c r="N175" s="553">
        <f t="shared" si="91"/>
        <v>0</v>
      </c>
      <c r="O175" s="553">
        <f t="shared" si="92"/>
        <v>0</v>
      </c>
      <c r="P175" s="553"/>
      <c r="Q175" s="553">
        <f t="shared" si="93"/>
        <v>0</v>
      </c>
      <c r="R175" s="553">
        <f t="shared" si="94"/>
        <v>7</v>
      </c>
      <c r="S175" s="553">
        <f t="shared" si="95"/>
        <v>1712.97</v>
      </c>
      <c r="T175" s="553">
        <f>+R175</f>
        <v>7</v>
      </c>
      <c r="U175" s="553">
        <f t="shared" si="96"/>
        <v>1712.97</v>
      </c>
      <c r="V175" s="553" t="s">
        <v>848</v>
      </c>
      <c r="Y175" s="1146"/>
      <c r="Z175" s="1144">
        <v>0</v>
      </c>
    </row>
    <row r="176" spans="2:26" s="418" customFormat="1" ht="21" customHeight="1" x14ac:dyDescent="0.25">
      <c r="B176" s="554">
        <v>2.0899999999999981</v>
      </c>
      <c r="C176" s="577" t="e">
        <f t="shared" si="88"/>
        <v>#REF!</v>
      </c>
      <c r="D176" s="495" t="s">
        <v>597</v>
      </c>
      <c r="E176" s="757"/>
      <c r="F176" s="758"/>
      <c r="G176" s="530" t="s">
        <v>11</v>
      </c>
      <c r="H176" s="713">
        <v>5.43</v>
      </c>
      <c r="I176" s="713"/>
      <c r="J176" s="553">
        <v>10</v>
      </c>
      <c r="K176" s="553">
        <f t="shared" si="89"/>
        <v>54.3</v>
      </c>
      <c r="L176" s="553">
        <f>+[191]Metrados!E177</f>
        <v>5</v>
      </c>
      <c r="M176" s="553">
        <f t="shared" si="90"/>
        <v>27.15</v>
      </c>
      <c r="N176" s="553">
        <f t="shared" si="91"/>
        <v>0</v>
      </c>
      <c r="O176" s="553">
        <f t="shared" si="92"/>
        <v>0</v>
      </c>
      <c r="P176" s="713"/>
      <c r="Q176" s="553">
        <f t="shared" si="93"/>
        <v>0</v>
      </c>
      <c r="R176" s="553">
        <f t="shared" si="94"/>
        <v>5</v>
      </c>
      <c r="S176" s="553">
        <f t="shared" si="95"/>
        <v>27.15</v>
      </c>
      <c r="T176" s="713">
        <f>+N177</f>
        <v>1</v>
      </c>
      <c r="U176" s="553">
        <f t="shared" si="96"/>
        <v>5.43</v>
      </c>
      <c r="V176" s="553" t="s">
        <v>854</v>
      </c>
      <c r="Y176" s="1146"/>
      <c r="Z176" s="1144">
        <v>0</v>
      </c>
    </row>
    <row r="177" spans="2:26" s="418" customFormat="1" ht="21" customHeight="1" x14ac:dyDescent="0.25">
      <c r="B177" s="554">
        <v>2.0999999999999979</v>
      </c>
      <c r="C177" s="584" t="e">
        <f t="shared" si="88"/>
        <v>#REF!</v>
      </c>
      <c r="D177" s="495" t="s">
        <v>596</v>
      </c>
      <c r="E177" s="521"/>
      <c r="F177" s="522"/>
      <c r="G177" s="530" t="s">
        <v>11</v>
      </c>
      <c r="H177" s="553">
        <v>7.06</v>
      </c>
      <c r="I177" s="553"/>
      <c r="J177" s="553">
        <v>1</v>
      </c>
      <c r="K177" s="553">
        <f t="shared" si="89"/>
        <v>7.06</v>
      </c>
      <c r="L177" s="553">
        <f>+[191]Metrados!E178</f>
        <v>2</v>
      </c>
      <c r="M177" s="553">
        <f t="shared" si="90"/>
        <v>14.12</v>
      </c>
      <c r="N177" s="553">
        <f t="shared" si="91"/>
        <v>1</v>
      </c>
      <c r="O177" s="553">
        <f t="shared" si="92"/>
        <v>7.06</v>
      </c>
      <c r="P177" s="553"/>
      <c r="Q177" s="553">
        <f t="shared" si="93"/>
        <v>0</v>
      </c>
      <c r="R177" s="553">
        <f t="shared" si="94"/>
        <v>0</v>
      </c>
      <c r="S177" s="553">
        <f t="shared" si="95"/>
        <v>0</v>
      </c>
      <c r="T177" s="553"/>
      <c r="U177" s="553">
        <f t="shared" si="96"/>
        <v>0</v>
      </c>
      <c r="V177" s="553"/>
      <c r="Y177" s="1146"/>
      <c r="Z177" s="1144">
        <v>0</v>
      </c>
    </row>
    <row r="178" spans="2:26" s="418" customFormat="1" ht="21" customHeight="1" x14ac:dyDescent="0.25">
      <c r="B178" s="554">
        <v>2.1099999999999977</v>
      </c>
      <c r="C178" s="584" t="e">
        <f t="shared" si="88"/>
        <v>#REF!</v>
      </c>
      <c r="D178" s="495" t="s">
        <v>595</v>
      </c>
      <c r="E178" s="521"/>
      <c r="F178" s="522"/>
      <c r="G178" s="530" t="s">
        <v>11</v>
      </c>
      <c r="H178" s="553">
        <v>13.3</v>
      </c>
      <c r="I178" s="553"/>
      <c r="J178" s="553">
        <v>396</v>
      </c>
      <c r="K178" s="553">
        <f t="shared" si="89"/>
        <v>5266.8</v>
      </c>
      <c r="L178" s="553">
        <f>+[191]Metrados!E179</f>
        <v>84</v>
      </c>
      <c r="M178" s="553">
        <f t="shared" si="90"/>
        <v>1117.2</v>
      </c>
      <c r="N178" s="553">
        <f t="shared" si="91"/>
        <v>0</v>
      </c>
      <c r="O178" s="553">
        <f t="shared" si="92"/>
        <v>0</v>
      </c>
      <c r="P178" s="553"/>
      <c r="Q178" s="553">
        <f t="shared" si="93"/>
        <v>0</v>
      </c>
      <c r="R178" s="553">
        <f t="shared" si="94"/>
        <v>312</v>
      </c>
      <c r="S178" s="553">
        <f t="shared" si="95"/>
        <v>4149.6000000000004</v>
      </c>
      <c r="T178" s="553">
        <v>123</v>
      </c>
      <c r="U178" s="553">
        <f t="shared" si="96"/>
        <v>1635.9</v>
      </c>
      <c r="V178" s="765" t="s">
        <v>855</v>
      </c>
      <c r="Y178" s="1146"/>
      <c r="Z178" s="1144">
        <v>0</v>
      </c>
    </row>
    <row r="179" spans="2:26" s="418" customFormat="1" ht="21" customHeight="1" x14ac:dyDescent="0.25">
      <c r="B179" s="554">
        <v>2.1199999999999974</v>
      </c>
      <c r="C179" s="584" t="e">
        <f t="shared" si="88"/>
        <v>#REF!</v>
      </c>
      <c r="D179" s="495" t="s">
        <v>594</v>
      </c>
      <c r="E179" s="493"/>
      <c r="F179" s="494"/>
      <c r="G179" s="530" t="s">
        <v>11</v>
      </c>
      <c r="H179" s="553">
        <v>13.1</v>
      </c>
      <c r="I179" s="553"/>
      <c r="J179" s="553">
        <v>3</v>
      </c>
      <c r="K179" s="553">
        <f t="shared" si="89"/>
        <v>39.299999999999997</v>
      </c>
      <c r="L179" s="553">
        <f>+[191]Metrados!E180</f>
        <v>14</v>
      </c>
      <c r="M179" s="553">
        <f t="shared" si="90"/>
        <v>183.4</v>
      </c>
      <c r="N179" s="553">
        <f t="shared" si="91"/>
        <v>11</v>
      </c>
      <c r="O179" s="553">
        <f t="shared" si="92"/>
        <v>144.1</v>
      </c>
      <c r="P179" s="553"/>
      <c r="Q179" s="553">
        <f t="shared" si="93"/>
        <v>0</v>
      </c>
      <c r="R179" s="553">
        <f t="shared" si="94"/>
        <v>0</v>
      </c>
      <c r="S179" s="553">
        <f t="shared" si="95"/>
        <v>0</v>
      </c>
      <c r="T179" s="553"/>
      <c r="U179" s="553">
        <f t="shared" si="96"/>
        <v>0</v>
      </c>
      <c r="V179" s="553"/>
      <c r="Y179" s="1146"/>
      <c r="Z179" s="1144">
        <v>13</v>
      </c>
    </row>
    <row r="180" spans="2:26" s="418" customFormat="1" ht="21" customHeight="1" x14ac:dyDescent="0.25">
      <c r="B180" s="554">
        <v>2.1299999999999972</v>
      </c>
      <c r="C180" s="584" t="e">
        <f t="shared" si="88"/>
        <v>#REF!</v>
      </c>
      <c r="D180" s="495" t="s">
        <v>593</v>
      </c>
      <c r="E180" s="523"/>
      <c r="F180" s="524"/>
      <c r="G180" s="530" t="s">
        <v>11</v>
      </c>
      <c r="H180" s="553">
        <v>10.62</v>
      </c>
      <c r="I180" s="553"/>
      <c r="J180" s="553">
        <v>23</v>
      </c>
      <c r="K180" s="553">
        <f t="shared" si="89"/>
        <v>244.26</v>
      </c>
      <c r="L180" s="553">
        <f>+[191]Metrados!E181</f>
        <v>9</v>
      </c>
      <c r="M180" s="553">
        <f t="shared" si="90"/>
        <v>95.58</v>
      </c>
      <c r="N180" s="553">
        <f t="shared" si="91"/>
        <v>0</v>
      </c>
      <c r="O180" s="553">
        <f t="shared" si="92"/>
        <v>0</v>
      </c>
      <c r="P180" s="553"/>
      <c r="Q180" s="553">
        <f t="shared" si="93"/>
        <v>0</v>
      </c>
      <c r="R180" s="553">
        <f t="shared" si="94"/>
        <v>14</v>
      </c>
      <c r="S180" s="553">
        <f t="shared" si="95"/>
        <v>148.68</v>
      </c>
      <c r="T180" s="553">
        <f>+N181</f>
        <v>9</v>
      </c>
      <c r="U180" s="553">
        <f t="shared" si="96"/>
        <v>95.58</v>
      </c>
      <c r="V180" s="553" t="s">
        <v>856</v>
      </c>
      <c r="Y180" s="1146"/>
      <c r="Z180" s="1144">
        <v>0</v>
      </c>
    </row>
    <row r="181" spans="2:26" s="418" customFormat="1" ht="21" customHeight="1" x14ac:dyDescent="0.25">
      <c r="B181" s="554">
        <v>2.139999999999997</v>
      </c>
      <c r="C181" s="584" t="e">
        <f t="shared" si="88"/>
        <v>#REF!</v>
      </c>
      <c r="D181" s="495" t="s">
        <v>592</v>
      </c>
      <c r="E181" s="523"/>
      <c r="F181" s="524"/>
      <c r="G181" s="530" t="s">
        <v>11</v>
      </c>
      <c r="H181" s="553">
        <v>13.11</v>
      </c>
      <c r="I181" s="553"/>
      <c r="J181" s="553">
        <v>6</v>
      </c>
      <c r="K181" s="553">
        <f t="shared" si="89"/>
        <v>78.66</v>
      </c>
      <c r="L181" s="553">
        <f>+[191]Metrados!E182</f>
        <v>15</v>
      </c>
      <c r="M181" s="553">
        <f t="shared" si="90"/>
        <v>196.65</v>
      </c>
      <c r="N181" s="553">
        <f t="shared" si="91"/>
        <v>9</v>
      </c>
      <c r="O181" s="553">
        <f t="shared" si="92"/>
        <v>117.99</v>
      </c>
      <c r="P181" s="553"/>
      <c r="Q181" s="553">
        <f t="shared" si="93"/>
        <v>0</v>
      </c>
      <c r="R181" s="553">
        <f t="shared" si="94"/>
        <v>0</v>
      </c>
      <c r="S181" s="553">
        <f t="shared" si="95"/>
        <v>0</v>
      </c>
      <c r="T181" s="553"/>
      <c r="U181" s="553">
        <f t="shared" si="96"/>
        <v>0</v>
      </c>
      <c r="V181" s="553"/>
      <c r="Y181" s="1146"/>
      <c r="Z181" s="1144">
        <v>0</v>
      </c>
    </row>
    <row r="182" spans="2:26" s="418" customFormat="1" ht="21" customHeight="1" x14ac:dyDescent="0.25">
      <c r="B182" s="554">
        <v>2.1499999999999968</v>
      </c>
      <c r="C182" s="577" t="e">
        <f t="shared" si="88"/>
        <v>#REF!</v>
      </c>
      <c r="D182" s="495" t="s">
        <v>591</v>
      </c>
      <c r="E182" s="757"/>
      <c r="F182" s="758"/>
      <c r="G182" s="530" t="s">
        <v>11</v>
      </c>
      <c r="H182" s="713">
        <v>13.1</v>
      </c>
      <c r="I182" s="713"/>
      <c r="J182" s="553">
        <v>369</v>
      </c>
      <c r="K182" s="553">
        <f t="shared" si="89"/>
        <v>4833.8999999999996</v>
      </c>
      <c r="L182" s="553">
        <f>+[191]Metrados!E183</f>
        <v>307</v>
      </c>
      <c r="M182" s="553">
        <f t="shared" si="90"/>
        <v>4021.7</v>
      </c>
      <c r="N182" s="553">
        <f t="shared" si="91"/>
        <v>0</v>
      </c>
      <c r="O182" s="553">
        <f t="shared" si="92"/>
        <v>0</v>
      </c>
      <c r="P182" s="713"/>
      <c r="Q182" s="553">
        <f t="shared" si="93"/>
        <v>0</v>
      </c>
      <c r="R182" s="553">
        <f t="shared" si="94"/>
        <v>62</v>
      </c>
      <c r="S182" s="553">
        <f t="shared" si="95"/>
        <v>812.2</v>
      </c>
      <c r="T182" s="713">
        <f>+N183+N184</f>
        <v>62</v>
      </c>
      <c r="U182" s="553">
        <f t="shared" si="96"/>
        <v>812.2</v>
      </c>
      <c r="V182" s="553" t="s">
        <v>857</v>
      </c>
      <c r="Y182" s="1146"/>
      <c r="Z182" s="1144">
        <v>0</v>
      </c>
    </row>
    <row r="183" spans="2:26" s="418" customFormat="1" ht="21" customHeight="1" x14ac:dyDescent="0.25">
      <c r="B183" s="554">
        <v>2.1599999999999966</v>
      </c>
      <c r="C183" s="584" t="e">
        <f t="shared" si="88"/>
        <v>#REF!</v>
      </c>
      <c r="D183" s="495" t="s">
        <v>590</v>
      </c>
      <c r="E183" s="521"/>
      <c r="F183" s="522"/>
      <c r="G183" s="530" t="s">
        <v>11</v>
      </c>
      <c r="H183" s="553">
        <v>5.43</v>
      </c>
      <c r="I183" s="553"/>
      <c r="J183" s="553">
        <v>208</v>
      </c>
      <c r="K183" s="553">
        <f t="shared" si="89"/>
        <v>1129.44</v>
      </c>
      <c r="L183" s="553">
        <f>+[191]Metrados!E184</f>
        <v>266</v>
      </c>
      <c r="M183" s="553">
        <f t="shared" si="90"/>
        <v>1444.38</v>
      </c>
      <c r="N183" s="553">
        <f t="shared" si="91"/>
        <v>58</v>
      </c>
      <c r="O183" s="553">
        <f t="shared" si="92"/>
        <v>314.94</v>
      </c>
      <c r="P183" s="553"/>
      <c r="Q183" s="553">
        <f t="shared" si="93"/>
        <v>0</v>
      </c>
      <c r="R183" s="553">
        <f t="shared" si="94"/>
        <v>0</v>
      </c>
      <c r="S183" s="553">
        <f t="shared" si="95"/>
        <v>0</v>
      </c>
      <c r="T183" s="553"/>
      <c r="U183" s="553">
        <f t="shared" si="96"/>
        <v>0</v>
      </c>
      <c r="V183" s="553"/>
      <c r="Y183" s="1146"/>
      <c r="Z183" s="1144">
        <v>0</v>
      </c>
    </row>
    <row r="184" spans="2:26" s="418" customFormat="1" ht="21" customHeight="1" x14ac:dyDescent="0.25">
      <c r="B184" s="554">
        <v>2.1699999999999964</v>
      </c>
      <c r="C184" s="584" t="e">
        <f t="shared" si="88"/>
        <v>#REF!</v>
      </c>
      <c r="D184" s="495" t="s">
        <v>589</v>
      </c>
      <c r="E184" s="521"/>
      <c r="F184" s="522"/>
      <c r="G184" s="530" t="s">
        <v>11</v>
      </c>
      <c r="H184" s="553">
        <v>6.57</v>
      </c>
      <c r="I184" s="553"/>
      <c r="J184" s="553">
        <v>13</v>
      </c>
      <c r="K184" s="553">
        <f t="shared" si="89"/>
        <v>85.41</v>
      </c>
      <c r="L184" s="553">
        <f>+[191]Metrados!E185</f>
        <v>17</v>
      </c>
      <c r="M184" s="553">
        <f t="shared" si="90"/>
        <v>111.69</v>
      </c>
      <c r="N184" s="553">
        <f t="shared" si="91"/>
        <v>4</v>
      </c>
      <c r="O184" s="553">
        <f t="shared" si="92"/>
        <v>26.28</v>
      </c>
      <c r="P184" s="553"/>
      <c r="Q184" s="553">
        <f t="shared" si="93"/>
        <v>0</v>
      </c>
      <c r="R184" s="553">
        <f t="shared" si="94"/>
        <v>0</v>
      </c>
      <c r="S184" s="553">
        <f t="shared" si="95"/>
        <v>0</v>
      </c>
      <c r="T184" s="553"/>
      <c r="U184" s="553">
        <f t="shared" si="96"/>
        <v>0</v>
      </c>
      <c r="V184" s="553"/>
      <c r="Y184" s="1146"/>
      <c r="Z184" s="1144">
        <v>0</v>
      </c>
    </row>
    <row r="185" spans="2:26" s="418" customFormat="1" ht="21" customHeight="1" x14ac:dyDescent="0.25">
      <c r="B185" s="554">
        <v>2.1799999999999962</v>
      </c>
      <c r="C185" s="584" t="e">
        <f t="shared" si="88"/>
        <v>#REF!</v>
      </c>
      <c r="D185" s="495" t="s">
        <v>588</v>
      </c>
      <c r="E185" s="493"/>
      <c r="F185" s="494"/>
      <c r="G185" s="530" t="s">
        <v>12</v>
      </c>
      <c r="H185" s="553">
        <v>64.56</v>
      </c>
      <c r="I185" s="553"/>
      <c r="J185" s="553">
        <v>52.01</v>
      </c>
      <c r="K185" s="553">
        <f t="shared" si="89"/>
        <v>3357.77</v>
      </c>
      <c r="L185" s="553">
        <f>+[191]Metrados!E186</f>
        <v>50.11</v>
      </c>
      <c r="M185" s="553">
        <f t="shared" si="90"/>
        <v>3235.1</v>
      </c>
      <c r="N185" s="553">
        <f t="shared" si="91"/>
        <v>0</v>
      </c>
      <c r="O185" s="553">
        <f t="shared" si="92"/>
        <v>0</v>
      </c>
      <c r="P185" s="553"/>
      <c r="Q185" s="553">
        <f t="shared" si="93"/>
        <v>0</v>
      </c>
      <c r="R185" s="553">
        <f t="shared" si="94"/>
        <v>1.8999999999999986</v>
      </c>
      <c r="S185" s="553">
        <f t="shared" si="95"/>
        <v>122.66</v>
      </c>
      <c r="T185" s="553"/>
      <c r="U185" s="553">
        <f t="shared" si="96"/>
        <v>0</v>
      </c>
      <c r="V185" s="553"/>
      <c r="Y185" s="1146"/>
      <c r="Z185" s="1144">
        <v>0</v>
      </c>
    </row>
    <row r="186" spans="2:26" s="418" customFormat="1" ht="21" customHeight="1" x14ac:dyDescent="0.25">
      <c r="B186" s="554">
        <v>2.1899999999999959</v>
      </c>
      <c r="C186" s="584" t="e">
        <f t="shared" si="88"/>
        <v>#REF!</v>
      </c>
      <c r="D186" s="495" t="s">
        <v>587</v>
      </c>
      <c r="E186" s="523"/>
      <c r="F186" s="524"/>
      <c r="G186" s="530" t="s">
        <v>12</v>
      </c>
      <c r="H186" s="553">
        <v>70.48</v>
      </c>
      <c r="I186" s="553"/>
      <c r="J186" s="553">
        <v>1.39</v>
      </c>
      <c r="K186" s="553">
        <f t="shared" si="89"/>
        <v>97.97</v>
      </c>
      <c r="L186" s="553">
        <f>+[191]Metrados!E187</f>
        <v>1.07</v>
      </c>
      <c r="M186" s="553">
        <f t="shared" si="90"/>
        <v>75.41</v>
      </c>
      <c r="N186" s="553">
        <f t="shared" si="91"/>
        <v>0</v>
      </c>
      <c r="O186" s="553">
        <f t="shared" si="92"/>
        <v>0</v>
      </c>
      <c r="P186" s="553"/>
      <c r="Q186" s="553">
        <f t="shared" si="93"/>
        <v>0</v>
      </c>
      <c r="R186" s="553">
        <f t="shared" si="94"/>
        <v>0.31999999999999984</v>
      </c>
      <c r="S186" s="553">
        <f t="shared" si="95"/>
        <v>22.55</v>
      </c>
      <c r="T186" s="553"/>
      <c r="U186" s="553">
        <f t="shared" si="96"/>
        <v>0</v>
      </c>
      <c r="V186" s="553"/>
      <c r="Y186" s="1146"/>
      <c r="Z186" s="1144">
        <v>0</v>
      </c>
    </row>
    <row r="187" spans="2:26" s="418" customFormat="1" ht="21" customHeight="1" x14ac:dyDescent="0.25">
      <c r="B187" s="554">
        <v>2.1999999999999957</v>
      </c>
      <c r="C187" s="584" t="e">
        <f t="shared" si="88"/>
        <v>#REF!</v>
      </c>
      <c r="D187" s="495" t="s">
        <v>586</v>
      </c>
      <c r="E187" s="523"/>
      <c r="F187" s="524"/>
      <c r="G187" s="530" t="s">
        <v>12</v>
      </c>
      <c r="H187" s="553">
        <v>131.25</v>
      </c>
      <c r="I187" s="553"/>
      <c r="J187" s="553">
        <v>1.1599999999999999</v>
      </c>
      <c r="K187" s="553">
        <f t="shared" si="89"/>
        <v>152.25</v>
      </c>
      <c r="L187" s="553">
        <f>+[191]Metrados!E188</f>
        <v>1.17</v>
      </c>
      <c r="M187" s="553">
        <f t="shared" si="90"/>
        <v>153.56</v>
      </c>
      <c r="N187" s="553">
        <f t="shared" si="91"/>
        <v>1.0000000000000009E-2</v>
      </c>
      <c r="O187" s="553">
        <f t="shared" si="92"/>
        <v>1.31</v>
      </c>
      <c r="P187" s="553"/>
      <c r="Q187" s="553">
        <f t="shared" si="93"/>
        <v>0</v>
      </c>
      <c r="R187" s="553">
        <f t="shared" si="94"/>
        <v>0</v>
      </c>
      <c r="S187" s="553">
        <f t="shared" si="95"/>
        <v>0</v>
      </c>
      <c r="T187" s="553"/>
      <c r="U187" s="553">
        <f t="shared" si="96"/>
        <v>0</v>
      </c>
      <c r="V187" s="553"/>
      <c r="Y187" s="1146"/>
      <c r="Z187" s="1144">
        <v>0</v>
      </c>
    </row>
    <row r="188" spans="2:26" s="418" customFormat="1" ht="21" customHeight="1" x14ac:dyDescent="0.25">
      <c r="B188" s="554">
        <v>2.2099999999999955</v>
      </c>
      <c r="C188" s="577" t="e">
        <f t="shared" si="88"/>
        <v>#REF!</v>
      </c>
      <c r="D188" s="495" t="s">
        <v>585</v>
      </c>
      <c r="E188" s="517"/>
      <c r="F188" s="518"/>
      <c r="G188" s="530" t="s">
        <v>12</v>
      </c>
      <c r="H188" s="553">
        <v>137.72</v>
      </c>
      <c r="I188" s="553"/>
      <c r="J188" s="553">
        <v>0.75</v>
      </c>
      <c r="K188" s="553">
        <f t="shared" si="89"/>
        <v>103.29</v>
      </c>
      <c r="L188" s="553">
        <f>+[191]Metrados!E189</f>
        <v>0</v>
      </c>
      <c r="M188" s="553">
        <f t="shared" si="90"/>
        <v>0</v>
      </c>
      <c r="N188" s="553">
        <f t="shared" si="91"/>
        <v>0</v>
      </c>
      <c r="O188" s="553">
        <f t="shared" si="92"/>
        <v>0</v>
      </c>
      <c r="P188" s="553"/>
      <c r="Q188" s="553">
        <f t="shared" si="93"/>
        <v>0</v>
      </c>
      <c r="R188" s="553">
        <f t="shared" si="94"/>
        <v>0.75</v>
      </c>
      <c r="S188" s="553">
        <f t="shared" si="95"/>
        <v>103.29</v>
      </c>
      <c r="T188" s="553">
        <f>+N187</f>
        <v>1.0000000000000009E-2</v>
      </c>
      <c r="U188" s="553">
        <f t="shared" si="96"/>
        <v>1.38</v>
      </c>
      <c r="V188" s="553" t="s">
        <v>911</v>
      </c>
      <c r="Y188" s="1146"/>
      <c r="Z188" s="1144">
        <v>0</v>
      </c>
    </row>
    <row r="189" spans="2:26" s="418" customFormat="1" ht="21" customHeight="1" x14ac:dyDescent="0.25">
      <c r="B189" s="554">
        <v>2.2199999999999953</v>
      </c>
      <c r="C189" s="577" t="e">
        <f t="shared" si="88"/>
        <v>#REF!</v>
      </c>
      <c r="D189" s="495" t="s">
        <v>584</v>
      </c>
      <c r="E189" s="757"/>
      <c r="F189" s="758"/>
      <c r="G189" s="530" t="s">
        <v>11</v>
      </c>
      <c r="H189" s="713">
        <v>26.2</v>
      </c>
      <c r="I189" s="713"/>
      <c r="J189" s="553">
        <v>13</v>
      </c>
      <c r="K189" s="553">
        <f t="shared" si="89"/>
        <v>340.6</v>
      </c>
      <c r="L189" s="553">
        <f>+[191]Metrados!E190</f>
        <v>11</v>
      </c>
      <c r="M189" s="553">
        <f t="shared" si="90"/>
        <v>288.2</v>
      </c>
      <c r="N189" s="553">
        <f t="shared" si="91"/>
        <v>0</v>
      </c>
      <c r="O189" s="553">
        <f t="shared" si="92"/>
        <v>0</v>
      </c>
      <c r="P189" s="713"/>
      <c r="Q189" s="553">
        <f t="shared" si="93"/>
        <v>0</v>
      </c>
      <c r="R189" s="553">
        <f t="shared" si="94"/>
        <v>2</v>
      </c>
      <c r="S189" s="553">
        <f t="shared" si="95"/>
        <v>52.4</v>
      </c>
      <c r="T189" s="713"/>
      <c r="U189" s="553">
        <f t="shared" si="96"/>
        <v>0</v>
      </c>
      <c r="V189" s="713"/>
      <c r="Y189" s="1146"/>
      <c r="Z189" s="1144">
        <v>0</v>
      </c>
    </row>
    <row r="190" spans="2:26" s="418" customFormat="1" ht="21" customHeight="1" x14ac:dyDescent="0.25">
      <c r="B190" s="554">
        <v>2.23</v>
      </c>
      <c r="C190" s="584" t="e">
        <f t="shared" si="88"/>
        <v>#REF!</v>
      </c>
      <c r="D190" s="495" t="s">
        <v>583</v>
      </c>
      <c r="E190" s="521"/>
      <c r="F190" s="522"/>
      <c r="G190" s="530" t="s">
        <v>11</v>
      </c>
      <c r="H190" s="553">
        <v>28.35</v>
      </c>
      <c r="I190" s="553"/>
      <c r="J190" s="553">
        <v>2</v>
      </c>
      <c r="K190" s="553">
        <f t="shared" si="89"/>
        <v>56.7</v>
      </c>
      <c r="L190" s="553">
        <f>+[191]Metrados!E191</f>
        <v>2</v>
      </c>
      <c r="M190" s="553">
        <f t="shared" si="90"/>
        <v>56.7</v>
      </c>
      <c r="N190" s="553">
        <f t="shared" si="91"/>
        <v>0</v>
      </c>
      <c r="O190" s="553">
        <f t="shared" si="92"/>
        <v>0</v>
      </c>
      <c r="P190" s="553"/>
      <c r="Q190" s="553">
        <f t="shared" si="93"/>
        <v>0</v>
      </c>
      <c r="R190" s="553">
        <f t="shared" si="94"/>
        <v>0</v>
      </c>
      <c r="S190" s="553">
        <f t="shared" si="95"/>
        <v>0</v>
      </c>
      <c r="T190" s="553"/>
      <c r="U190" s="553">
        <f t="shared" si="96"/>
        <v>0</v>
      </c>
      <c r="V190" s="553"/>
      <c r="Y190" s="1146"/>
      <c r="Z190" s="1144">
        <v>0</v>
      </c>
    </row>
    <row r="191" spans="2:26" s="418" customFormat="1" ht="21" customHeight="1" x14ac:dyDescent="0.25">
      <c r="B191" s="554">
        <v>2.23999999999999</v>
      </c>
      <c r="C191" s="584" t="e">
        <f t="shared" si="88"/>
        <v>#REF!</v>
      </c>
      <c r="D191" s="495" t="s">
        <v>582</v>
      </c>
      <c r="E191" s="521"/>
      <c r="F191" s="522"/>
      <c r="G191" s="530" t="s">
        <v>11</v>
      </c>
      <c r="H191" s="553">
        <v>10.27</v>
      </c>
      <c r="I191" s="553"/>
      <c r="J191" s="553">
        <v>13</v>
      </c>
      <c r="K191" s="553">
        <f t="shared" si="89"/>
        <v>133.51</v>
      </c>
      <c r="L191" s="553">
        <f>+[191]Metrados!E192</f>
        <v>31</v>
      </c>
      <c r="M191" s="553">
        <f t="shared" si="90"/>
        <v>318.37</v>
      </c>
      <c r="N191" s="553">
        <f t="shared" si="91"/>
        <v>18</v>
      </c>
      <c r="O191" s="553">
        <f t="shared" si="92"/>
        <v>184.86</v>
      </c>
      <c r="P191" s="553"/>
      <c r="Q191" s="553">
        <f t="shared" si="93"/>
        <v>0</v>
      </c>
      <c r="R191" s="553">
        <f t="shared" si="94"/>
        <v>0</v>
      </c>
      <c r="S191" s="553">
        <f t="shared" si="95"/>
        <v>0</v>
      </c>
      <c r="T191" s="553">
        <v>8</v>
      </c>
      <c r="U191" s="553">
        <f t="shared" si="96"/>
        <v>82.16</v>
      </c>
      <c r="V191" s="765" t="s">
        <v>858</v>
      </c>
      <c r="Y191" s="1146"/>
      <c r="Z191" s="1144">
        <v>20</v>
      </c>
    </row>
    <row r="192" spans="2:26" s="418" customFormat="1" ht="21" customHeight="1" x14ac:dyDescent="0.25">
      <c r="B192" s="554">
        <v>2.2499999999999898</v>
      </c>
      <c r="C192" s="584" t="e">
        <f t="shared" si="88"/>
        <v>#REF!</v>
      </c>
      <c r="D192" s="495" t="s">
        <v>581</v>
      </c>
      <c r="E192" s="493"/>
      <c r="F192" s="494"/>
      <c r="G192" s="530" t="s">
        <v>11</v>
      </c>
      <c r="H192" s="553">
        <v>13.53</v>
      </c>
      <c r="I192" s="553"/>
      <c r="J192" s="553">
        <v>2</v>
      </c>
      <c r="K192" s="553">
        <f t="shared" si="89"/>
        <v>27.06</v>
      </c>
      <c r="L192" s="553">
        <f>+[191]Metrados!E193</f>
        <v>2</v>
      </c>
      <c r="M192" s="553">
        <f t="shared" si="90"/>
        <v>27.06</v>
      </c>
      <c r="N192" s="553">
        <f t="shared" si="91"/>
        <v>0</v>
      </c>
      <c r="O192" s="553">
        <f t="shared" si="92"/>
        <v>0</v>
      </c>
      <c r="P192" s="553"/>
      <c r="Q192" s="553">
        <f t="shared" si="93"/>
        <v>0</v>
      </c>
      <c r="R192" s="553">
        <f t="shared" si="94"/>
        <v>0</v>
      </c>
      <c r="S192" s="553">
        <f t="shared" si="95"/>
        <v>0</v>
      </c>
      <c r="T192" s="553"/>
      <c r="U192" s="553">
        <f t="shared" si="96"/>
        <v>0</v>
      </c>
      <c r="V192" s="553"/>
      <c r="Y192" s="1146"/>
      <c r="Z192" s="1144">
        <v>0</v>
      </c>
    </row>
    <row r="193" spans="2:26" s="418" customFormat="1" ht="21" customHeight="1" x14ac:dyDescent="0.25">
      <c r="B193" s="554">
        <v>2.25999999999999</v>
      </c>
      <c r="C193" s="584" t="e">
        <f t="shared" si="88"/>
        <v>#REF!</v>
      </c>
      <c r="D193" s="495" t="s">
        <v>361</v>
      </c>
      <c r="E193" s="523"/>
      <c r="F193" s="524"/>
      <c r="G193" s="530" t="s">
        <v>11</v>
      </c>
      <c r="H193" s="553">
        <v>62.87</v>
      </c>
      <c r="I193" s="553"/>
      <c r="J193" s="553">
        <v>62</v>
      </c>
      <c r="K193" s="553">
        <f t="shared" si="89"/>
        <v>3897.94</v>
      </c>
      <c r="L193" s="553">
        <f>+[191]Metrados!E194</f>
        <v>73</v>
      </c>
      <c r="M193" s="553">
        <f t="shared" si="90"/>
        <v>4589.51</v>
      </c>
      <c r="N193" s="553">
        <f t="shared" si="91"/>
        <v>11</v>
      </c>
      <c r="O193" s="553">
        <f t="shared" si="92"/>
        <v>691.57</v>
      </c>
      <c r="P193" s="553"/>
      <c r="Q193" s="553">
        <f t="shared" si="93"/>
        <v>0</v>
      </c>
      <c r="R193" s="553">
        <f t="shared" si="94"/>
        <v>0</v>
      </c>
      <c r="S193" s="553">
        <f t="shared" si="95"/>
        <v>0</v>
      </c>
      <c r="T193" s="553"/>
      <c r="U193" s="553">
        <f t="shared" si="96"/>
        <v>0</v>
      </c>
      <c r="V193" s="553"/>
      <c r="Y193" s="1146"/>
      <c r="Z193" s="1144">
        <v>0</v>
      </c>
    </row>
    <row r="194" spans="2:26" s="418" customFormat="1" ht="21" customHeight="1" x14ac:dyDescent="0.25">
      <c r="B194" s="554">
        <v>2.2699999999999898</v>
      </c>
      <c r="C194" s="584" t="e">
        <f t="shared" si="88"/>
        <v>#REF!</v>
      </c>
      <c r="D194" s="495" t="s">
        <v>362</v>
      </c>
      <c r="E194" s="523"/>
      <c r="F194" s="524"/>
      <c r="G194" s="530" t="s">
        <v>11</v>
      </c>
      <c r="H194" s="553">
        <v>73.709999999999994</v>
      </c>
      <c r="I194" s="553"/>
      <c r="J194" s="553">
        <v>4</v>
      </c>
      <c r="K194" s="553">
        <f t="shared" si="89"/>
        <v>294.83999999999997</v>
      </c>
      <c r="L194" s="553">
        <f>+[191]Metrados!E195</f>
        <v>10</v>
      </c>
      <c r="M194" s="553">
        <f t="shared" si="90"/>
        <v>737.1</v>
      </c>
      <c r="N194" s="553">
        <f t="shared" si="91"/>
        <v>6</v>
      </c>
      <c r="O194" s="553">
        <f t="shared" si="92"/>
        <v>442.26</v>
      </c>
      <c r="P194" s="553"/>
      <c r="Q194" s="553">
        <f t="shared" si="93"/>
        <v>0</v>
      </c>
      <c r="R194" s="553">
        <f t="shared" si="94"/>
        <v>0</v>
      </c>
      <c r="S194" s="553">
        <f t="shared" si="95"/>
        <v>0</v>
      </c>
      <c r="T194" s="553"/>
      <c r="U194" s="553">
        <f t="shared" si="96"/>
        <v>0</v>
      </c>
      <c r="V194" s="553"/>
      <c r="Y194" s="1146"/>
      <c r="Z194" s="1144">
        <v>0</v>
      </c>
    </row>
    <row r="195" spans="2:26" s="418" customFormat="1" ht="21" customHeight="1" x14ac:dyDescent="0.25">
      <c r="B195" s="554">
        <v>2.27999999999999</v>
      </c>
      <c r="C195" s="584" t="e">
        <f t="shared" si="88"/>
        <v>#REF!</v>
      </c>
      <c r="D195" s="495" t="s">
        <v>580</v>
      </c>
      <c r="E195" s="523"/>
      <c r="F195" s="524"/>
      <c r="G195" s="530" t="s">
        <v>11</v>
      </c>
      <c r="H195" s="553">
        <v>41.81</v>
      </c>
      <c r="I195" s="553"/>
      <c r="J195" s="553">
        <v>13</v>
      </c>
      <c r="K195" s="553">
        <f t="shared" si="89"/>
        <v>543.53</v>
      </c>
      <c r="L195" s="553">
        <f>+[191]Metrados!E196</f>
        <v>16</v>
      </c>
      <c r="M195" s="553">
        <f t="shared" si="90"/>
        <v>668.96</v>
      </c>
      <c r="N195" s="553">
        <f t="shared" si="91"/>
        <v>3</v>
      </c>
      <c r="O195" s="553">
        <f t="shared" si="92"/>
        <v>125.43</v>
      </c>
      <c r="P195" s="553"/>
      <c r="Q195" s="553">
        <f t="shared" si="93"/>
        <v>0</v>
      </c>
      <c r="R195" s="553">
        <f t="shared" si="94"/>
        <v>0</v>
      </c>
      <c r="S195" s="553">
        <f t="shared" si="95"/>
        <v>0</v>
      </c>
      <c r="T195" s="553"/>
      <c r="U195" s="553">
        <f t="shared" si="96"/>
        <v>0</v>
      </c>
      <c r="V195" s="553"/>
      <c r="Y195" s="1146"/>
      <c r="Z195" s="1144">
        <v>0</v>
      </c>
    </row>
    <row r="196" spans="2:26" s="418" customFormat="1" ht="21" customHeight="1" x14ac:dyDescent="0.25">
      <c r="B196" s="554">
        <v>2.2899999999999898</v>
      </c>
      <c r="C196" s="584" t="e">
        <f t="shared" si="88"/>
        <v>#REF!</v>
      </c>
      <c r="D196" s="495" t="s">
        <v>579</v>
      </c>
      <c r="E196" s="523"/>
      <c r="F196" s="524"/>
      <c r="G196" s="530" t="s">
        <v>11</v>
      </c>
      <c r="H196" s="553">
        <v>54.11</v>
      </c>
      <c r="I196" s="553"/>
      <c r="J196" s="553">
        <v>2</v>
      </c>
      <c r="K196" s="553">
        <f t="shared" si="89"/>
        <v>108.22</v>
      </c>
      <c r="L196" s="553">
        <f>+[191]Metrados!E197</f>
        <v>0</v>
      </c>
      <c r="M196" s="553">
        <f t="shared" si="90"/>
        <v>0</v>
      </c>
      <c r="N196" s="553">
        <f t="shared" si="91"/>
        <v>0</v>
      </c>
      <c r="O196" s="553">
        <f t="shared" si="92"/>
        <v>0</v>
      </c>
      <c r="P196" s="553"/>
      <c r="Q196" s="553">
        <f t="shared" si="93"/>
        <v>0</v>
      </c>
      <c r="R196" s="553">
        <f t="shared" si="94"/>
        <v>2</v>
      </c>
      <c r="S196" s="553">
        <f t="shared" si="95"/>
        <v>108.22</v>
      </c>
      <c r="T196" s="553">
        <f>+R196</f>
        <v>2</v>
      </c>
      <c r="U196" s="553">
        <f t="shared" si="96"/>
        <v>108.22</v>
      </c>
      <c r="V196" s="553" t="s">
        <v>859</v>
      </c>
      <c r="Y196" s="1146"/>
      <c r="Z196" s="1144">
        <v>0</v>
      </c>
    </row>
    <row r="197" spans="2:26" s="418" customFormat="1" ht="21" customHeight="1" x14ac:dyDescent="0.25">
      <c r="B197" s="554">
        <v>2.2999999999999901</v>
      </c>
      <c r="C197" s="577" t="e">
        <f t="shared" si="88"/>
        <v>#REF!</v>
      </c>
      <c r="D197" s="495" t="s">
        <v>371</v>
      </c>
      <c r="E197" s="517"/>
      <c r="F197" s="518"/>
      <c r="G197" s="530" t="s">
        <v>12</v>
      </c>
      <c r="H197" s="553">
        <v>70.349999999999994</v>
      </c>
      <c r="I197" s="553"/>
      <c r="J197" s="553">
        <v>2.91</v>
      </c>
      <c r="K197" s="553">
        <f t="shared" si="89"/>
        <v>204.72</v>
      </c>
      <c r="L197" s="553">
        <f>+[191]Metrados!E198</f>
        <v>2.97</v>
      </c>
      <c r="M197" s="553">
        <f t="shared" si="90"/>
        <v>208.94</v>
      </c>
      <c r="N197" s="553">
        <f t="shared" si="91"/>
        <v>6.0000000000000053E-2</v>
      </c>
      <c r="O197" s="553">
        <f t="shared" si="92"/>
        <v>4.22</v>
      </c>
      <c r="P197" s="553"/>
      <c r="Q197" s="553">
        <f t="shared" si="93"/>
        <v>0</v>
      </c>
      <c r="R197" s="553">
        <f t="shared" si="94"/>
        <v>0</v>
      </c>
      <c r="S197" s="553">
        <f t="shared" si="95"/>
        <v>0</v>
      </c>
      <c r="T197" s="553"/>
      <c r="U197" s="553">
        <f t="shared" si="96"/>
        <v>0</v>
      </c>
      <c r="V197" s="553"/>
      <c r="Y197" s="1146"/>
      <c r="Z197" s="1144">
        <v>0</v>
      </c>
    </row>
    <row r="198" spans="2:26" s="418" customFormat="1" ht="21" customHeight="1" x14ac:dyDescent="0.25">
      <c r="B198" s="554">
        <v>2.3099999999999898</v>
      </c>
      <c r="C198" s="577" t="e">
        <f t="shared" si="88"/>
        <v>#REF!</v>
      </c>
      <c r="D198" s="495" t="s">
        <v>372</v>
      </c>
      <c r="E198" s="757"/>
      <c r="F198" s="758"/>
      <c r="G198" s="530" t="s">
        <v>12</v>
      </c>
      <c r="H198" s="713">
        <v>91.14</v>
      </c>
      <c r="I198" s="713"/>
      <c r="J198" s="553">
        <v>0.03</v>
      </c>
      <c r="K198" s="553">
        <f t="shared" si="89"/>
        <v>2.73</v>
      </c>
      <c r="L198" s="553">
        <f>+[191]Metrados!E199</f>
        <v>0.2</v>
      </c>
      <c r="M198" s="553">
        <f t="shared" si="90"/>
        <v>18.23</v>
      </c>
      <c r="N198" s="553">
        <f t="shared" si="91"/>
        <v>0.17</v>
      </c>
      <c r="O198" s="553">
        <f t="shared" si="92"/>
        <v>15.49</v>
      </c>
      <c r="P198" s="713"/>
      <c r="Q198" s="553">
        <f t="shared" si="93"/>
        <v>0</v>
      </c>
      <c r="R198" s="553">
        <f t="shared" si="94"/>
        <v>0</v>
      </c>
      <c r="S198" s="553">
        <f t="shared" si="95"/>
        <v>0</v>
      </c>
      <c r="T198" s="713"/>
      <c r="U198" s="553">
        <f t="shared" si="96"/>
        <v>0</v>
      </c>
      <c r="V198" s="713"/>
      <c r="Y198" s="1146"/>
      <c r="Z198" s="1144">
        <v>0</v>
      </c>
    </row>
    <row r="199" spans="2:26" s="418" customFormat="1" ht="21" customHeight="1" x14ac:dyDescent="0.25">
      <c r="B199" s="554">
        <v>2.3199999999999901</v>
      </c>
      <c r="C199" s="584" t="e">
        <f t="shared" si="88"/>
        <v>#REF!</v>
      </c>
      <c r="D199" s="495" t="s">
        <v>578</v>
      </c>
      <c r="E199" s="521"/>
      <c r="F199" s="522"/>
      <c r="G199" s="530" t="s">
        <v>11</v>
      </c>
      <c r="H199" s="553">
        <v>44.36</v>
      </c>
      <c r="I199" s="553"/>
      <c r="J199" s="553">
        <v>60</v>
      </c>
      <c r="K199" s="553">
        <f t="shared" si="89"/>
        <v>2661.6</v>
      </c>
      <c r="L199" s="553">
        <f>+[191]Metrados!E200</f>
        <v>0</v>
      </c>
      <c r="M199" s="553">
        <f t="shared" si="90"/>
        <v>0</v>
      </c>
      <c r="N199" s="553">
        <f t="shared" si="91"/>
        <v>0</v>
      </c>
      <c r="O199" s="553">
        <f t="shared" si="92"/>
        <v>0</v>
      </c>
      <c r="P199" s="553"/>
      <c r="Q199" s="553">
        <f t="shared" si="93"/>
        <v>0</v>
      </c>
      <c r="R199" s="553">
        <f t="shared" si="94"/>
        <v>60</v>
      </c>
      <c r="S199" s="553">
        <f t="shared" si="95"/>
        <v>2661.6</v>
      </c>
      <c r="T199" s="553">
        <f>+R199</f>
        <v>60</v>
      </c>
      <c r="U199" s="553">
        <f t="shared" si="96"/>
        <v>2661.6</v>
      </c>
      <c r="V199" s="553" t="s">
        <v>860</v>
      </c>
      <c r="Y199" s="1146"/>
      <c r="Z199" s="1144">
        <v>0</v>
      </c>
    </row>
    <row r="200" spans="2:26" s="418" customFormat="1" ht="21" customHeight="1" x14ac:dyDescent="0.25">
      <c r="B200" s="554">
        <v>2.3299999999999899</v>
      </c>
      <c r="C200" s="584" t="e">
        <f t="shared" si="88"/>
        <v>#REF!</v>
      </c>
      <c r="D200" s="495" t="s">
        <v>577</v>
      </c>
      <c r="E200" s="521"/>
      <c r="F200" s="522"/>
      <c r="G200" s="530" t="s">
        <v>11</v>
      </c>
      <c r="H200" s="553">
        <v>26.2</v>
      </c>
      <c r="I200" s="553"/>
      <c r="J200" s="553">
        <v>30</v>
      </c>
      <c r="K200" s="553">
        <f t="shared" si="89"/>
        <v>786</v>
      </c>
      <c r="L200" s="553">
        <f>+[191]Metrados!E201</f>
        <v>36</v>
      </c>
      <c r="M200" s="553">
        <f t="shared" si="90"/>
        <v>943.2</v>
      </c>
      <c r="N200" s="553">
        <f t="shared" si="91"/>
        <v>6</v>
      </c>
      <c r="O200" s="553">
        <f t="shared" si="92"/>
        <v>157.19999999999999</v>
      </c>
      <c r="P200" s="553"/>
      <c r="Q200" s="553">
        <f t="shared" si="93"/>
        <v>0</v>
      </c>
      <c r="R200" s="553">
        <f t="shared" si="94"/>
        <v>0</v>
      </c>
      <c r="S200" s="553">
        <f t="shared" si="95"/>
        <v>0</v>
      </c>
      <c r="T200" s="553"/>
      <c r="U200" s="553">
        <f t="shared" si="96"/>
        <v>0</v>
      </c>
      <c r="V200" s="553"/>
      <c r="Y200" s="1146"/>
      <c r="Z200" s="1144">
        <v>0</v>
      </c>
    </row>
    <row r="201" spans="2:26" s="418" customFormat="1" ht="21" customHeight="1" x14ac:dyDescent="0.25">
      <c r="B201" s="554">
        <v>2.3399999999999901</v>
      </c>
      <c r="C201" s="584" t="e">
        <f t="shared" si="88"/>
        <v>#REF!</v>
      </c>
      <c r="D201" s="495" t="s">
        <v>363</v>
      </c>
      <c r="E201" s="493"/>
      <c r="F201" s="494"/>
      <c r="G201" s="530" t="s">
        <v>29</v>
      </c>
      <c r="H201" s="553">
        <v>1571.83</v>
      </c>
      <c r="I201" s="553"/>
      <c r="J201" s="553">
        <v>1</v>
      </c>
      <c r="K201" s="553">
        <f t="shared" si="89"/>
        <v>1571.83</v>
      </c>
      <c r="L201" s="553">
        <f>+[191]Metrados!E202</f>
        <v>0.99999999999999745</v>
      </c>
      <c r="M201" s="553">
        <f t="shared" si="90"/>
        <v>1571.83</v>
      </c>
      <c r="N201" s="553">
        <f t="shared" si="91"/>
        <v>0</v>
      </c>
      <c r="O201" s="553">
        <f t="shared" si="92"/>
        <v>0</v>
      </c>
      <c r="P201" s="553"/>
      <c r="Q201" s="553">
        <f t="shared" si="93"/>
        <v>0</v>
      </c>
      <c r="R201" s="553">
        <f t="shared" si="94"/>
        <v>2.55351295663786E-15</v>
      </c>
      <c r="S201" s="553">
        <f t="shared" si="95"/>
        <v>0</v>
      </c>
      <c r="T201" s="553"/>
      <c r="U201" s="553">
        <f t="shared" si="96"/>
        <v>0</v>
      </c>
      <c r="V201" s="553"/>
      <c r="Y201" s="1146"/>
      <c r="Z201" s="1144">
        <v>0</v>
      </c>
    </row>
    <row r="202" spans="2:26" s="418" customFormat="1" ht="21" customHeight="1" x14ac:dyDescent="0.25">
      <c r="B202" s="554">
        <v>2.3499999999999899</v>
      </c>
      <c r="C202" s="584" t="e">
        <f>+C174+1</f>
        <v>#REF!</v>
      </c>
      <c r="D202" s="495" t="s">
        <v>364</v>
      </c>
      <c r="E202" s="525"/>
      <c r="F202" s="499"/>
      <c r="G202" s="530" t="s">
        <v>29</v>
      </c>
      <c r="H202" s="553">
        <v>2275.69</v>
      </c>
      <c r="I202" s="553"/>
      <c r="J202" s="553">
        <v>1</v>
      </c>
      <c r="K202" s="553">
        <f t="shared" si="89"/>
        <v>2275.69</v>
      </c>
      <c r="L202" s="553">
        <f>+[191]Metrados!E203</f>
        <v>0.99999999999999745</v>
      </c>
      <c r="M202" s="553">
        <f t="shared" si="90"/>
        <v>2275.69</v>
      </c>
      <c r="N202" s="553">
        <f t="shared" si="91"/>
        <v>0</v>
      </c>
      <c r="O202" s="553">
        <f t="shared" si="92"/>
        <v>0</v>
      </c>
      <c r="P202" s="557"/>
      <c r="Q202" s="553">
        <f t="shared" si="93"/>
        <v>0</v>
      </c>
      <c r="R202" s="553">
        <f t="shared" si="94"/>
        <v>2.55351295663786E-15</v>
      </c>
      <c r="S202" s="553">
        <f t="shared" si="95"/>
        <v>0</v>
      </c>
      <c r="T202" s="557"/>
      <c r="U202" s="553">
        <f t="shared" si="96"/>
        <v>0</v>
      </c>
      <c r="V202" s="557"/>
      <c r="Y202" s="1146"/>
      <c r="Z202" s="1144">
        <v>0</v>
      </c>
    </row>
    <row r="203" spans="2:26" s="759" customFormat="1" ht="21" customHeight="1" x14ac:dyDescent="0.25">
      <c r="B203" s="617">
        <v>2.3599999999999923</v>
      </c>
      <c r="C203" s="577" t="e">
        <f>+C201+1</f>
        <v>#REF!</v>
      </c>
      <c r="D203" s="501" t="s">
        <v>771</v>
      </c>
      <c r="E203" s="651"/>
      <c r="F203" s="643"/>
      <c r="G203" s="531" t="s">
        <v>11</v>
      </c>
      <c r="H203" s="560"/>
      <c r="I203" s="560">
        <f>+H175*0.5</f>
        <v>122.355</v>
      </c>
      <c r="J203" s="560"/>
      <c r="K203" s="560">
        <f t="shared" ref="K203" si="97">+ROUND($H203*J203,2)</f>
        <v>0</v>
      </c>
      <c r="L203" s="560">
        <f>+[191]Metrados!E204</f>
        <v>4</v>
      </c>
      <c r="M203" s="560">
        <f t="shared" ref="M203:M209" si="98">+ROUND($I203*L203,2)</f>
        <v>489.42</v>
      </c>
      <c r="N203" s="560"/>
      <c r="O203" s="560">
        <f t="shared" ref="O203" si="99">+ROUND($H203*N203,2)</f>
        <v>0</v>
      </c>
      <c r="P203" s="561">
        <f t="shared" ref="P203:P209" si="100">+L203</f>
        <v>4</v>
      </c>
      <c r="Q203" s="560">
        <f t="shared" ref="Q203:Q209" si="101">+ROUND($I203*P203,2)</f>
        <v>489.42</v>
      </c>
      <c r="R203" s="560"/>
      <c r="S203" s="560">
        <f t="shared" ref="S203" si="102">+ROUND($H203*R203,2)</f>
        <v>0</v>
      </c>
      <c r="T203" s="560"/>
      <c r="U203" s="560">
        <f t="shared" ref="U203" si="103">+ROUND($H203*T203,2)</f>
        <v>0</v>
      </c>
      <c r="V203" s="560"/>
      <c r="Y203" s="1146"/>
      <c r="Z203" s="1150">
        <v>0</v>
      </c>
    </row>
    <row r="204" spans="2:26" s="759" customFormat="1" ht="21" customHeight="1" x14ac:dyDescent="0.25">
      <c r="B204" s="617">
        <v>2.3699999999999921</v>
      </c>
      <c r="C204" s="577" t="e">
        <f>+C202+1</f>
        <v>#REF!</v>
      </c>
      <c r="D204" s="501" t="s">
        <v>772</v>
      </c>
      <c r="E204" s="651"/>
      <c r="F204" s="643"/>
      <c r="G204" s="531" t="s">
        <v>11</v>
      </c>
      <c r="H204" s="560"/>
      <c r="I204" s="560">
        <f>+H175*0.5</f>
        <v>122.355</v>
      </c>
      <c r="J204" s="560"/>
      <c r="K204" s="560">
        <f t="shared" ref="K204" si="104">+ROUND($H204*J204,2)</f>
        <v>0</v>
      </c>
      <c r="L204" s="560">
        <f>+[191]Metrados!E205</f>
        <v>11</v>
      </c>
      <c r="M204" s="560">
        <f t="shared" si="98"/>
        <v>1345.91</v>
      </c>
      <c r="N204" s="560"/>
      <c r="O204" s="560">
        <f t="shared" ref="O204" si="105">+ROUND($H204*N204,2)</f>
        <v>0</v>
      </c>
      <c r="P204" s="561">
        <f t="shared" si="100"/>
        <v>11</v>
      </c>
      <c r="Q204" s="560">
        <f t="shared" si="101"/>
        <v>1345.91</v>
      </c>
      <c r="R204" s="560"/>
      <c r="S204" s="560">
        <f t="shared" ref="S204" si="106">+ROUND($H204*R204,2)</f>
        <v>0</v>
      </c>
      <c r="T204" s="560"/>
      <c r="U204" s="560">
        <f t="shared" ref="U204" si="107">+ROUND($H204*T204,2)</f>
        <v>0</v>
      </c>
      <c r="V204" s="560"/>
      <c r="Y204" s="1146"/>
      <c r="Z204" s="1150">
        <v>0</v>
      </c>
    </row>
    <row r="205" spans="2:26" s="759" customFormat="1" ht="21" hidden="1" customHeight="1" x14ac:dyDescent="0.25">
      <c r="B205" s="617">
        <v>2.3799999999999919</v>
      </c>
      <c r="C205" s="577" t="e">
        <f>+C202+1</f>
        <v>#REF!</v>
      </c>
      <c r="D205" s="501" t="s">
        <v>773</v>
      </c>
      <c r="E205" s="651"/>
      <c r="F205" s="643"/>
      <c r="G205" s="531" t="s">
        <v>11</v>
      </c>
      <c r="H205" s="560"/>
      <c r="I205" s="560"/>
      <c r="J205" s="560"/>
      <c r="K205" s="560">
        <f t="shared" si="89"/>
        <v>0</v>
      </c>
      <c r="L205" s="560">
        <f>+[191]Metrados!E206</f>
        <v>0</v>
      </c>
      <c r="M205" s="560">
        <f t="shared" si="98"/>
        <v>0</v>
      </c>
      <c r="N205" s="560"/>
      <c r="O205" s="560">
        <f t="shared" si="92"/>
        <v>0</v>
      </c>
      <c r="P205" s="561">
        <f t="shared" si="100"/>
        <v>0</v>
      </c>
      <c r="Q205" s="560">
        <f t="shared" si="101"/>
        <v>0</v>
      </c>
      <c r="R205" s="560"/>
      <c r="S205" s="560">
        <f t="shared" si="95"/>
        <v>0</v>
      </c>
      <c r="T205" s="560"/>
      <c r="U205" s="560">
        <f t="shared" si="96"/>
        <v>0</v>
      </c>
      <c r="V205" s="560"/>
      <c r="Y205" s="1146"/>
      <c r="Z205" s="1150">
        <v>0</v>
      </c>
    </row>
    <row r="206" spans="2:26" s="759" customFormat="1" ht="21" customHeight="1" x14ac:dyDescent="0.25">
      <c r="B206" s="617">
        <v>2.3799999999999901</v>
      </c>
      <c r="C206" s="577" t="e">
        <f>+C204+1</f>
        <v>#REF!</v>
      </c>
      <c r="D206" s="501" t="s">
        <v>1007</v>
      </c>
      <c r="E206" s="651"/>
      <c r="F206" s="643"/>
      <c r="G206" s="531" t="s">
        <v>11</v>
      </c>
      <c r="H206" s="560"/>
      <c r="I206" s="560">
        <f>+H178*2</f>
        <v>26.6</v>
      </c>
      <c r="J206" s="560"/>
      <c r="K206" s="560">
        <f t="shared" si="89"/>
        <v>0</v>
      </c>
      <c r="L206" s="560">
        <f>+[191]Metrados!E207</f>
        <v>122</v>
      </c>
      <c r="M206" s="560">
        <f t="shared" ref="M206" si="108">+ROUND($I206*L206,2)</f>
        <v>3245.2</v>
      </c>
      <c r="N206" s="560"/>
      <c r="O206" s="560">
        <f t="shared" si="92"/>
        <v>0</v>
      </c>
      <c r="P206" s="561">
        <f t="shared" ref="P206" si="109">+L206</f>
        <v>122</v>
      </c>
      <c r="Q206" s="560">
        <f t="shared" ref="Q206" si="110">+ROUND($I206*P206,2)</f>
        <v>3245.2</v>
      </c>
      <c r="R206" s="560"/>
      <c r="S206" s="560">
        <f t="shared" si="95"/>
        <v>0</v>
      </c>
      <c r="T206" s="560"/>
      <c r="U206" s="560">
        <f t="shared" si="96"/>
        <v>0</v>
      </c>
      <c r="V206" s="560"/>
      <c r="Y206" s="1146"/>
      <c r="Z206" s="1150">
        <v>-1</v>
      </c>
    </row>
    <row r="207" spans="2:26" s="759" customFormat="1" ht="21" customHeight="1" x14ac:dyDescent="0.25">
      <c r="B207" s="617">
        <v>2.3899999999999917</v>
      </c>
      <c r="C207" s="577" t="e">
        <f>+C205+1</f>
        <v>#REF!</v>
      </c>
      <c r="D207" s="501" t="s">
        <v>1008</v>
      </c>
      <c r="E207" s="651"/>
      <c r="F207" s="643"/>
      <c r="G207" s="531" t="s">
        <v>12</v>
      </c>
      <c r="H207" s="560"/>
      <c r="I207" s="560">
        <f>+H187*1.3</f>
        <v>170.625</v>
      </c>
      <c r="J207" s="560"/>
      <c r="K207" s="560">
        <f t="shared" ref="K207" si="111">+ROUND($H207*J207,2)</f>
        <v>0</v>
      </c>
      <c r="L207" s="560">
        <f>+[191]Metrados!E208</f>
        <v>1.17</v>
      </c>
      <c r="M207" s="560">
        <f t="shared" ref="M207" si="112">+ROUND($I207*L207,2)</f>
        <v>199.63</v>
      </c>
      <c r="N207" s="560"/>
      <c r="O207" s="560">
        <f t="shared" ref="O207" si="113">+ROUND($H207*N207,2)</f>
        <v>0</v>
      </c>
      <c r="P207" s="561">
        <f t="shared" ref="P207" si="114">+L207</f>
        <v>1.17</v>
      </c>
      <c r="Q207" s="560">
        <f t="shared" ref="Q207" si="115">+ROUND($I207*P207,2)</f>
        <v>199.63</v>
      </c>
      <c r="R207" s="560"/>
      <c r="S207" s="560">
        <f t="shared" ref="S207" si="116">+ROUND($H207*R207,2)</f>
        <v>0</v>
      </c>
      <c r="T207" s="560"/>
      <c r="U207" s="560">
        <f t="shared" ref="U207" si="117">+ROUND($H207*T207,2)</f>
        <v>0</v>
      </c>
      <c r="V207" s="560"/>
      <c r="Y207" s="1146"/>
      <c r="Z207" s="1150">
        <v>0</v>
      </c>
    </row>
    <row r="208" spans="2:26" s="759" customFormat="1" ht="21" customHeight="1" x14ac:dyDescent="0.25">
      <c r="B208" s="617">
        <v>2.3999999999999901</v>
      </c>
      <c r="C208" s="577" t="e">
        <f>+C203+1</f>
        <v>#REF!</v>
      </c>
      <c r="D208" s="501" t="s">
        <v>774</v>
      </c>
      <c r="E208" s="651"/>
      <c r="F208" s="643"/>
      <c r="G208" s="531" t="s">
        <v>11</v>
      </c>
      <c r="H208" s="560"/>
      <c r="I208" s="560">
        <f>+H199*1.3</f>
        <v>57.667999999999999</v>
      </c>
      <c r="J208" s="560"/>
      <c r="K208" s="560">
        <f t="shared" si="89"/>
        <v>0</v>
      </c>
      <c r="L208" s="560">
        <f>+[191]Metrados!E209</f>
        <v>76</v>
      </c>
      <c r="M208" s="560">
        <f t="shared" si="98"/>
        <v>4382.7700000000004</v>
      </c>
      <c r="N208" s="560"/>
      <c r="O208" s="560">
        <f t="shared" si="92"/>
        <v>0</v>
      </c>
      <c r="P208" s="561">
        <f t="shared" si="100"/>
        <v>76</v>
      </c>
      <c r="Q208" s="560">
        <f t="shared" si="101"/>
        <v>4382.7700000000004</v>
      </c>
      <c r="R208" s="560"/>
      <c r="S208" s="560">
        <f t="shared" si="95"/>
        <v>0</v>
      </c>
      <c r="T208" s="560"/>
      <c r="U208" s="560">
        <f t="shared" si="96"/>
        <v>0</v>
      </c>
      <c r="V208" s="560"/>
      <c r="Y208" s="1146"/>
      <c r="Z208" s="1150">
        <v>0</v>
      </c>
    </row>
    <row r="209" spans="2:26" s="759" customFormat="1" ht="21" customHeight="1" x14ac:dyDescent="0.25">
      <c r="B209" s="617">
        <v>2.4099999999999899</v>
      </c>
      <c r="C209" s="577" t="e">
        <f>+C205+1</f>
        <v>#REF!</v>
      </c>
      <c r="D209" s="501" t="s">
        <v>775</v>
      </c>
      <c r="E209" s="652"/>
      <c r="F209" s="653"/>
      <c r="G209" s="564" t="s">
        <v>11</v>
      </c>
      <c r="H209" s="633"/>
      <c r="I209" s="633">
        <v>0.3</v>
      </c>
      <c r="J209" s="633"/>
      <c r="K209" s="633">
        <f t="shared" si="89"/>
        <v>0</v>
      </c>
      <c r="L209" s="560">
        <f>+[191]Metrados!E210</f>
        <v>2031</v>
      </c>
      <c r="M209" s="633">
        <f t="shared" si="98"/>
        <v>609.29999999999995</v>
      </c>
      <c r="N209" s="633"/>
      <c r="O209" s="633">
        <f t="shared" si="92"/>
        <v>0</v>
      </c>
      <c r="P209" s="634">
        <f t="shared" si="100"/>
        <v>2031</v>
      </c>
      <c r="Q209" s="633">
        <f t="shared" si="101"/>
        <v>609.29999999999995</v>
      </c>
      <c r="R209" s="633"/>
      <c r="S209" s="633">
        <f t="shared" si="95"/>
        <v>0</v>
      </c>
      <c r="T209" s="633"/>
      <c r="U209" s="633">
        <f t="shared" si="96"/>
        <v>0</v>
      </c>
      <c r="V209" s="633"/>
      <c r="Y209" s="1146"/>
      <c r="Z209" s="1150">
        <v>0</v>
      </c>
    </row>
    <row r="210" spans="2:26" s="418" customFormat="1" ht="21" customHeight="1" x14ac:dyDescent="0.25">
      <c r="B210" s="598"/>
      <c r="C210" s="603" t="e">
        <f t="shared" ref="C210:C222" si="118">+C209+1</f>
        <v>#REF!</v>
      </c>
      <c r="D210" s="542"/>
      <c r="E210" s="604"/>
      <c r="F210" s="544" t="str">
        <f>+"SUB-TOTAL   "&amp;B167&amp;":  "</f>
        <v xml:space="preserve">SUB-TOTAL   2:  </v>
      </c>
      <c r="G210" s="440"/>
      <c r="H210" s="438"/>
      <c r="I210" s="438"/>
      <c r="J210" s="438"/>
      <c r="K210" s="548">
        <f>+SUM(K168:K209)</f>
        <v>82420.020000000019</v>
      </c>
      <c r="L210" s="540"/>
      <c r="M210" s="548">
        <f>+SUM(M168:M209)</f>
        <v>84251.210000000021</v>
      </c>
      <c r="N210" s="548"/>
      <c r="O210" s="548">
        <f>+SUM(O168:O209)</f>
        <v>11974.02</v>
      </c>
      <c r="P210" s="548"/>
      <c r="Q210" s="548">
        <f>+SUM(Q168:Q209)</f>
        <v>10272.23</v>
      </c>
      <c r="R210" s="536"/>
      <c r="S210" s="548">
        <f>+SUM(S168:S209)</f>
        <v>20415.05</v>
      </c>
      <c r="T210" s="536"/>
      <c r="U210" s="548">
        <f>+SUM(U168:U209)</f>
        <v>17609.169999999998</v>
      </c>
      <c r="V210" s="536"/>
      <c r="Y210" s="1146"/>
      <c r="Z210" s="1144">
        <v>0</v>
      </c>
    </row>
    <row r="211" spans="2:26" s="418" customFormat="1" ht="21" customHeight="1" x14ac:dyDescent="0.25">
      <c r="B211" s="439">
        <v>3</v>
      </c>
      <c r="C211" s="480" t="e">
        <f t="shared" si="118"/>
        <v>#REF!</v>
      </c>
      <c r="D211" s="441" t="s">
        <v>38</v>
      </c>
      <c r="E211" s="486"/>
      <c r="F211" s="461"/>
      <c r="G211" s="440"/>
      <c r="H211" s="438"/>
      <c r="I211" s="438"/>
      <c r="J211" s="438"/>
      <c r="K211" s="600"/>
      <c r="L211" s="756"/>
      <c r="M211" s="600"/>
      <c r="N211" s="536"/>
      <c r="O211" s="600"/>
      <c r="P211" s="536"/>
      <c r="Q211" s="600"/>
      <c r="R211" s="536"/>
      <c r="S211" s="600"/>
      <c r="T211" s="536"/>
      <c r="U211" s="600"/>
      <c r="V211" s="536"/>
      <c r="Y211" s="1146"/>
      <c r="Z211" s="1144">
        <v>0</v>
      </c>
    </row>
    <row r="212" spans="2:26" s="418" customFormat="1" ht="21" customHeight="1" x14ac:dyDescent="0.25">
      <c r="B212" s="554">
        <v>3.01</v>
      </c>
      <c r="C212" s="584" t="e">
        <f t="shared" si="118"/>
        <v>#REF!</v>
      </c>
      <c r="D212" s="495" t="s">
        <v>537</v>
      </c>
      <c r="E212" s="511"/>
      <c r="F212" s="512"/>
      <c r="G212" s="530" t="s">
        <v>526</v>
      </c>
      <c r="H212" s="553">
        <v>61.15</v>
      </c>
      <c r="I212" s="553"/>
      <c r="J212" s="553">
        <v>190.59</v>
      </c>
      <c r="K212" s="553">
        <f t="shared" ref="K212:K227" si="119">+ROUND($H212*J212,2)</f>
        <v>11654.58</v>
      </c>
      <c r="L212" s="553">
        <f>+[191]Metrados!E213</f>
        <v>180.36</v>
      </c>
      <c r="M212" s="553">
        <f t="shared" ref="M212:M223" si="120">+ROUND($H212*L212,2)</f>
        <v>11029.01</v>
      </c>
      <c r="N212" s="553">
        <f t="shared" ref="N212:N223" si="121">+IF($L212-$J212&gt;=0,$L212-$J212,0)</f>
        <v>0</v>
      </c>
      <c r="O212" s="553">
        <f t="shared" ref="O212:O227" si="122">+ROUND($H212*N212,2)</f>
        <v>0</v>
      </c>
      <c r="P212" s="553"/>
      <c r="Q212" s="553">
        <f t="shared" ref="Q212:Q223" si="123">+ROUND($H212*P212,2)</f>
        <v>0</v>
      </c>
      <c r="R212" s="553">
        <f t="shared" ref="R212:R223" si="124">+IF($L212-$J212&lt;=0,-$L212+$J212,0)</f>
        <v>10.22999999999999</v>
      </c>
      <c r="S212" s="553">
        <f t="shared" ref="S212:S227" si="125">+ROUND($H212*R212,2)</f>
        <v>625.55999999999995</v>
      </c>
      <c r="T212" s="553">
        <f>+N213</f>
        <v>2.7500000000000009</v>
      </c>
      <c r="U212" s="553">
        <f t="shared" ref="U212:U227" si="126">+ROUND($H212*T212,2)</f>
        <v>168.16</v>
      </c>
      <c r="V212" s="553" t="s">
        <v>861</v>
      </c>
      <c r="Y212" s="1146"/>
      <c r="Z212" s="1144">
        <v>-2.1599999999999966</v>
      </c>
    </row>
    <row r="213" spans="2:26" ht="21" customHeight="1" x14ac:dyDescent="0.25">
      <c r="B213" s="554">
        <v>3.0199999999999996</v>
      </c>
      <c r="C213" s="576" t="e">
        <f t="shared" si="118"/>
        <v>#REF!</v>
      </c>
      <c r="D213" s="495" t="s">
        <v>536</v>
      </c>
      <c r="E213" s="496"/>
      <c r="F213" s="497"/>
      <c r="G213" s="530" t="s">
        <v>526</v>
      </c>
      <c r="H213" s="553">
        <v>208.14</v>
      </c>
      <c r="I213" s="553"/>
      <c r="J213" s="553">
        <v>6.55</v>
      </c>
      <c r="K213" s="553">
        <f t="shared" si="119"/>
        <v>1363.32</v>
      </c>
      <c r="L213" s="553">
        <f>+[191]Metrados!E214</f>
        <v>9.3000000000000007</v>
      </c>
      <c r="M213" s="553">
        <f t="shared" si="120"/>
        <v>1935.7</v>
      </c>
      <c r="N213" s="553">
        <f t="shared" si="121"/>
        <v>2.7500000000000009</v>
      </c>
      <c r="O213" s="553">
        <f t="shared" si="122"/>
        <v>572.39</v>
      </c>
      <c r="P213" s="553"/>
      <c r="Q213" s="553">
        <f t="shared" si="123"/>
        <v>0</v>
      </c>
      <c r="R213" s="553">
        <f t="shared" si="124"/>
        <v>0</v>
      </c>
      <c r="S213" s="553">
        <f t="shared" si="125"/>
        <v>0</v>
      </c>
      <c r="T213" s="553"/>
      <c r="U213" s="553">
        <f t="shared" si="126"/>
        <v>0</v>
      </c>
      <c r="V213" s="553"/>
      <c r="Y213" s="1146"/>
      <c r="Z213" s="1144">
        <v>2.160000000000001</v>
      </c>
    </row>
    <row r="214" spans="2:26" ht="21" customHeight="1" x14ac:dyDescent="0.25">
      <c r="B214" s="554">
        <v>3.0299999999999994</v>
      </c>
      <c r="C214" s="576" t="e">
        <f t="shared" si="118"/>
        <v>#REF!</v>
      </c>
      <c r="D214" s="495" t="s">
        <v>576</v>
      </c>
      <c r="E214" s="496"/>
      <c r="F214" s="497"/>
      <c r="G214" s="530" t="s">
        <v>11</v>
      </c>
      <c r="H214" s="553">
        <v>95.92</v>
      </c>
      <c r="I214" s="553"/>
      <c r="J214" s="553">
        <v>9</v>
      </c>
      <c r="K214" s="553">
        <f t="shared" si="119"/>
        <v>863.28</v>
      </c>
      <c r="L214" s="553">
        <f>+[191]Metrados!E215</f>
        <v>0</v>
      </c>
      <c r="M214" s="553">
        <f t="shared" si="120"/>
        <v>0</v>
      </c>
      <c r="N214" s="553">
        <f t="shared" si="121"/>
        <v>0</v>
      </c>
      <c r="O214" s="553">
        <f t="shared" si="122"/>
        <v>0</v>
      </c>
      <c r="P214" s="553"/>
      <c r="Q214" s="553">
        <f t="shared" si="123"/>
        <v>0</v>
      </c>
      <c r="R214" s="553">
        <f t="shared" si="124"/>
        <v>9</v>
      </c>
      <c r="S214" s="553">
        <f t="shared" si="125"/>
        <v>863.28</v>
      </c>
      <c r="T214" s="553">
        <f>+R214</f>
        <v>9</v>
      </c>
      <c r="U214" s="553">
        <f t="shared" si="126"/>
        <v>863.28</v>
      </c>
      <c r="V214" s="553" t="s">
        <v>863</v>
      </c>
      <c r="Y214" s="1146"/>
      <c r="Z214" s="1144">
        <v>0</v>
      </c>
    </row>
    <row r="215" spans="2:26" ht="21" customHeight="1" x14ac:dyDescent="0.25">
      <c r="B215" s="554">
        <v>3.0399999999999991</v>
      </c>
      <c r="C215" s="576" t="e">
        <f t="shared" si="118"/>
        <v>#REF!</v>
      </c>
      <c r="D215" s="495" t="s">
        <v>575</v>
      </c>
      <c r="E215" s="513"/>
      <c r="F215" s="499"/>
      <c r="G215" s="530" t="s">
        <v>11</v>
      </c>
      <c r="H215" s="553">
        <v>154.07</v>
      </c>
      <c r="I215" s="553"/>
      <c r="J215" s="553">
        <v>118</v>
      </c>
      <c r="K215" s="553">
        <f t="shared" si="119"/>
        <v>18180.259999999998</v>
      </c>
      <c r="L215" s="553">
        <f>+[191]Metrados!E216</f>
        <v>96</v>
      </c>
      <c r="M215" s="553">
        <f t="shared" si="120"/>
        <v>14790.72</v>
      </c>
      <c r="N215" s="553">
        <f t="shared" si="121"/>
        <v>0</v>
      </c>
      <c r="O215" s="553">
        <f t="shared" si="122"/>
        <v>0</v>
      </c>
      <c r="P215" s="557"/>
      <c r="Q215" s="553">
        <f t="shared" si="123"/>
        <v>0</v>
      </c>
      <c r="R215" s="553">
        <f t="shared" si="124"/>
        <v>22</v>
      </c>
      <c r="S215" s="553">
        <f t="shared" si="125"/>
        <v>3389.54</v>
      </c>
      <c r="T215" s="553">
        <f>+R215</f>
        <v>22</v>
      </c>
      <c r="U215" s="553">
        <f t="shared" si="126"/>
        <v>3389.54</v>
      </c>
      <c r="V215" s="553" t="s">
        <v>851</v>
      </c>
      <c r="Y215" s="1146"/>
      <c r="Z215" s="1144">
        <v>0</v>
      </c>
    </row>
    <row r="216" spans="2:26" ht="21" customHeight="1" x14ac:dyDescent="0.25">
      <c r="B216" s="554">
        <v>3.0499999999999989</v>
      </c>
      <c r="C216" s="584" t="e">
        <f t="shared" si="118"/>
        <v>#REF!</v>
      </c>
      <c r="D216" s="495" t="s">
        <v>574</v>
      </c>
      <c r="E216" s="511"/>
      <c r="F216" s="512"/>
      <c r="G216" s="530" t="s">
        <v>11</v>
      </c>
      <c r="H216" s="553">
        <v>194.85</v>
      </c>
      <c r="I216" s="553"/>
      <c r="J216" s="553">
        <v>32</v>
      </c>
      <c r="K216" s="553">
        <f t="shared" si="119"/>
        <v>6235.2</v>
      </c>
      <c r="L216" s="553">
        <f>+[191]Metrados!E217</f>
        <v>60</v>
      </c>
      <c r="M216" s="553">
        <f t="shared" si="120"/>
        <v>11691</v>
      </c>
      <c r="N216" s="553">
        <f t="shared" si="121"/>
        <v>28</v>
      </c>
      <c r="O216" s="553">
        <f t="shared" si="122"/>
        <v>5455.8</v>
      </c>
      <c r="P216" s="553"/>
      <c r="Q216" s="553">
        <f t="shared" si="123"/>
        <v>0</v>
      </c>
      <c r="R216" s="553">
        <f t="shared" si="124"/>
        <v>0</v>
      </c>
      <c r="S216" s="553">
        <f t="shared" si="125"/>
        <v>0</v>
      </c>
      <c r="T216" s="553"/>
      <c r="U216" s="553">
        <f t="shared" si="126"/>
        <v>0</v>
      </c>
      <c r="V216" s="553"/>
      <c r="Y216" s="1146"/>
      <c r="Z216" s="1144">
        <v>0</v>
      </c>
    </row>
    <row r="217" spans="2:26" ht="21" customHeight="1" x14ac:dyDescent="0.25">
      <c r="B217" s="554">
        <v>3.0599999999999987</v>
      </c>
      <c r="C217" s="584" t="e">
        <f t="shared" si="118"/>
        <v>#REF!</v>
      </c>
      <c r="D217" s="495" t="s">
        <v>573</v>
      </c>
      <c r="E217" s="496"/>
      <c r="F217" s="497"/>
      <c r="G217" s="530" t="s">
        <v>11</v>
      </c>
      <c r="H217" s="553">
        <v>128.47</v>
      </c>
      <c r="I217" s="553"/>
      <c r="J217" s="553">
        <v>6</v>
      </c>
      <c r="K217" s="553">
        <f t="shared" si="119"/>
        <v>770.82</v>
      </c>
      <c r="L217" s="553">
        <f>+[191]Metrados!E218</f>
        <v>6</v>
      </c>
      <c r="M217" s="553">
        <f t="shared" si="120"/>
        <v>770.82</v>
      </c>
      <c r="N217" s="553">
        <f t="shared" si="121"/>
        <v>0</v>
      </c>
      <c r="O217" s="553">
        <f t="shared" si="122"/>
        <v>0</v>
      </c>
      <c r="P217" s="553"/>
      <c r="Q217" s="553">
        <f t="shared" si="123"/>
        <v>0</v>
      </c>
      <c r="R217" s="553">
        <f t="shared" si="124"/>
        <v>0</v>
      </c>
      <c r="S217" s="553">
        <f t="shared" si="125"/>
        <v>0</v>
      </c>
      <c r="T217" s="553"/>
      <c r="U217" s="553">
        <f t="shared" si="126"/>
        <v>0</v>
      </c>
      <c r="V217" s="553"/>
      <c r="Y217" s="1146"/>
      <c r="Z217" s="1144">
        <v>0</v>
      </c>
    </row>
    <row r="218" spans="2:26" ht="21" customHeight="1" x14ac:dyDescent="0.25">
      <c r="B218" s="554">
        <v>3.0699999999999985</v>
      </c>
      <c r="C218" s="584" t="e">
        <f t="shared" si="118"/>
        <v>#REF!</v>
      </c>
      <c r="D218" s="495" t="s">
        <v>572</v>
      </c>
      <c r="E218" s="496"/>
      <c r="F218" s="497"/>
      <c r="G218" s="530" t="s">
        <v>11</v>
      </c>
      <c r="H218" s="553">
        <v>123.37</v>
      </c>
      <c r="I218" s="553"/>
      <c r="J218" s="553">
        <v>15</v>
      </c>
      <c r="K218" s="553">
        <f t="shared" si="119"/>
        <v>1850.55</v>
      </c>
      <c r="L218" s="553">
        <f>+[191]Metrados!E219</f>
        <v>3</v>
      </c>
      <c r="M218" s="553">
        <f t="shared" si="120"/>
        <v>370.11</v>
      </c>
      <c r="N218" s="553">
        <f t="shared" si="121"/>
        <v>0</v>
      </c>
      <c r="O218" s="553">
        <f t="shared" si="122"/>
        <v>0</v>
      </c>
      <c r="P218" s="553"/>
      <c r="Q218" s="553">
        <f t="shared" si="123"/>
        <v>0</v>
      </c>
      <c r="R218" s="553">
        <f t="shared" si="124"/>
        <v>12</v>
      </c>
      <c r="S218" s="553">
        <f t="shared" si="125"/>
        <v>1480.44</v>
      </c>
      <c r="T218" s="553">
        <f>+R218</f>
        <v>12</v>
      </c>
      <c r="U218" s="553">
        <f t="shared" si="126"/>
        <v>1480.44</v>
      </c>
      <c r="V218" s="553" t="s">
        <v>864</v>
      </c>
      <c r="Y218" s="1146"/>
      <c r="Z218" s="1144">
        <v>0</v>
      </c>
    </row>
    <row r="219" spans="2:26" ht="21" customHeight="1" x14ac:dyDescent="0.25">
      <c r="B219" s="554">
        <v>3.0799999999999983</v>
      </c>
      <c r="C219" s="576" t="e">
        <f t="shared" si="118"/>
        <v>#REF!</v>
      </c>
      <c r="D219" s="495" t="s">
        <v>571</v>
      </c>
      <c r="E219" s="496"/>
      <c r="F219" s="497"/>
      <c r="G219" s="530" t="s">
        <v>526</v>
      </c>
      <c r="H219" s="553">
        <v>109.4</v>
      </c>
      <c r="I219" s="553"/>
      <c r="J219" s="553">
        <v>19.7</v>
      </c>
      <c r="K219" s="553">
        <f t="shared" si="119"/>
        <v>2155.1799999999998</v>
      </c>
      <c r="L219" s="553">
        <f>+[191]Metrados!E220</f>
        <v>18</v>
      </c>
      <c r="M219" s="553">
        <f t="shared" si="120"/>
        <v>1969.2</v>
      </c>
      <c r="N219" s="553">
        <f t="shared" si="121"/>
        <v>0</v>
      </c>
      <c r="O219" s="553">
        <f t="shared" si="122"/>
        <v>0</v>
      </c>
      <c r="P219" s="553"/>
      <c r="Q219" s="553">
        <f t="shared" si="123"/>
        <v>0</v>
      </c>
      <c r="R219" s="553">
        <f t="shared" si="124"/>
        <v>1.6999999999999993</v>
      </c>
      <c r="S219" s="553">
        <f t="shared" si="125"/>
        <v>185.98</v>
      </c>
      <c r="T219" s="553"/>
      <c r="U219" s="553">
        <f t="shared" si="126"/>
        <v>0</v>
      </c>
      <c r="V219" s="553"/>
      <c r="Y219" s="1146"/>
      <c r="Z219" s="1144">
        <v>0</v>
      </c>
    </row>
    <row r="220" spans="2:26" ht="21" customHeight="1" x14ac:dyDescent="0.25">
      <c r="B220" s="554">
        <v>3.0899999999999981</v>
      </c>
      <c r="C220" s="576" t="e">
        <f t="shared" si="118"/>
        <v>#REF!</v>
      </c>
      <c r="D220" s="495" t="s">
        <v>570</v>
      </c>
      <c r="E220" s="513"/>
      <c r="F220" s="499"/>
      <c r="G220" s="530" t="s">
        <v>526</v>
      </c>
      <c r="H220" s="553">
        <v>115.42</v>
      </c>
      <c r="I220" s="553"/>
      <c r="J220" s="553">
        <v>5.1100000000000003</v>
      </c>
      <c r="K220" s="553">
        <f t="shared" si="119"/>
        <v>589.79999999999995</v>
      </c>
      <c r="L220" s="553">
        <f>+[191]Metrados!E221</f>
        <v>0</v>
      </c>
      <c r="M220" s="553">
        <f t="shared" si="120"/>
        <v>0</v>
      </c>
      <c r="N220" s="553">
        <f t="shared" si="121"/>
        <v>0</v>
      </c>
      <c r="O220" s="553">
        <f t="shared" si="122"/>
        <v>0</v>
      </c>
      <c r="P220" s="557"/>
      <c r="Q220" s="553">
        <f t="shared" si="123"/>
        <v>0</v>
      </c>
      <c r="R220" s="553">
        <f t="shared" si="124"/>
        <v>5.1100000000000003</v>
      </c>
      <c r="S220" s="553">
        <f t="shared" si="125"/>
        <v>589.79999999999995</v>
      </c>
      <c r="T220" s="557"/>
      <c r="U220" s="553">
        <f t="shared" si="126"/>
        <v>0</v>
      </c>
      <c r="V220" s="557"/>
      <c r="Y220" s="1146"/>
      <c r="Z220" s="1144">
        <v>0</v>
      </c>
    </row>
    <row r="221" spans="2:26" ht="21" customHeight="1" x14ac:dyDescent="0.25">
      <c r="B221" s="554">
        <v>3.0999999999999979</v>
      </c>
      <c r="C221" s="584" t="e">
        <f t="shared" si="118"/>
        <v>#REF!</v>
      </c>
      <c r="D221" s="495" t="s">
        <v>569</v>
      </c>
      <c r="E221" s="511"/>
      <c r="F221" s="512"/>
      <c r="G221" s="530" t="s">
        <v>11</v>
      </c>
      <c r="H221" s="553">
        <v>279.45</v>
      </c>
      <c r="I221" s="553"/>
      <c r="J221" s="553">
        <v>143</v>
      </c>
      <c r="K221" s="553">
        <f t="shared" si="119"/>
        <v>39961.35</v>
      </c>
      <c r="L221" s="553">
        <f>+[191]Metrados!E222</f>
        <v>156</v>
      </c>
      <c r="M221" s="553">
        <f t="shared" si="120"/>
        <v>43594.2</v>
      </c>
      <c r="N221" s="553">
        <f t="shared" si="121"/>
        <v>13</v>
      </c>
      <c r="O221" s="553">
        <f t="shared" si="122"/>
        <v>3632.85</v>
      </c>
      <c r="P221" s="553"/>
      <c r="Q221" s="553">
        <f t="shared" si="123"/>
        <v>0</v>
      </c>
      <c r="R221" s="553">
        <f t="shared" si="124"/>
        <v>0</v>
      </c>
      <c r="S221" s="553">
        <f t="shared" si="125"/>
        <v>0</v>
      </c>
      <c r="T221" s="553"/>
      <c r="U221" s="553">
        <f t="shared" si="126"/>
        <v>0</v>
      </c>
      <c r="V221" s="553"/>
      <c r="Y221" s="1146"/>
      <c r="Z221" s="1144">
        <v>0</v>
      </c>
    </row>
    <row r="222" spans="2:26" ht="21" customHeight="1" x14ac:dyDescent="0.25">
      <c r="B222" s="554">
        <v>3.1099999999999977</v>
      </c>
      <c r="C222" s="584" t="e">
        <f t="shared" si="118"/>
        <v>#REF!</v>
      </c>
      <c r="D222" s="495" t="s">
        <v>568</v>
      </c>
      <c r="E222" s="496"/>
      <c r="F222" s="497"/>
      <c r="G222" s="530" t="s">
        <v>11</v>
      </c>
      <c r="H222" s="553">
        <v>270.54000000000002</v>
      </c>
      <c r="I222" s="553"/>
      <c r="J222" s="553">
        <v>7</v>
      </c>
      <c r="K222" s="553">
        <f t="shared" si="119"/>
        <v>1893.78</v>
      </c>
      <c r="L222" s="553">
        <f>+[191]Metrados!E223</f>
        <v>0</v>
      </c>
      <c r="M222" s="553">
        <f t="shared" si="120"/>
        <v>0</v>
      </c>
      <c r="N222" s="553">
        <f t="shared" si="121"/>
        <v>0</v>
      </c>
      <c r="O222" s="553">
        <f t="shared" si="122"/>
        <v>0</v>
      </c>
      <c r="P222" s="553"/>
      <c r="Q222" s="553">
        <f t="shared" si="123"/>
        <v>0</v>
      </c>
      <c r="R222" s="553">
        <f t="shared" si="124"/>
        <v>7</v>
      </c>
      <c r="S222" s="553">
        <f t="shared" si="125"/>
        <v>1893.78</v>
      </c>
      <c r="T222" s="553">
        <f>+R222</f>
        <v>7</v>
      </c>
      <c r="U222" s="553">
        <f t="shared" si="126"/>
        <v>1893.78</v>
      </c>
      <c r="V222" s="553" t="s">
        <v>865</v>
      </c>
      <c r="Y222" s="1146"/>
      <c r="Z222" s="1144">
        <v>0</v>
      </c>
    </row>
    <row r="223" spans="2:26" ht="21" customHeight="1" x14ac:dyDescent="0.25">
      <c r="B223" s="554">
        <v>3.1199999999999974</v>
      </c>
      <c r="C223" s="584" t="e">
        <f>+C218+1</f>
        <v>#REF!</v>
      </c>
      <c r="D223" s="495" t="s">
        <v>567</v>
      </c>
      <c r="E223" s="496"/>
      <c r="F223" s="497"/>
      <c r="G223" s="530" t="s">
        <v>11</v>
      </c>
      <c r="H223" s="553">
        <v>25.38</v>
      </c>
      <c r="I223" s="553"/>
      <c r="J223" s="553">
        <v>150</v>
      </c>
      <c r="K223" s="553">
        <f t="shared" si="119"/>
        <v>3807</v>
      </c>
      <c r="L223" s="553">
        <f>+[191]Metrados!E224</f>
        <v>156</v>
      </c>
      <c r="M223" s="553">
        <f t="shared" si="120"/>
        <v>3959.28</v>
      </c>
      <c r="N223" s="553">
        <f t="shared" si="121"/>
        <v>6</v>
      </c>
      <c r="O223" s="553">
        <f t="shared" si="122"/>
        <v>152.28</v>
      </c>
      <c r="P223" s="553"/>
      <c r="Q223" s="553">
        <f t="shared" si="123"/>
        <v>0</v>
      </c>
      <c r="R223" s="553">
        <f t="shared" si="124"/>
        <v>0</v>
      </c>
      <c r="S223" s="553">
        <f t="shared" si="125"/>
        <v>0</v>
      </c>
      <c r="T223" s="553"/>
      <c r="U223" s="553">
        <f t="shared" si="126"/>
        <v>0</v>
      </c>
      <c r="V223" s="553"/>
      <c r="Y223" s="1146"/>
      <c r="Z223" s="1144">
        <v>0</v>
      </c>
    </row>
    <row r="224" spans="2:26" s="547" customFormat="1" ht="21" customHeight="1" x14ac:dyDescent="0.25">
      <c r="B224" s="617">
        <v>3.1299999999999972</v>
      </c>
      <c r="C224" s="577" t="e">
        <f>+#REF!+1</f>
        <v>#REF!</v>
      </c>
      <c r="D224" s="516" t="s">
        <v>776</v>
      </c>
      <c r="E224" s="646"/>
      <c r="F224" s="636"/>
      <c r="G224" s="531" t="s">
        <v>11</v>
      </c>
      <c r="H224" s="560"/>
      <c r="I224" s="560">
        <f>+H214*0.5</f>
        <v>47.96</v>
      </c>
      <c r="J224" s="560"/>
      <c r="K224" s="560">
        <f t="shared" si="119"/>
        <v>0</v>
      </c>
      <c r="L224" s="560">
        <f>+[191]Metrados!E225</f>
        <v>4</v>
      </c>
      <c r="M224" s="560">
        <f>+ROUND($I224*L224,2)</f>
        <v>191.84</v>
      </c>
      <c r="N224" s="560"/>
      <c r="O224" s="560">
        <f t="shared" si="122"/>
        <v>0</v>
      </c>
      <c r="P224" s="560">
        <f>+L224</f>
        <v>4</v>
      </c>
      <c r="Q224" s="560">
        <f>+ROUND($I224*P224,2)</f>
        <v>191.84</v>
      </c>
      <c r="R224" s="560"/>
      <c r="S224" s="560">
        <f t="shared" si="125"/>
        <v>0</v>
      </c>
      <c r="T224" s="560"/>
      <c r="U224" s="560">
        <f t="shared" si="126"/>
        <v>0</v>
      </c>
      <c r="V224" s="560"/>
      <c r="Y224" s="1146"/>
      <c r="Z224" s="1150">
        <v>0</v>
      </c>
    </row>
    <row r="225" spans="2:26" s="547" customFormat="1" ht="21" customHeight="1" x14ac:dyDescent="0.25">
      <c r="B225" s="617">
        <v>3.139999999999997</v>
      </c>
      <c r="C225" s="577" t="e">
        <f>+#REF!+1</f>
        <v>#REF!</v>
      </c>
      <c r="D225" s="516" t="s">
        <v>777</v>
      </c>
      <c r="E225" s="646"/>
      <c r="F225" s="636"/>
      <c r="G225" s="531" t="s">
        <v>11</v>
      </c>
      <c r="H225" s="560"/>
      <c r="I225" s="560">
        <f>+H214*0.6</f>
        <v>57.552</v>
      </c>
      <c r="J225" s="560"/>
      <c r="K225" s="560">
        <f t="shared" ref="K225" si="127">+ROUND($H225*J225,2)</f>
        <v>0</v>
      </c>
      <c r="L225" s="560">
        <f>+[191]Metrados!E226</f>
        <v>11</v>
      </c>
      <c r="M225" s="560">
        <f>+ROUND($I225*L225,2)</f>
        <v>633.07000000000005</v>
      </c>
      <c r="N225" s="560"/>
      <c r="O225" s="560">
        <f t="shared" ref="O225" si="128">+ROUND($H225*N225,2)</f>
        <v>0</v>
      </c>
      <c r="P225" s="560">
        <f>+L225</f>
        <v>11</v>
      </c>
      <c r="Q225" s="560">
        <f>+ROUND($I225*P225,2)</f>
        <v>633.07000000000005</v>
      </c>
      <c r="R225" s="560"/>
      <c r="S225" s="560">
        <f t="shared" ref="S225" si="129">+ROUND($H225*R225,2)</f>
        <v>0</v>
      </c>
      <c r="T225" s="560"/>
      <c r="U225" s="560">
        <f t="shared" ref="U225" si="130">+ROUND($H225*T225,2)</f>
        <v>0</v>
      </c>
      <c r="V225" s="560"/>
      <c r="Y225" s="1146"/>
      <c r="Z225" s="1150">
        <v>0</v>
      </c>
    </row>
    <row r="226" spans="2:26" s="547" customFormat="1" ht="21" customHeight="1" x14ac:dyDescent="0.25">
      <c r="B226" s="617">
        <v>3.1499999999999968</v>
      </c>
      <c r="C226" s="577" t="e">
        <f>+#REF!+1</f>
        <v>#REF!</v>
      </c>
      <c r="D226" s="516" t="s">
        <v>778</v>
      </c>
      <c r="E226" s="646"/>
      <c r="F226" s="636"/>
      <c r="G226" s="531" t="s">
        <v>11</v>
      </c>
      <c r="H226" s="560"/>
      <c r="I226" s="560"/>
      <c r="J226" s="560"/>
      <c r="K226" s="560">
        <f t="shared" ref="K226" si="131">+ROUND($H226*J226,2)</f>
        <v>0</v>
      </c>
      <c r="L226" s="560">
        <f>+[191]Metrados!E227</f>
        <v>0</v>
      </c>
      <c r="M226" s="560">
        <f>+ROUND($I226*L226,2)</f>
        <v>0</v>
      </c>
      <c r="N226" s="560"/>
      <c r="O226" s="560">
        <f t="shared" ref="O226" si="132">+ROUND($H226*N226,2)</f>
        <v>0</v>
      </c>
      <c r="P226" s="560">
        <f>+L226</f>
        <v>0</v>
      </c>
      <c r="Q226" s="560">
        <f>+ROUND($I226*P226,2)</f>
        <v>0</v>
      </c>
      <c r="R226" s="560"/>
      <c r="S226" s="560">
        <f t="shared" ref="S226" si="133">+ROUND($H226*R226,2)</f>
        <v>0</v>
      </c>
      <c r="T226" s="560"/>
      <c r="U226" s="560">
        <f t="shared" ref="U226" si="134">+ROUND($H226*T226,2)</f>
        <v>0</v>
      </c>
      <c r="V226" s="560"/>
      <c r="Y226" s="1146"/>
      <c r="Z226" s="1150">
        <v>0</v>
      </c>
    </row>
    <row r="227" spans="2:26" s="547" customFormat="1" ht="21" customHeight="1" x14ac:dyDescent="0.25">
      <c r="B227" s="617">
        <v>3.1599999999999966</v>
      </c>
      <c r="C227" s="577" t="e">
        <f>+C224+1</f>
        <v>#REF!</v>
      </c>
      <c r="D227" s="516" t="s">
        <v>779</v>
      </c>
      <c r="E227" s="646"/>
      <c r="F227" s="636"/>
      <c r="G227" s="596" t="s">
        <v>11</v>
      </c>
      <c r="H227" s="640"/>
      <c r="I227" s="640"/>
      <c r="J227" s="560"/>
      <c r="K227" s="560">
        <f t="shared" si="119"/>
        <v>0</v>
      </c>
      <c r="L227" s="560">
        <f>+[191]Metrados!E228</f>
        <v>0</v>
      </c>
      <c r="M227" s="560">
        <f>+ROUND($I227*L227,2)</f>
        <v>0</v>
      </c>
      <c r="N227" s="560"/>
      <c r="O227" s="560">
        <f t="shared" si="122"/>
        <v>0</v>
      </c>
      <c r="P227" s="560">
        <f>+L227</f>
        <v>0</v>
      </c>
      <c r="Q227" s="560">
        <f>+ROUND($I227*P227,2)</f>
        <v>0</v>
      </c>
      <c r="R227" s="640"/>
      <c r="S227" s="560">
        <f t="shared" si="125"/>
        <v>0</v>
      </c>
      <c r="T227" s="640"/>
      <c r="U227" s="560">
        <f t="shared" si="126"/>
        <v>0</v>
      </c>
      <c r="V227" s="640"/>
      <c r="Y227" s="1146"/>
      <c r="Z227" s="1150">
        <v>0</v>
      </c>
    </row>
    <row r="228" spans="2:26" ht="21" customHeight="1" x14ac:dyDescent="0.25">
      <c r="B228" s="598"/>
      <c r="C228" s="575" t="e">
        <f t="shared" ref="C228:C237" si="135">+C227+1</f>
        <v>#REF!</v>
      </c>
      <c r="D228" s="542"/>
      <c r="E228" s="599"/>
      <c r="F228" s="544" t="str">
        <f>+"SUB-TOTAL   "&amp;B211&amp;":  "</f>
        <v xml:space="preserve">SUB-TOTAL   3:  </v>
      </c>
      <c r="G228" s="567"/>
      <c r="H228" s="540"/>
      <c r="I228" s="540"/>
      <c r="J228" s="540"/>
      <c r="K228" s="610">
        <f>+SUM(K212:K227)</f>
        <v>89325.119999999995</v>
      </c>
      <c r="L228" s="540"/>
      <c r="M228" s="610">
        <f>+SUM(M212:M227)</f>
        <v>90934.95</v>
      </c>
      <c r="N228" s="540">
        <f>+IF($L228-$J228&gt;=0,$L228-$J228,0)</f>
        <v>0</v>
      </c>
      <c r="O228" s="610">
        <f>+SUM(O212:O227)</f>
        <v>9813.3200000000015</v>
      </c>
      <c r="P228" s="540"/>
      <c r="Q228" s="610">
        <f>+SUM(Q212:Q227)</f>
        <v>824.91000000000008</v>
      </c>
      <c r="R228" s="540">
        <f>+IF($L228-$J228&lt;=0,-$L228+$J228,0)</f>
        <v>0</v>
      </c>
      <c r="S228" s="610">
        <f>+SUM(S212:S227)</f>
        <v>9028.3799999999992</v>
      </c>
      <c r="T228" s="540"/>
      <c r="U228" s="610">
        <f>+SUM(U212:U227)</f>
        <v>7795.2</v>
      </c>
      <c r="V228" s="540"/>
      <c r="Y228" s="1146"/>
      <c r="Z228" s="1144">
        <v>0</v>
      </c>
    </row>
    <row r="229" spans="2:26" ht="21" customHeight="1" x14ac:dyDescent="0.25">
      <c r="B229" s="439">
        <v>4</v>
      </c>
      <c r="C229" s="480" t="e">
        <f t="shared" si="135"/>
        <v>#REF!</v>
      </c>
      <c r="D229" s="441" t="s">
        <v>30</v>
      </c>
      <c r="E229" s="486"/>
      <c r="F229" s="461"/>
      <c r="G229" s="440"/>
      <c r="H229" s="438"/>
      <c r="I229" s="438"/>
      <c r="J229" s="438"/>
      <c r="K229" s="600"/>
      <c r="L229" s="756"/>
      <c r="M229" s="600"/>
      <c r="N229" s="536"/>
      <c r="O229" s="600"/>
      <c r="P229" s="536"/>
      <c r="Q229" s="600"/>
      <c r="R229" s="536"/>
      <c r="S229" s="600"/>
      <c r="T229" s="536"/>
      <c r="U229" s="600"/>
      <c r="V229" s="536"/>
      <c r="Y229" s="1146"/>
      <c r="Z229" s="1144">
        <v>0</v>
      </c>
    </row>
    <row r="230" spans="2:26" ht="21" customHeight="1" x14ac:dyDescent="0.25">
      <c r="B230" s="554">
        <v>4.01</v>
      </c>
      <c r="C230" s="584" t="e">
        <f t="shared" si="135"/>
        <v>#REF!</v>
      </c>
      <c r="D230" s="495" t="s">
        <v>537</v>
      </c>
      <c r="E230" s="511"/>
      <c r="F230" s="512"/>
      <c r="G230" s="530" t="s">
        <v>526</v>
      </c>
      <c r="H230" s="553">
        <v>61.15</v>
      </c>
      <c r="I230" s="553"/>
      <c r="J230" s="553">
        <v>69.44</v>
      </c>
      <c r="K230" s="553">
        <f t="shared" ref="K230:K237" si="136">+ROUND($H230*J230,2)</f>
        <v>4246.26</v>
      </c>
      <c r="L230" s="553">
        <f>+[191]Metrados!E231</f>
        <v>87.36</v>
      </c>
      <c r="M230" s="553">
        <f t="shared" ref="M230:M237" si="137">+ROUND($H230*L230,2)</f>
        <v>5342.06</v>
      </c>
      <c r="N230" s="553">
        <f t="shared" ref="N230:N237" si="138">+IF($L230-$J230&gt;=0,$L230-$J230,0)</f>
        <v>17.920000000000002</v>
      </c>
      <c r="O230" s="553">
        <f t="shared" ref="O230:O237" si="139">+ROUND($H230*N230,2)</f>
        <v>1095.81</v>
      </c>
      <c r="P230" s="553"/>
      <c r="Q230" s="553">
        <f t="shared" ref="Q230:Q237" si="140">+ROUND($H230*P230,2)</f>
        <v>0</v>
      </c>
      <c r="R230" s="553">
        <f t="shared" ref="R230:R237" si="141">+IF($L230-$J230&lt;=0,-$L230+$J230,0)</f>
        <v>0</v>
      </c>
      <c r="S230" s="553">
        <f t="shared" ref="S230:S237" si="142">+ROUND($H230*R230,2)</f>
        <v>0</v>
      </c>
      <c r="T230" s="553"/>
      <c r="U230" s="553">
        <f t="shared" ref="U230:U237" si="143">+ROUND($H230*T230,2)</f>
        <v>0</v>
      </c>
      <c r="V230" s="553"/>
      <c r="Y230" s="1146"/>
      <c r="Z230" s="1144">
        <v>0</v>
      </c>
    </row>
    <row r="231" spans="2:26" ht="21" customHeight="1" x14ac:dyDescent="0.25">
      <c r="B231" s="554">
        <v>4.0199999999999996</v>
      </c>
      <c r="C231" s="576" t="e">
        <f t="shared" si="135"/>
        <v>#REF!</v>
      </c>
      <c r="D231" s="495" t="s">
        <v>536</v>
      </c>
      <c r="E231" s="496"/>
      <c r="F231" s="497"/>
      <c r="G231" s="530" t="s">
        <v>526</v>
      </c>
      <c r="H231" s="553">
        <v>208.14</v>
      </c>
      <c r="I231" s="553"/>
      <c r="J231" s="553">
        <v>4.4800000000000004</v>
      </c>
      <c r="K231" s="553">
        <f t="shared" si="136"/>
        <v>932.47</v>
      </c>
      <c r="L231" s="553">
        <f>+[191]Metrados!E232</f>
        <v>5.6</v>
      </c>
      <c r="M231" s="553">
        <f t="shared" si="137"/>
        <v>1165.58</v>
      </c>
      <c r="N231" s="553">
        <f t="shared" si="138"/>
        <v>1.1199999999999992</v>
      </c>
      <c r="O231" s="553">
        <f t="shared" si="139"/>
        <v>233.12</v>
      </c>
      <c r="P231" s="553"/>
      <c r="Q231" s="553">
        <f t="shared" si="140"/>
        <v>0</v>
      </c>
      <c r="R231" s="553">
        <f t="shared" si="141"/>
        <v>0</v>
      </c>
      <c r="S231" s="553">
        <f t="shared" si="142"/>
        <v>0</v>
      </c>
      <c r="T231" s="553"/>
      <c r="U231" s="553">
        <f t="shared" si="143"/>
        <v>0</v>
      </c>
      <c r="V231" s="553"/>
      <c r="Y231" s="1146"/>
      <c r="Z231" s="1144">
        <v>0</v>
      </c>
    </row>
    <row r="232" spans="2:26" ht="21" customHeight="1" x14ac:dyDescent="0.25">
      <c r="B232" s="554">
        <v>4.0299999999999994</v>
      </c>
      <c r="C232" s="576" t="e">
        <f t="shared" si="135"/>
        <v>#REF!</v>
      </c>
      <c r="D232" s="495" t="s">
        <v>566</v>
      </c>
      <c r="E232" s="496"/>
      <c r="F232" s="497"/>
      <c r="G232" s="530" t="s">
        <v>11</v>
      </c>
      <c r="H232" s="553">
        <v>87.45</v>
      </c>
      <c r="I232" s="553"/>
      <c r="J232" s="553">
        <v>36</v>
      </c>
      <c r="K232" s="553">
        <f t="shared" si="136"/>
        <v>3148.2</v>
      </c>
      <c r="L232" s="553">
        <f>+[191]Metrados!E233</f>
        <v>83</v>
      </c>
      <c r="M232" s="553">
        <f t="shared" si="137"/>
        <v>7258.35</v>
      </c>
      <c r="N232" s="553">
        <f t="shared" si="138"/>
        <v>47</v>
      </c>
      <c r="O232" s="553">
        <f t="shared" si="139"/>
        <v>4110.1499999999996</v>
      </c>
      <c r="P232" s="553"/>
      <c r="Q232" s="553">
        <f t="shared" si="140"/>
        <v>0</v>
      </c>
      <c r="R232" s="553">
        <f t="shared" si="141"/>
        <v>0</v>
      </c>
      <c r="S232" s="553">
        <f t="shared" si="142"/>
        <v>0</v>
      </c>
      <c r="T232" s="553"/>
      <c r="U232" s="553">
        <f t="shared" si="143"/>
        <v>0</v>
      </c>
      <c r="V232" s="553"/>
      <c r="Y232" s="1146"/>
      <c r="Z232" s="1144">
        <v>0</v>
      </c>
    </row>
    <row r="233" spans="2:26" ht="21" customHeight="1" x14ac:dyDescent="0.25">
      <c r="B233" s="554">
        <v>4.0399999999999991</v>
      </c>
      <c r="C233" s="576" t="e">
        <f t="shared" si="135"/>
        <v>#REF!</v>
      </c>
      <c r="D233" s="495" t="s">
        <v>565</v>
      </c>
      <c r="E233" s="513"/>
      <c r="F233" s="499"/>
      <c r="G233" s="530" t="s">
        <v>11</v>
      </c>
      <c r="H233" s="553">
        <v>103.71</v>
      </c>
      <c r="I233" s="553"/>
      <c r="J233" s="553">
        <v>18</v>
      </c>
      <c r="K233" s="553">
        <f t="shared" si="136"/>
        <v>1866.78</v>
      </c>
      <c r="L233" s="553">
        <f>+[191]Metrados!E234</f>
        <v>0</v>
      </c>
      <c r="M233" s="553">
        <f t="shared" si="137"/>
        <v>0</v>
      </c>
      <c r="N233" s="553">
        <f t="shared" si="138"/>
        <v>0</v>
      </c>
      <c r="O233" s="553">
        <f t="shared" si="139"/>
        <v>0</v>
      </c>
      <c r="P233" s="557"/>
      <c r="Q233" s="553">
        <f t="shared" si="140"/>
        <v>0</v>
      </c>
      <c r="R233" s="553">
        <f t="shared" si="141"/>
        <v>18</v>
      </c>
      <c r="S233" s="553">
        <f t="shared" si="142"/>
        <v>1866.78</v>
      </c>
      <c r="T233" s="553">
        <f>+R233</f>
        <v>18</v>
      </c>
      <c r="U233" s="553">
        <f t="shared" si="143"/>
        <v>1866.78</v>
      </c>
      <c r="V233" s="553" t="s">
        <v>845</v>
      </c>
      <c r="Y233" s="1146"/>
      <c r="Z233" s="1144">
        <v>0</v>
      </c>
    </row>
    <row r="234" spans="2:26" ht="21" customHeight="1" x14ac:dyDescent="0.25">
      <c r="B234" s="554">
        <v>4.0499999999999989</v>
      </c>
      <c r="C234" s="584" t="e">
        <f t="shared" si="135"/>
        <v>#REF!</v>
      </c>
      <c r="D234" s="495" t="s">
        <v>564</v>
      </c>
      <c r="E234" s="511"/>
      <c r="F234" s="512"/>
      <c r="G234" s="530" t="s">
        <v>11</v>
      </c>
      <c r="H234" s="553">
        <v>96.37</v>
      </c>
      <c r="I234" s="553"/>
      <c r="J234" s="553">
        <v>11</v>
      </c>
      <c r="K234" s="553">
        <f t="shared" si="136"/>
        <v>1060.07</v>
      </c>
      <c r="L234" s="553">
        <f>+[191]Metrados!E235</f>
        <v>0</v>
      </c>
      <c r="M234" s="553">
        <f t="shared" si="137"/>
        <v>0</v>
      </c>
      <c r="N234" s="553">
        <f t="shared" si="138"/>
        <v>0</v>
      </c>
      <c r="O234" s="553">
        <f t="shared" si="139"/>
        <v>0</v>
      </c>
      <c r="P234" s="553"/>
      <c r="Q234" s="553">
        <f t="shared" si="140"/>
        <v>0</v>
      </c>
      <c r="R234" s="553">
        <f t="shared" si="141"/>
        <v>11</v>
      </c>
      <c r="S234" s="553">
        <f t="shared" si="142"/>
        <v>1060.07</v>
      </c>
      <c r="T234" s="553">
        <f>+R234</f>
        <v>11</v>
      </c>
      <c r="U234" s="553">
        <f t="shared" si="143"/>
        <v>1060.07</v>
      </c>
      <c r="V234" s="553" t="s">
        <v>845</v>
      </c>
      <c r="Y234" s="1146"/>
      <c r="Z234" s="1144">
        <v>0</v>
      </c>
    </row>
    <row r="235" spans="2:26" ht="21" customHeight="1" x14ac:dyDescent="0.25">
      <c r="B235" s="554">
        <v>4.0599999999999987</v>
      </c>
      <c r="C235" s="584" t="e">
        <f t="shared" si="135"/>
        <v>#REF!</v>
      </c>
      <c r="D235" s="495" t="s">
        <v>563</v>
      </c>
      <c r="E235" s="496"/>
      <c r="F235" s="497"/>
      <c r="G235" s="530" t="s">
        <v>11</v>
      </c>
      <c r="H235" s="553">
        <v>114.54</v>
      </c>
      <c r="I235" s="553"/>
      <c r="J235" s="553">
        <v>1</v>
      </c>
      <c r="K235" s="553">
        <f t="shared" si="136"/>
        <v>114.54</v>
      </c>
      <c r="L235" s="553">
        <f>+[191]Metrados!E236</f>
        <v>0</v>
      </c>
      <c r="M235" s="553">
        <f t="shared" si="137"/>
        <v>0</v>
      </c>
      <c r="N235" s="553">
        <f t="shared" si="138"/>
        <v>0</v>
      </c>
      <c r="O235" s="553">
        <f t="shared" si="139"/>
        <v>0</v>
      </c>
      <c r="P235" s="553"/>
      <c r="Q235" s="553">
        <f t="shared" si="140"/>
        <v>0</v>
      </c>
      <c r="R235" s="553">
        <f t="shared" si="141"/>
        <v>1</v>
      </c>
      <c r="S235" s="553">
        <f t="shared" si="142"/>
        <v>114.54</v>
      </c>
      <c r="T235" s="553">
        <f>+R235</f>
        <v>1</v>
      </c>
      <c r="U235" s="553">
        <f t="shared" si="143"/>
        <v>114.54</v>
      </c>
      <c r="V235" s="553" t="s">
        <v>845</v>
      </c>
      <c r="Y235" s="1146"/>
      <c r="Z235" s="1144">
        <v>0</v>
      </c>
    </row>
    <row r="236" spans="2:26" ht="21" customHeight="1" x14ac:dyDescent="0.25">
      <c r="B236" s="554">
        <v>4.0699999999999985</v>
      </c>
      <c r="C236" s="584" t="e">
        <f t="shared" si="135"/>
        <v>#REF!</v>
      </c>
      <c r="D236" s="495" t="s">
        <v>31</v>
      </c>
      <c r="E236" s="496"/>
      <c r="F236" s="497"/>
      <c r="G236" s="530" t="s">
        <v>526</v>
      </c>
      <c r="H236" s="553">
        <v>90.22</v>
      </c>
      <c r="I236" s="553"/>
      <c r="J236" s="553">
        <v>68.2</v>
      </c>
      <c r="K236" s="553">
        <f t="shared" si="136"/>
        <v>6153</v>
      </c>
      <c r="L236" s="553">
        <f>+[191]Metrados!E237</f>
        <v>85.8</v>
      </c>
      <c r="M236" s="553">
        <f t="shared" si="137"/>
        <v>7740.88</v>
      </c>
      <c r="N236" s="553">
        <f t="shared" si="138"/>
        <v>17.599999999999994</v>
      </c>
      <c r="O236" s="553">
        <f t="shared" si="139"/>
        <v>1587.87</v>
      </c>
      <c r="P236" s="553"/>
      <c r="Q236" s="553">
        <f t="shared" si="140"/>
        <v>0</v>
      </c>
      <c r="R236" s="553">
        <f t="shared" si="141"/>
        <v>0</v>
      </c>
      <c r="S236" s="553">
        <f t="shared" si="142"/>
        <v>0</v>
      </c>
      <c r="T236" s="553"/>
      <c r="U236" s="553">
        <f t="shared" si="143"/>
        <v>0</v>
      </c>
      <c r="V236" s="553"/>
      <c r="Y236" s="1146"/>
      <c r="Z236" s="1144">
        <v>0</v>
      </c>
    </row>
    <row r="237" spans="2:26" ht="21" customHeight="1" x14ac:dyDescent="0.25">
      <c r="B237" s="554">
        <v>4.0799999999999983</v>
      </c>
      <c r="C237" s="576" t="e">
        <f t="shared" si="135"/>
        <v>#REF!</v>
      </c>
      <c r="D237" s="495" t="s">
        <v>391</v>
      </c>
      <c r="E237" s="496"/>
      <c r="F237" s="497"/>
      <c r="G237" s="530" t="s">
        <v>526</v>
      </c>
      <c r="H237" s="553">
        <v>96.57</v>
      </c>
      <c r="I237" s="553"/>
      <c r="J237" s="553">
        <v>4.4000000000000004</v>
      </c>
      <c r="K237" s="553">
        <f t="shared" si="136"/>
        <v>424.91</v>
      </c>
      <c r="L237" s="553">
        <f>+[191]Metrados!E238</f>
        <v>5.5</v>
      </c>
      <c r="M237" s="553">
        <f t="shared" si="137"/>
        <v>531.14</v>
      </c>
      <c r="N237" s="553">
        <f t="shared" si="138"/>
        <v>1.0999999999999996</v>
      </c>
      <c r="O237" s="553">
        <f t="shared" si="139"/>
        <v>106.23</v>
      </c>
      <c r="P237" s="553"/>
      <c r="Q237" s="553">
        <f t="shared" si="140"/>
        <v>0</v>
      </c>
      <c r="R237" s="553">
        <f t="shared" si="141"/>
        <v>0</v>
      </c>
      <c r="S237" s="553">
        <f t="shared" si="142"/>
        <v>0</v>
      </c>
      <c r="T237" s="553"/>
      <c r="U237" s="553">
        <f t="shared" si="143"/>
        <v>0</v>
      </c>
      <c r="V237" s="553"/>
      <c r="Y237" s="1146"/>
      <c r="Z237" s="1144">
        <v>0</v>
      </c>
    </row>
    <row r="238" spans="2:26" ht="21" customHeight="1" x14ac:dyDescent="0.25">
      <c r="B238" s="598"/>
      <c r="C238" s="575" t="e">
        <f>+#REF!+1</f>
        <v>#REF!</v>
      </c>
      <c r="D238" s="542"/>
      <c r="E238" s="599"/>
      <c r="F238" s="544" t="str">
        <f>+"SUB-TOTAL   "&amp;B229&amp;":  "</f>
        <v xml:space="preserve">SUB-TOTAL   4:  </v>
      </c>
      <c r="G238" s="567"/>
      <c r="H238" s="540"/>
      <c r="I238" s="540"/>
      <c r="J238" s="540"/>
      <c r="K238" s="610">
        <f>+SUM(K230:K237)</f>
        <v>17946.23</v>
      </c>
      <c r="L238" s="540"/>
      <c r="M238" s="610">
        <f>+SUM(M230:M237)</f>
        <v>22038.010000000002</v>
      </c>
      <c r="N238" s="540">
        <f>+IF($L238-$J238&gt;=0,$L238-$J238,0)</f>
        <v>0</v>
      </c>
      <c r="O238" s="610">
        <f>+SUM(O230:O237)</f>
        <v>7133.1799999999994</v>
      </c>
      <c r="P238" s="540"/>
      <c r="Q238" s="610">
        <f>+SUM(Q230:Q237)</f>
        <v>0</v>
      </c>
      <c r="R238" s="540">
        <f>+IF($L238-$J238&lt;=0,-$L238+$J238,0)</f>
        <v>0</v>
      </c>
      <c r="S238" s="610">
        <f>+SUM(S230:S237)</f>
        <v>3041.39</v>
      </c>
      <c r="T238" s="540"/>
      <c r="U238" s="610">
        <f>+SUM(U230:U237)</f>
        <v>3041.39</v>
      </c>
      <c r="V238" s="540"/>
      <c r="Y238" s="1146"/>
      <c r="Z238" s="1144">
        <v>0</v>
      </c>
    </row>
    <row r="239" spans="2:26" ht="21" customHeight="1" x14ac:dyDescent="0.25">
      <c r="B239" s="439">
        <v>5</v>
      </c>
      <c r="C239" s="482" t="e">
        <f t="shared" ref="C239:C261" si="144">+C238+1</f>
        <v>#REF!</v>
      </c>
      <c r="D239" s="441" t="s">
        <v>32</v>
      </c>
      <c r="E239" s="487"/>
      <c r="F239" s="469"/>
      <c r="G239" s="440"/>
      <c r="H239" s="438"/>
      <c r="I239" s="438"/>
      <c r="J239" s="438"/>
      <c r="K239" s="470"/>
      <c r="L239" s="756"/>
      <c r="M239" s="470"/>
      <c r="N239" s="470"/>
      <c r="O239" s="470"/>
      <c r="P239" s="470"/>
      <c r="Q239" s="470"/>
      <c r="R239" s="470"/>
      <c r="S239" s="470"/>
      <c r="T239" s="470"/>
      <c r="U239" s="470"/>
      <c r="V239" s="470"/>
      <c r="Y239" s="1146"/>
      <c r="Z239" s="1144">
        <v>0</v>
      </c>
    </row>
    <row r="240" spans="2:26" ht="21" customHeight="1" x14ac:dyDescent="0.25">
      <c r="B240" s="554">
        <v>5.01</v>
      </c>
      <c r="C240" s="577" t="e">
        <f t="shared" si="144"/>
        <v>#REF!</v>
      </c>
      <c r="D240" s="495" t="s">
        <v>562</v>
      </c>
      <c r="E240" s="517"/>
      <c r="F240" s="518"/>
      <c r="G240" s="530" t="s">
        <v>18</v>
      </c>
      <c r="H240" s="553">
        <v>61.22</v>
      </c>
      <c r="I240" s="553"/>
      <c r="J240" s="553">
        <v>2</v>
      </c>
      <c r="K240" s="553">
        <f t="shared" ref="K240:K275" si="145">+ROUND($H240*J240,2)</f>
        <v>122.44</v>
      </c>
      <c r="L240" s="553">
        <f>+[191]Metrados!E241</f>
        <v>7</v>
      </c>
      <c r="M240" s="553">
        <f t="shared" ref="M240:M261" si="146">+ROUND($H240*L240,2)</f>
        <v>428.54</v>
      </c>
      <c r="N240" s="553">
        <f t="shared" ref="N240:N261" si="147">+IF($L240-$J240&gt;=0,$L240-$J240,0)</f>
        <v>5</v>
      </c>
      <c r="O240" s="553">
        <f t="shared" ref="O240:O275" si="148">+ROUND($H240*N240,2)</f>
        <v>306.10000000000002</v>
      </c>
      <c r="P240" s="553"/>
      <c r="Q240" s="553">
        <f t="shared" ref="Q240:Q261" si="149">+ROUND($H240*P240,2)</f>
        <v>0</v>
      </c>
      <c r="R240" s="553">
        <f t="shared" ref="R240:R261" si="150">+IF($L240-$J240&lt;=0,-$L240+$J240,0)</f>
        <v>0</v>
      </c>
      <c r="S240" s="553">
        <f t="shared" ref="S240:S275" si="151">+ROUND($H240*R240,2)</f>
        <v>0</v>
      </c>
      <c r="T240" s="553"/>
      <c r="U240" s="553">
        <f t="shared" ref="U240:U275" si="152">+ROUND($H240*T240,2)</f>
        <v>0</v>
      </c>
      <c r="V240" s="553"/>
      <c r="Y240" s="1146"/>
      <c r="Z240" s="1144">
        <v>0</v>
      </c>
    </row>
    <row r="241" spans="2:26" ht="21" customHeight="1" x14ac:dyDescent="0.25">
      <c r="B241" s="554">
        <v>5.0199999999999996</v>
      </c>
      <c r="C241" s="577" t="e">
        <f t="shared" si="144"/>
        <v>#REF!</v>
      </c>
      <c r="D241" s="495" t="s">
        <v>561</v>
      </c>
      <c r="E241" s="519"/>
      <c r="F241" s="520"/>
      <c r="G241" s="530" t="s">
        <v>18</v>
      </c>
      <c r="H241" s="606">
        <v>57.34</v>
      </c>
      <c r="I241" s="606"/>
      <c r="J241" s="553">
        <v>1</v>
      </c>
      <c r="K241" s="553">
        <f t="shared" si="145"/>
        <v>57.34</v>
      </c>
      <c r="L241" s="553">
        <f>+[191]Metrados!E242</f>
        <v>0</v>
      </c>
      <c r="M241" s="553">
        <f t="shared" si="146"/>
        <v>0</v>
      </c>
      <c r="N241" s="553">
        <f t="shared" si="147"/>
        <v>0</v>
      </c>
      <c r="O241" s="553">
        <f t="shared" si="148"/>
        <v>0</v>
      </c>
      <c r="P241" s="606"/>
      <c r="Q241" s="553">
        <f t="shared" si="149"/>
        <v>0</v>
      </c>
      <c r="R241" s="553">
        <f t="shared" si="150"/>
        <v>1</v>
      </c>
      <c r="S241" s="553">
        <f t="shared" si="151"/>
        <v>57.34</v>
      </c>
      <c r="T241" s="606">
        <f>+R241</f>
        <v>1</v>
      </c>
      <c r="U241" s="553">
        <f t="shared" si="152"/>
        <v>57.34</v>
      </c>
      <c r="V241" s="606"/>
      <c r="Y241" s="1146"/>
      <c r="Z241" s="1144">
        <v>0</v>
      </c>
    </row>
    <row r="242" spans="2:26" ht="21" customHeight="1" x14ac:dyDescent="0.25">
      <c r="B242" s="554">
        <v>5.0299999999999994</v>
      </c>
      <c r="C242" s="584" t="e">
        <f t="shared" si="144"/>
        <v>#REF!</v>
      </c>
      <c r="D242" s="495" t="s">
        <v>560</v>
      </c>
      <c r="E242" s="521"/>
      <c r="F242" s="522"/>
      <c r="G242" s="530" t="s">
        <v>18</v>
      </c>
      <c r="H242" s="553">
        <v>66.02</v>
      </c>
      <c r="I242" s="553"/>
      <c r="J242" s="553">
        <v>11</v>
      </c>
      <c r="K242" s="553">
        <f t="shared" si="145"/>
        <v>726.22</v>
      </c>
      <c r="L242" s="553">
        <f>+[191]Metrados!E243</f>
        <v>7</v>
      </c>
      <c r="M242" s="553">
        <f t="shared" si="146"/>
        <v>462.14</v>
      </c>
      <c r="N242" s="553">
        <f t="shared" si="147"/>
        <v>0</v>
      </c>
      <c r="O242" s="553">
        <f t="shared" si="148"/>
        <v>0</v>
      </c>
      <c r="P242" s="553"/>
      <c r="Q242" s="553">
        <f t="shared" si="149"/>
        <v>0</v>
      </c>
      <c r="R242" s="553">
        <f t="shared" si="150"/>
        <v>4</v>
      </c>
      <c r="S242" s="553">
        <f t="shared" si="151"/>
        <v>264.08</v>
      </c>
      <c r="T242" s="606">
        <f t="shared" ref="T242:T245" si="153">+R242</f>
        <v>4</v>
      </c>
      <c r="U242" s="553">
        <f t="shared" si="152"/>
        <v>264.08</v>
      </c>
      <c r="V242" s="553"/>
      <c r="Y242" s="1146"/>
      <c r="Z242" s="1144">
        <v>0</v>
      </c>
    </row>
    <row r="243" spans="2:26" ht="21" customHeight="1" x14ac:dyDescent="0.25">
      <c r="B243" s="554">
        <v>5.0399999999999991</v>
      </c>
      <c r="C243" s="584" t="e">
        <f t="shared" si="144"/>
        <v>#REF!</v>
      </c>
      <c r="D243" s="495" t="s">
        <v>559</v>
      </c>
      <c r="E243" s="521"/>
      <c r="F243" s="522"/>
      <c r="G243" s="530" t="s">
        <v>18</v>
      </c>
      <c r="H243" s="553">
        <v>80.37</v>
      </c>
      <c r="I243" s="553"/>
      <c r="J243" s="553">
        <v>9</v>
      </c>
      <c r="K243" s="553">
        <f t="shared" si="145"/>
        <v>723.33</v>
      </c>
      <c r="L243" s="553">
        <f>+[191]Metrados!E244</f>
        <v>3</v>
      </c>
      <c r="M243" s="553">
        <f t="shared" si="146"/>
        <v>241.11</v>
      </c>
      <c r="N243" s="553">
        <f t="shared" si="147"/>
        <v>0</v>
      </c>
      <c r="O243" s="553">
        <f t="shared" si="148"/>
        <v>0</v>
      </c>
      <c r="P243" s="553"/>
      <c r="Q243" s="553">
        <f t="shared" si="149"/>
        <v>0</v>
      </c>
      <c r="R243" s="553">
        <f t="shared" si="150"/>
        <v>6</v>
      </c>
      <c r="S243" s="553">
        <f t="shared" si="151"/>
        <v>482.22</v>
      </c>
      <c r="T243" s="606">
        <f t="shared" si="153"/>
        <v>6</v>
      </c>
      <c r="U243" s="553">
        <f t="shared" si="152"/>
        <v>482.22</v>
      </c>
      <c r="V243" s="553"/>
      <c r="Y243" s="1146"/>
      <c r="Z243" s="1144">
        <v>0</v>
      </c>
    </row>
    <row r="244" spans="2:26" ht="21" customHeight="1" x14ac:dyDescent="0.25">
      <c r="B244" s="554">
        <v>5.0499999999999989</v>
      </c>
      <c r="C244" s="584" t="e">
        <f t="shared" si="144"/>
        <v>#REF!</v>
      </c>
      <c r="D244" s="495" t="s">
        <v>558</v>
      </c>
      <c r="E244" s="493"/>
      <c r="F244" s="494"/>
      <c r="G244" s="530" t="s">
        <v>18</v>
      </c>
      <c r="H244" s="553">
        <v>102.97</v>
      </c>
      <c r="I244" s="553"/>
      <c r="J244" s="553">
        <v>80</v>
      </c>
      <c r="K244" s="553">
        <f t="shared" si="145"/>
        <v>8237.6</v>
      </c>
      <c r="L244" s="553">
        <f>+[191]Metrados!E245</f>
        <v>18</v>
      </c>
      <c r="M244" s="553">
        <f t="shared" si="146"/>
        <v>1853.46</v>
      </c>
      <c r="N244" s="553">
        <f t="shared" si="147"/>
        <v>0</v>
      </c>
      <c r="O244" s="553">
        <f t="shared" si="148"/>
        <v>0</v>
      </c>
      <c r="P244" s="553"/>
      <c r="Q244" s="553">
        <f t="shared" si="149"/>
        <v>0</v>
      </c>
      <c r="R244" s="553">
        <f t="shared" si="150"/>
        <v>62</v>
      </c>
      <c r="S244" s="553">
        <f t="shared" si="151"/>
        <v>6384.14</v>
      </c>
      <c r="T244" s="606">
        <f t="shared" si="153"/>
        <v>62</v>
      </c>
      <c r="U244" s="553">
        <f t="shared" si="152"/>
        <v>6384.14</v>
      </c>
      <c r="V244" s="553"/>
      <c r="Y244" s="1146"/>
      <c r="Z244" s="1144">
        <v>0</v>
      </c>
    </row>
    <row r="245" spans="2:26" ht="21" customHeight="1" x14ac:dyDescent="0.25">
      <c r="B245" s="554">
        <v>5.0599999999999987</v>
      </c>
      <c r="C245" s="584" t="e">
        <f t="shared" si="144"/>
        <v>#REF!</v>
      </c>
      <c r="D245" s="495" t="s">
        <v>557</v>
      </c>
      <c r="E245" s="523"/>
      <c r="F245" s="524"/>
      <c r="G245" s="530" t="s">
        <v>18</v>
      </c>
      <c r="H245" s="553">
        <v>31.21</v>
      </c>
      <c r="I245" s="553"/>
      <c r="J245" s="553">
        <v>7</v>
      </c>
      <c r="K245" s="553">
        <f t="shared" si="145"/>
        <v>218.47</v>
      </c>
      <c r="L245" s="553">
        <f>+[191]Metrados!E246</f>
        <v>5</v>
      </c>
      <c r="M245" s="553">
        <f t="shared" si="146"/>
        <v>156.05000000000001</v>
      </c>
      <c r="N245" s="553">
        <f t="shared" si="147"/>
        <v>0</v>
      </c>
      <c r="O245" s="553">
        <f t="shared" si="148"/>
        <v>0</v>
      </c>
      <c r="P245" s="553"/>
      <c r="Q245" s="553">
        <f t="shared" si="149"/>
        <v>0</v>
      </c>
      <c r="R245" s="553">
        <f t="shared" si="150"/>
        <v>2</v>
      </c>
      <c r="S245" s="553">
        <f t="shared" si="151"/>
        <v>62.42</v>
      </c>
      <c r="T245" s="606">
        <f t="shared" si="153"/>
        <v>2</v>
      </c>
      <c r="U245" s="553">
        <f t="shared" si="152"/>
        <v>62.42</v>
      </c>
      <c r="V245" s="553"/>
      <c r="Y245" s="1146"/>
      <c r="Z245" s="1144">
        <v>0</v>
      </c>
    </row>
    <row r="246" spans="2:26" ht="21" customHeight="1" x14ac:dyDescent="0.25">
      <c r="B246" s="554">
        <v>5.0699999999999985</v>
      </c>
      <c r="C246" s="584" t="e">
        <f t="shared" si="144"/>
        <v>#REF!</v>
      </c>
      <c r="D246" s="495" t="s">
        <v>556</v>
      </c>
      <c r="E246" s="523"/>
      <c r="F246" s="524"/>
      <c r="G246" s="530" t="s">
        <v>18</v>
      </c>
      <c r="H246" s="553">
        <v>95.86</v>
      </c>
      <c r="I246" s="553"/>
      <c r="J246" s="553">
        <v>1</v>
      </c>
      <c r="K246" s="553">
        <f t="shared" si="145"/>
        <v>95.86</v>
      </c>
      <c r="L246" s="553">
        <f>+[191]Metrados!E247</f>
        <v>1</v>
      </c>
      <c r="M246" s="553">
        <f t="shared" si="146"/>
        <v>95.86</v>
      </c>
      <c r="N246" s="553">
        <f t="shared" si="147"/>
        <v>0</v>
      </c>
      <c r="O246" s="553">
        <f t="shared" si="148"/>
        <v>0</v>
      </c>
      <c r="P246" s="553"/>
      <c r="Q246" s="553">
        <f t="shared" si="149"/>
        <v>0</v>
      </c>
      <c r="R246" s="553">
        <f t="shared" si="150"/>
        <v>0</v>
      </c>
      <c r="S246" s="553">
        <f t="shared" si="151"/>
        <v>0</v>
      </c>
      <c r="T246" s="553"/>
      <c r="U246" s="553">
        <f t="shared" si="152"/>
        <v>0</v>
      </c>
      <c r="V246" s="553"/>
      <c r="Y246" s="1146"/>
      <c r="Z246" s="1144">
        <v>0</v>
      </c>
    </row>
    <row r="247" spans="2:26" ht="21" customHeight="1" x14ac:dyDescent="0.25">
      <c r="B247" s="554">
        <v>5.0799999999999983</v>
      </c>
      <c r="C247" s="577" t="e">
        <f t="shared" si="144"/>
        <v>#REF!</v>
      </c>
      <c r="D247" s="495" t="s">
        <v>555</v>
      </c>
      <c r="E247" s="517"/>
      <c r="F247" s="518"/>
      <c r="G247" s="530" t="s">
        <v>18</v>
      </c>
      <c r="H247" s="553">
        <v>110.21</v>
      </c>
      <c r="I247" s="553"/>
      <c r="J247" s="553">
        <v>1</v>
      </c>
      <c r="K247" s="553">
        <f t="shared" si="145"/>
        <v>110.21</v>
      </c>
      <c r="L247" s="553">
        <f>+[191]Metrados!E248</f>
        <v>1</v>
      </c>
      <c r="M247" s="553">
        <f t="shared" si="146"/>
        <v>110.21</v>
      </c>
      <c r="N247" s="553">
        <f t="shared" si="147"/>
        <v>0</v>
      </c>
      <c r="O247" s="553">
        <f t="shared" si="148"/>
        <v>0</v>
      </c>
      <c r="P247" s="553"/>
      <c r="Q247" s="553">
        <f t="shared" si="149"/>
        <v>0</v>
      </c>
      <c r="R247" s="553">
        <f t="shared" si="150"/>
        <v>0</v>
      </c>
      <c r="S247" s="553">
        <f t="shared" si="151"/>
        <v>0</v>
      </c>
      <c r="T247" s="553"/>
      <c r="U247" s="553">
        <f t="shared" si="152"/>
        <v>0</v>
      </c>
      <c r="V247" s="553"/>
      <c r="Y247" s="1146"/>
      <c r="Z247" s="1144">
        <v>0</v>
      </c>
    </row>
    <row r="248" spans="2:26" ht="21" customHeight="1" x14ac:dyDescent="0.25">
      <c r="B248" s="554">
        <v>5.0899999999999981</v>
      </c>
      <c r="C248" s="577" t="e">
        <f t="shared" si="144"/>
        <v>#REF!</v>
      </c>
      <c r="D248" s="495" t="s">
        <v>554</v>
      </c>
      <c r="E248" s="519"/>
      <c r="F248" s="520"/>
      <c r="G248" s="530" t="s">
        <v>18</v>
      </c>
      <c r="H248" s="606">
        <v>50.37</v>
      </c>
      <c r="I248" s="606"/>
      <c r="J248" s="553">
        <v>33</v>
      </c>
      <c r="K248" s="553">
        <f t="shared" si="145"/>
        <v>1662.21</v>
      </c>
      <c r="L248" s="553">
        <f>+[191]Metrados!E249</f>
        <v>3</v>
      </c>
      <c r="M248" s="553">
        <f t="shared" si="146"/>
        <v>151.11000000000001</v>
      </c>
      <c r="N248" s="553">
        <f t="shared" si="147"/>
        <v>0</v>
      </c>
      <c r="O248" s="553">
        <f t="shared" si="148"/>
        <v>0</v>
      </c>
      <c r="P248" s="606"/>
      <c r="Q248" s="553">
        <f t="shared" si="149"/>
        <v>0</v>
      </c>
      <c r="R248" s="553">
        <f t="shared" si="150"/>
        <v>30</v>
      </c>
      <c r="S248" s="553">
        <f t="shared" si="151"/>
        <v>1511.1</v>
      </c>
      <c r="T248" s="606">
        <f t="shared" ref="T248:T261" si="154">+R248</f>
        <v>30</v>
      </c>
      <c r="U248" s="553">
        <f t="shared" si="152"/>
        <v>1511.1</v>
      </c>
      <c r="V248" s="606"/>
      <c r="Y248" s="1146"/>
      <c r="Z248" s="1144">
        <v>0</v>
      </c>
    </row>
    <row r="249" spans="2:26" ht="21" customHeight="1" x14ac:dyDescent="0.25">
      <c r="B249" s="554">
        <v>5.0999999999999979</v>
      </c>
      <c r="C249" s="584" t="e">
        <f t="shared" si="144"/>
        <v>#REF!</v>
      </c>
      <c r="D249" s="495" t="s">
        <v>553</v>
      </c>
      <c r="E249" s="521"/>
      <c r="F249" s="522"/>
      <c r="G249" s="530" t="s">
        <v>18</v>
      </c>
      <c r="H249" s="553">
        <v>118.56</v>
      </c>
      <c r="I249" s="553"/>
      <c r="J249" s="553">
        <v>9</v>
      </c>
      <c r="K249" s="553">
        <f t="shared" si="145"/>
        <v>1067.04</v>
      </c>
      <c r="L249" s="553">
        <f>+[191]Metrados!E250</f>
        <v>0</v>
      </c>
      <c r="M249" s="553">
        <f t="shared" si="146"/>
        <v>0</v>
      </c>
      <c r="N249" s="553">
        <f t="shared" si="147"/>
        <v>0</v>
      </c>
      <c r="O249" s="553">
        <f t="shared" si="148"/>
        <v>0</v>
      </c>
      <c r="P249" s="553"/>
      <c r="Q249" s="553">
        <f t="shared" si="149"/>
        <v>0</v>
      </c>
      <c r="R249" s="553">
        <f t="shared" si="150"/>
        <v>9</v>
      </c>
      <c r="S249" s="553">
        <f t="shared" si="151"/>
        <v>1067.04</v>
      </c>
      <c r="T249" s="606">
        <f t="shared" si="154"/>
        <v>9</v>
      </c>
      <c r="U249" s="553">
        <f t="shared" si="152"/>
        <v>1067.04</v>
      </c>
      <c r="V249" s="553"/>
      <c r="Y249" s="1146"/>
      <c r="Z249" s="1144">
        <v>0</v>
      </c>
    </row>
    <row r="250" spans="2:26" ht="21" customHeight="1" x14ac:dyDescent="0.25">
      <c r="B250" s="554">
        <v>5.1099999999999977</v>
      </c>
      <c r="C250" s="584" t="e">
        <f t="shared" si="144"/>
        <v>#REF!</v>
      </c>
      <c r="D250" s="495" t="s">
        <v>552</v>
      </c>
      <c r="E250" s="521"/>
      <c r="F250" s="522"/>
      <c r="G250" s="530" t="s">
        <v>18</v>
      </c>
      <c r="H250" s="553">
        <v>138.79</v>
      </c>
      <c r="I250" s="553"/>
      <c r="J250" s="553">
        <v>1</v>
      </c>
      <c r="K250" s="553">
        <f t="shared" si="145"/>
        <v>138.79</v>
      </c>
      <c r="L250" s="553">
        <f>+[191]Metrados!E251</f>
        <v>1</v>
      </c>
      <c r="M250" s="553">
        <f t="shared" si="146"/>
        <v>138.79</v>
      </c>
      <c r="N250" s="553">
        <f t="shared" si="147"/>
        <v>0</v>
      </c>
      <c r="O250" s="553">
        <f t="shared" si="148"/>
        <v>0</v>
      </c>
      <c r="P250" s="553"/>
      <c r="Q250" s="553">
        <f t="shared" si="149"/>
        <v>0</v>
      </c>
      <c r="R250" s="553">
        <f t="shared" si="150"/>
        <v>0</v>
      </c>
      <c r="S250" s="553">
        <f t="shared" si="151"/>
        <v>0</v>
      </c>
      <c r="T250" s="553"/>
      <c r="U250" s="553">
        <f t="shared" si="152"/>
        <v>0</v>
      </c>
      <c r="V250" s="553"/>
      <c r="Y250" s="1146"/>
      <c r="Z250" s="1144">
        <v>0</v>
      </c>
    </row>
    <row r="251" spans="2:26" ht="21" customHeight="1" x14ac:dyDescent="0.25">
      <c r="B251" s="554">
        <v>5.1199999999999974</v>
      </c>
      <c r="C251" s="584" t="e">
        <f t="shared" si="144"/>
        <v>#REF!</v>
      </c>
      <c r="D251" s="495" t="s">
        <v>551</v>
      </c>
      <c r="E251" s="493"/>
      <c r="F251" s="494"/>
      <c r="G251" s="530" t="s">
        <v>18</v>
      </c>
      <c r="H251" s="553">
        <v>91.04</v>
      </c>
      <c r="I251" s="553"/>
      <c r="J251" s="553">
        <v>7</v>
      </c>
      <c r="K251" s="553">
        <f t="shared" si="145"/>
        <v>637.28</v>
      </c>
      <c r="L251" s="553">
        <f>+[191]Metrados!E252</f>
        <v>5</v>
      </c>
      <c r="M251" s="553">
        <f t="shared" si="146"/>
        <v>455.2</v>
      </c>
      <c r="N251" s="553">
        <f t="shared" si="147"/>
        <v>0</v>
      </c>
      <c r="O251" s="553">
        <f t="shared" si="148"/>
        <v>0</v>
      </c>
      <c r="P251" s="553"/>
      <c r="Q251" s="553">
        <f t="shared" si="149"/>
        <v>0</v>
      </c>
      <c r="R251" s="553">
        <f t="shared" si="150"/>
        <v>2</v>
      </c>
      <c r="S251" s="553">
        <f t="shared" si="151"/>
        <v>182.08</v>
      </c>
      <c r="T251" s="606">
        <f t="shared" si="154"/>
        <v>2</v>
      </c>
      <c r="U251" s="553">
        <f t="shared" si="152"/>
        <v>182.08</v>
      </c>
      <c r="V251" s="553"/>
      <c r="Y251" s="1146"/>
      <c r="Z251" s="1144">
        <v>0</v>
      </c>
    </row>
    <row r="252" spans="2:26" ht="21" customHeight="1" x14ac:dyDescent="0.25">
      <c r="B252" s="554">
        <v>5.1299999999999972</v>
      </c>
      <c r="C252" s="584" t="e">
        <f t="shared" si="144"/>
        <v>#REF!</v>
      </c>
      <c r="D252" s="495" t="s">
        <v>550</v>
      </c>
      <c r="E252" s="523"/>
      <c r="F252" s="524"/>
      <c r="G252" s="530" t="s">
        <v>18</v>
      </c>
      <c r="H252" s="553">
        <v>104.46</v>
      </c>
      <c r="I252" s="553"/>
      <c r="J252" s="553">
        <v>3</v>
      </c>
      <c r="K252" s="553">
        <f t="shared" si="145"/>
        <v>313.38</v>
      </c>
      <c r="L252" s="553">
        <f>+[191]Metrados!E253</f>
        <v>0</v>
      </c>
      <c r="M252" s="553">
        <f t="shared" si="146"/>
        <v>0</v>
      </c>
      <c r="N252" s="553">
        <f t="shared" si="147"/>
        <v>0</v>
      </c>
      <c r="O252" s="553">
        <f t="shared" si="148"/>
        <v>0</v>
      </c>
      <c r="P252" s="553"/>
      <c r="Q252" s="553">
        <f t="shared" si="149"/>
        <v>0</v>
      </c>
      <c r="R252" s="553">
        <f t="shared" si="150"/>
        <v>3</v>
      </c>
      <c r="S252" s="553">
        <f t="shared" si="151"/>
        <v>313.38</v>
      </c>
      <c r="T252" s="606">
        <f t="shared" si="154"/>
        <v>3</v>
      </c>
      <c r="U252" s="553">
        <f t="shared" si="152"/>
        <v>313.38</v>
      </c>
      <c r="V252" s="553"/>
      <c r="Y252" s="1146"/>
      <c r="Z252" s="1144">
        <v>0</v>
      </c>
    </row>
    <row r="253" spans="2:26" ht="21" customHeight="1" x14ac:dyDescent="0.25">
      <c r="B253" s="554">
        <v>5.139999999999997</v>
      </c>
      <c r="C253" s="584" t="e">
        <f t="shared" si="144"/>
        <v>#REF!</v>
      </c>
      <c r="D253" s="495" t="s">
        <v>549</v>
      </c>
      <c r="E253" s="523"/>
      <c r="F253" s="524"/>
      <c r="G253" s="530" t="s">
        <v>18</v>
      </c>
      <c r="H253" s="553">
        <v>119.56</v>
      </c>
      <c r="I253" s="553"/>
      <c r="J253" s="553">
        <v>1</v>
      </c>
      <c r="K253" s="553">
        <f t="shared" si="145"/>
        <v>119.56</v>
      </c>
      <c r="L253" s="553">
        <f>+[191]Metrados!E254</f>
        <v>1</v>
      </c>
      <c r="M253" s="553">
        <f t="shared" si="146"/>
        <v>119.56</v>
      </c>
      <c r="N253" s="553">
        <f t="shared" si="147"/>
        <v>0</v>
      </c>
      <c r="O253" s="553">
        <f t="shared" si="148"/>
        <v>0</v>
      </c>
      <c r="P253" s="553"/>
      <c r="Q253" s="553">
        <f t="shared" si="149"/>
        <v>0</v>
      </c>
      <c r="R253" s="553">
        <f t="shared" si="150"/>
        <v>0</v>
      </c>
      <c r="S253" s="553">
        <f t="shared" si="151"/>
        <v>0</v>
      </c>
      <c r="T253" s="553"/>
      <c r="U253" s="553">
        <f t="shared" si="152"/>
        <v>0</v>
      </c>
      <c r="V253" s="553"/>
      <c r="Y253" s="1146"/>
      <c r="Z253" s="1144">
        <v>0</v>
      </c>
    </row>
    <row r="254" spans="2:26" ht="21" customHeight="1" x14ac:dyDescent="0.25">
      <c r="B254" s="554">
        <v>5.1499999999999968</v>
      </c>
      <c r="C254" s="577" t="e">
        <f t="shared" si="144"/>
        <v>#REF!</v>
      </c>
      <c r="D254" s="495" t="s">
        <v>548</v>
      </c>
      <c r="E254" s="519"/>
      <c r="F254" s="520"/>
      <c r="G254" s="530" t="s">
        <v>18</v>
      </c>
      <c r="H254" s="606">
        <v>138.79</v>
      </c>
      <c r="I254" s="606"/>
      <c r="J254" s="553">
        <v>1</v>
      </c>
      <c r="K254" s="553">
        <f t="shared" si="145"/>
        <v>138.79</v>
      </c>
      <c r="L254" s="553">
        <f>+[191]Metrados!E255</f>
        <v>0</v>
      </c>
      <c r="M254" s="553">
        <f t="shared" si="146"/>
        <v>0</v>
      </c>
      <c r="N254" s="553">
        <f t="shared" si="147"/>
        <v>0</v>
      </c>
      <c r="O254" s="553">
        <f t="shared" si="148"/>
        <v>0</v>
      </c>
      <c r="P254" s="606"/>
      <c r="Q254" s="553">
        <f t="shared" si="149"/>
        <v>0</v>
      </c>
      <c r="R254" s="553">
        <f t="shared" si="150"/>
        <v>1</v>
      </c>
      <c r="S254" s="553">
        <f t="shared" si="151"/>
        <v>138.79</v>
      </c>
      <c r="T254" s="606">
        <f t="shared" si="154"/>
        <v>1</v>
      </c>
      <c r="U254" s="553">
        <f t="shared" si="152"/>
        <v>138.79</v>
      </c>
      <c r="V254" s="606"/>
      <c r="Y254" s="1146"/>
      <c r="Z254" s="1144">
        <v>0</v>
      </c>
    </row>
    <row r="255" spans="2:26" ht="21" customHeight="1" x14ac:dyDescent="0.25">
      <c r="B255" s="554">
        <v>5.1599999999999966</v>
      </c>
      <c r="C255" s="584" t="e">
        <f t="shared" si="144"/>
        <v>#REF!</v>
      </c>
      <c r="D255" s="495" t="s">
        <v>547</v>
      </c>
      <c r="E255" s="521"/>
      <c r="F255" s="522"/>
      <c r="G255" s="530" t="s">
        <v>18</v>
      </c>
      <c r="H255" s="553">
        <v>153.35</v>
      </c>
      <c r="I255" s="553"/>
      <c r="J255" s="553">
        <v>2</v>
      </c>
      <c r="K255" s="553">
        <f t="shared" si="145"/>
        <v>306.7</v>
      </c>
      <c r="L255" s="553">
        <f>+[191]Metrados!E256</f>
        <v>7</v>
      </c>
      <c r="M255" s="553">
        <f t="shared" si="146"/>
        <v>1073.45</v>
      </c>
      <c r="N255" s="553">
        <f t="shared" si="147"/>
        <v>5</v>
      </c>
      <c r="O255" s="553">
        <f t="shared" si="148"/>
        <v>766.75</v>
      </c>
      <c r="P255" s="553"/>
      <c r="Q255" s="553">
        <f t="shared" si="149"/>
        <v>0</v>
      </c>
      <c r="R255" s="553">
        <f t="shared" si="150"/>
        <v>0</v>
      </c>
      <c r="S255" s="553">
        <f t="shared" si="151"/>
        <v>0</v>
      </c>
      <c r="T255" s="553"/>
      <c r="U255" s="553">
        <f t="shared" si="152"/>
        <v>0</v>
      </c>
      <c r="V255" s="553"/>
      <c r="Y255" s="1146"/>
      <c r="Z255" s="1144">
        <v>0</v>
      </c>
    </row>
    <row r="256" spans="2:26" ht="21" customHeight="1" x14ac:dyDescent="0.25">
      <c r="B256" s="554">
        <v>5.1699999999999964</v>
      </c>
      <c r="C256" s="584" t="e">
        <f t="shared" si="144"/>
        <v>#REF!</v>
      </c>
      <c r="D256" s="495" t="s">
        <v>546</v>
      </c>
      <c r="E256" s="521"/>
      <c r="F256" s="522"/>
      <c r="G256" s="530" t="s">
        <v>18</v>
      </c>
      <c r="H256" s="553">
        <v>120.89</v>
      </c>
      <c r="I256" s="553"/>
      <c r="J256" s="553">
        <v>4</v>
      </c>
      <c r="K256" s="553">
        <f t="shared" si="145"/>
        <v>483.56</v>
      </c>
      <c r="L256" s="553">
        <f>+[191]Metrados!E257</f>
        <v>0</v>
      </c>
      <c r="M256" s="553">
        <f t="shared" si="146"/>
        <v>0</v>
      </c>
      <c r="N256" s="553">
        <f t="shared" si="147"/>
        <v>0</v>
      </c>
      <c r="O256" s="553">
        <f t="shared" si="148"/>
        <v>0</v>
      </c>
      <c r="P256" s="553"/>
      <c r="Q256" s="553">
        <f t="shared" si="149"/>
        <v>0</v>
      </c>
      <c r="R256" s="553">
        <f t="shared" si="150"/>
        <v>4</v>
      </c>
      <c r="S256" s="553">
        <f t="shared" si="151"/>
        <v>483.56</v>
      </c>
      <c r="T256" s="606">
        <f t="shared" si="154"/>
        <v>4</v>
      </c>
      <c r="U256" s="553">
        <f t="shared" si="152"/>
        <v>483.56</v>
      </c>
      <c r="V256" s="553"/>
      <c r="Y256" s="1146"/>
      <c r="Z256" s="1144">
        <v>0</v>
      </c>
    </row>
    <row r="257" spans="2:26" ht="21" customHeight="1" x14ac:dyDescent="0.25">
      <c r="B257" s="554">
        <v>5.1799999999999962</v>
      </c>
      <c r="C257" s="584" t="e">
        <f t="shared" si="144"/>
        <v>#REF!</v>
      </c>
      <c r="D257" s="495" t="s">
        <v>545</v>
      </c>
      <c r="E257" s="493"/>
      <c r="F257" s="494"/>
      <c r="G257" s="530" t="s">
        <v>18</v>
      </c>
      <c r="H257" s="553">
        <v>169.6</v>
      </c>
      <c r="I257" s="553"/>
      <c r="J257" s="553">
        <v>4</v>
      </c>
      <c r="K257" s="553">
        <f t="shared" si="145"/>
        <v>678.4</v>
      </c>
      <c r="L257" s="553">
        <f>+[191]Metrados!E258</f>
        <v>0</v>
      </c>
      <c r="M257" s="553">
        <f t="shared" si="146"/>
        <v>0</v>
      </c>
      <c r="N257" s="553">
        <f t="shared" si="147"/>
        <v>0</v>
      </c>
      <c r="O257" s="553">
        <f t="shared" si="148"/>
        <v>0</v>
      </c>
      <c r="P257" s="553"/>
      <c r="Q257" s="553">
        <f t="shared" si="149"/>
        <v>0</v>
      </c>
      <c r="R257" s="553">
        <f t="shared" si="150"/>
        <v>4</v>
      </c>
      <c r="S257" s="553">
        <f t="shared" si="151"/>
        <v>678.4</v>
      </c>
      <c r="T257" s="606">
        <f t="shared" si="154"/>
        <v>4</v>
      </c>
      <c r="U257" s="553">
        <f t="shared" si="152"/>
        <v>678.4</v>
      </c>
      <c r="V257" s="553"/>
      <c r="Y257" s="1146"/>
      <c r="Z257" s="1144">
        <v>0</v>
      </c>
    </row>
    <row r="258" spans="2:26" ht="21" customHeight="1" x14ac:dyDescent="0.25">
      <c r="B258" s="554">
        <v>5.1899999999999959</v>
      </c>
      <c r="C258" s="584" t="e">
        <f t="shared" si="144"/>
        <v>#REF!</v>
      </c>
      <c r="D258" s="495" t="s">
        <v>544</v>
      </c>
      <c r="E258" s="523"/>
      <c r="F258" s="524"/>
      <c r="G258" s="530" t="s">
        <v>18</v>
      </c>
      <c r="H258" s="553">
        <v>118.56</v>
      </c>
      <c r="I258" s="553"/>
      <c r="J258" s="553">
        <v>1</v>
      </c>
      <c r="K258" s="553">
        <f t="shared" si="145"/>
        <v>118.56</v>
      </c>
      <c r="L258" s="553">
        <f>+[191]Metrados!E259</f>
        <v>0</v>
      </c>
      <c r="M258" s="553">
        <f t="shared" si="146"/>
        <v>0</v>
      </c>
      <c r="N258" s="553">
        <f t="shared" si="147"/>
        <v>0</v>
      </c>
      <c r="O258" s="553">
        <f t="shared" si="148"/>
        <v>0</v>
      </c>
      <c r="P258" s="553"/>
      <c r="Q258" s="553">
        <f t="shared" si="149"/>
        <v>0</v>
      </c>
      <c r="R258" s="553">
        <f t="shared" si="150"/>
        <v>1</v>
      </c>
      <c r="S258" s="553">
        <f t="shared" si="151"/>
        <v>118.56</v>
      </c>
      <c r="T258" s="606">
        <f t="shared" si="154"/>
        <v>1</v>
      </c>
      <c r="U258" s="553">
        <f t="shared" si="152"/>
        <v>118.56</v>
      </c>
      <c r="V258" s="553"/>
      <c r="Y258" s="1146"/>
      <c r="Z258" s="1144">
        <v>0</v>
      </c>
    </row>
    <row r="259" spans="2:26" ht="21" customHeight="1" x14ac:dyDescent="0.25">
      <c r="B259" s="554">
        <v>5.1999999999999957</v>
      </c>
      <c r="C259" s="584" t="e">
        <f t="shared" si="144"/>
        <v>#REF!</v>
      </c>
      <c r="D259" s="495" t="s">
        <v>543</v>
      </c>
      <c r="E259" s="523"/>
      <c r="F259" s="524"/>
      <c r="G259" s="530" t="s">
        <v>18</v>
      </c>
      <c r="H259" s="553">
        <v>138.79</v>
      </c>
      <c r="I259" s="553"/>
      <c r="J259" s="553">
        <v>5</v>
      </c>
      <c r="K259" s="553">
        <f t="shared" si="145"/>
        <v>693.95</v>
      </c>
      <c r="L259" s="553">
        <f>+[191]Metrados!E260</f>
        <v>0</v>
      </c>
      <c r="M259" s="553">
        <f t="shared" si="146"/>
        <v>0</v>
      </c>
      <c r="N259" s="553">
        <f t="shared" si="147"/>
        <v>0</v>
      </c>
      <c r="O259" s="553">
        <f t="shared" si="148"/>
        <v>0</v>
      </c>
      <c r="P259" s="553"/>
      <c r="Q259" s="553">
        <f t="shared" si="149"/>
        <v>0</v>
      </c>
      <c r="R259" s="553">
        <f t="shared" si="150"/>
        <v>5</v>
      </c>
      <c r="S259" s="553">
        <f t="shared" si="151"/>
        <v>693.95</v>
      </c>
      <c r="T259" s="606">
        <f t="shared" si="154"/>
        <v>5</v>
      </c>
      <c r="U259" s="553">
        <f t="shared" si="152"/>
        <v>693.95</v>
      </c>
      <c r="V259" s="553"/>
      <c r="Y259" s="1146"/>
      <c r="Z259" s="1144">
        <v>0</v>
      </c>
    </row>
    <row r="260" spans="2:26" ht="21" customHeight="1" x14ac:dyDescent="0.25">
      <c r="B260" s="554">
        <v>5.2099999999999955</v>
      </c>
      <c r="C260" s="577" t="e">
        <f t="shared" si="144"/>
        <v>#REF!</v>
      </c>
      <c r="D260" s="495" t="s">
        <v>542</v>
      </c>
      <c r="E260" s="517"/>
      <c r="F260" s="518"/>
      <c r="G260" s="530" t="s">
        <v>18</v>
      </c>
      <c r="H260" s="553">
        <v>120.34</v>
      </c>
      <c r="I260" s="553"/>
      <c r="J260" s="553">
        <v>2</v>
      </c>
      <c r="K260" s="553">
        <f t="shared" si="145"/>
        <v>240.68</v>
      </c>
      <c r="L260" s="553">
        <f>+[191]Metrados!E261</f>
        <v>0</v>
      </c>
      <c r="M260" s="553">
        <f t="shared" si="146"/>
        <v>0</v>
      </c>
      <c r="N260" s="553">
        <f t="shared" si="147"/>
        <v>0</v>
      </c>
      <c r="O260" s="553">
        <f t="shared" si="148"/>
        <v>0</v>
      </c>
      <c r="P260" s="553"/>
      <c r="Q260" s="553">
        <f t="shared" si="149"/>
        <v>0</v>
      </c>
      <c r="R260" s="553">
        <f t="shared" si="150"/>
        <v>2</v>
      </c>
      <c r="S260" s="553">
        <f t="shared" si="151"/>
        <v>240.68</v>
      </c>
      <c r="T260" s="606">
        <f t="shared" si="154"/>
        <v>2</v>
      </c>
      <c r="U260" s="553">
        <f t="shared" si="152"/>
        <v>240.68</v>
      </c>
      <c r="V260" s="553"/>
      <c r="Y260" s="1146"/>
      <c r="Z260" s="1144">
        <v>0</v>
      </c>
    </row>
    <row r="261" spans="2:26" ht="21" customHeight="1" x14ac:dyDescent="0.25">
      <c r="B261" s="554">
        <v>5.2199999999999953</v>
      </c>
      <c r="C261" s="577" t="e">
        <f t="shared" si="144"/>
        <v>#REF!</v>
      </c>
      <c r="D261" s="495" t="s">
        <v>541</v>
      </c>
      <c r="E261" s="519"/>
      <c r="F261" s="520"/>
      <c r="G261" s="530" t="s">
        <v>18</v>
      </c>
      <c r="H261" s="606">
        <v>127.07</v>
      </c>
      <c r="I261" s="606"/>
      <c r="J261" s="553">
        <v>3</v>
      </c>
      <c r="K261" s="553">
        <f t="shared" si="145"/>
        <v>381.21</v>
      </c>
      <c r="L261" s="553">
        <f>+[191]Metrados!E262</f>
        <v>0</v>
      </c>
      <c r="M261" s="553">
        <f t="shared" si="146"/>
        <v>0</v>
      </c>
      <c r="N261" s="553">
        <f t="shared" si="147"/>
        <v>0</v>
      </c>
      <c r="O261" s="553">
        <f t="shared" si="148"/>
        <v>0</v>
      </c>
      <c r="P261" s="606"/>
      <c r="Q261" s="553">
        <f t="shared" si="149"/>
        <v>0</v>
      </c>
      <c r="R261" s="553">
        <f t="shared" si="150"/>
        <v>3</v>
      </c>
      <c r="S261" s="553">
        <f t="shared" si="151"/>
        <v>381.21</v>
      </c>
      <c r="T261" s="606">
        <f t="shared" si="154"/>
        <v>3</v>
      </c>
      <c r="U261" s="553">
        <f t="shared" si="152"/>
        <v>381.21</v>
      </c>
      <c r="V261" s="606"/>
      <c r="Y261" s="1146"/>
      <c r="Z261" s="1144">
        <v>0</v>
      </c>
    </row>
    <row r="262" spans="2:26" s="547" customFormat="1" ht="21" customHeight="1" x14ac:dyDescent="0.25">
      <c r="B262" s="617">
        <v>5.2299999999999951</v>
      </c>
      <c r="C262" s="577" t="e">
        <f>+#REF!+1</f>
        <v>#REF!</v>
      </c>
      <c r="D262" s="501" t="s">
        <v>780</v>
      </c>
      <c r="E262" s="651"/>
      <c r="F262" s="643"/>
      <c r="G262" s="531" t="s">
        <v>18</v>
      </c>
      <c r="H262" s="560"/>
      <c r="I262" s="560">
        <f>+H243*1.3</f>
        <v>104.48100000000001</v>
      </c>
      <c r="J262" s="560"/>
      <c r="K262" s="560">
        <f t="shared" ref="K262" si="155">+ROUND($H262*J262,2)</f>
        <v>0</v>
      </c>
      <c r="L262" s="560">
        <f>+[191]Metrados!E263</f>
        <v>2</v>
      </c>
      <c r="M262" s="560">
        <f>+ROUND($I262*L262,2)</f>
        <v>208.96</v>
      </c>
      <c r="N262" s="560"/>
      <c r="O262" s="560">
        <f t="shared" ref="O262" si="156">+ROUND($H262*N262,2)</f>
        <v>0</v>
      </c>
      <c r="P262" s="561">
        <f>+L262</f>
        <v>2</v>
      </c>
      <c r="Q262" s="560">
        <f>+ROUND($I262*P262,2)</f>
        <v>208.96</v>
      </c>
      <c r="R262" s="560"/>
      <c r="S262" s="560">
        <f t="shared" ref="S262" si="157">+ROUND($H262*R262,2)</f>
        <v>0</v>
      </c>
      <c r="T262" s="560"/>
      <c r="U262" s="560">
        <f t="shared" ref="U262" si="158">+ROUND($H262*T262,2)</f>
        <v>0</v>
      </c>
      <c r="V262" s="560"/>
      <c r="Y262" s="1146"/>
      <c r="Z262" s="1150">
        <v>0</v>
      </c>
    </row>
    <row r="263" spans="2:26" s="547" customFormat="1" ht="21" customHeight="1" x14ac:dyDescent="0.25">
      <c r="B263" s="617">
        <v>5.2399999999999949</v>
      </c>
      <c r="C263" s="577" t="e">
        <f>+#REF!+1</f>
        <v>#REF!</v>
      </c>
      <c r="D263" s="501" t="s">
        <v>812</v>
      </c>
      <c r="E263" s="651"/>
      <c r="F263" s="643"/>
      <c r="G263" s="531" t="s">
        <v>18</v>
      </c>
      <c r="H263" s="560"/>
      <c r="I263" s="560">
        <f>103.79*0.85</f>
        <v>88.221500000000006</v>
      </c>
      <c r="J263" s="560"/>
      <c r="K263" s="560">
        <f t="shared" ref="K263:K273" si="159">+ROUND($H263*J263,2)</f>
        <v>0</v>
      </c>
      <c r="L263" s="560">
        <f>+[191]Metrados!E264</f>
        <v>26</v>
      </c>
      <c r="M263" s="560">
        <f t="shared" ref="M263:M273" si="160">+ROUND($I263*L263,2)</f>
        <v>2293.7600000000002</v>
      </c>
      <c r="N263" s="560"/>
      <c r="O263" s="560">
        <f t="shared" ref="O263:O273" si="161">+ROUND($H263*N263,2)</f>
        <v>0</v>
      </c>
      <c r="P263" s="561">
        <f t="shared" ref="P263:P273" si="162">+L263</f>
        <v>26</v>
      </c>
      <c r="Q263" s="560">
        <f t="shared" ref="Q263:Q273" si="163">+ROUND($I263*P263,2)</f>
        <v>2293.7600000000002</v>
      </c>
      <c r="R263" s="560"/>
      <c r="S263" s="560">
        <f t="shared" ref="S263:S273" si="164">+ROUND($H263*R263,2)</f>
        <v>0</v>
      </c>
      <c r="T263" s="560"/>
      <c r="U263" s="560">
        <f t="shared" ref="U263:U273" si="165">+ROUND($H263*T263,2)</f>
        <v>0</v>
      </c>
      <c r="V263" s="560"/>
      <c r="Y263" s="1146"/>
      <c r="Z263" s="1150">
        <v>0</v>
      </c>
    </row>
    <row r="264" spans="2:26" s="547" customFormat="1" ht="21" customHeight="1" x14ac:dyDescent="0.25">
      <c r="B264" s="617">
        <v>5.2499999999999947</v>
      </c>
      <c r="C264" s="577" t="e">
        <f>+#REF!+1</f>
        <v>#REF!</v>
      </c>
      <c r="D264" s="501" t="s">
        <v>813</v>
      </c>
      <c r="E264" s="651"/>
      <c r="F264" s="643"/>
      <c r="G264" s="531" t="s">
        <v>18</v>
      </c>
      <c r="H264" s="560"/>
      <c r="I264" s="560">
        <f>111.07*0.85</f>
        <v>94.409499999999994</v>
      </c>
      <c r="J264" s="560"/>
      <c r="K264" s="560">
        <f t="shared" si="159"/>
        <v>0</v>
      </c>
      <c r="L264" s="560">
        <f>+[191]Metrados!E265</f>
        <v>1</v>
      </c>
      <c r="M264" s="560">
        <f t="shared" si="160"/>
        <v>94.41</v>
      </c>
      <c r="N264" s="560"/>
      <c r="O264" s="560">
        <f t="shared" si="161"/>
        <v>0</v>
      </c>
      <c r="P264" s="561">
        <f t="shared" si="162"/>
        <v>1</v>
      </c>
      <c r="Q264" s="560">
        <f t="shared" si="163"/>
        <v>94.41</v>
      </c>
      <c r="R264" s="560"/>
      <c r="S264" s="560">
        <f t="shared" si="164"/>
        <v>0</v>
      </c>
      <c r="T264" s="560"/>
      <c r="U264" s="560">
        <f t="shared" si="165"/>
        <v>0</v>
      </c>
      <c r="V264" s="560"/>
      <c r="Y264" s="1146"/>
      <c r="Z264" s="1150">
        <v>0</v>
      </c>
    </row>
    <row r="265" spans="2:26" s="547" customFormat="1" ht="21" customHeight="1" x14ac:dyDescent="0.25">
      <c r="B265" s="617">
        <v>5.2599999999999945</v>
      </c>
      <c r="C265" s="577" t="e">
        <f>+#REF!+1</f>
        <v>#REF!</v>
      </c>
      <c r="D265" s="501" t="s">
        <v>814</v>
      </c>
      <c r="E265" s="651"/>
      <c r="F265" s="643"/>
      <c r="G265" s="531" t="s">
        <v>18</v>
      </c>
      <c r="H265" s="560"/>
      <c r="I265" s="560">
        <f>95.5*0.85</f>
        <v>81.174999999999997</v>
      </c>
      <c r="J265" s="560"/>
      <c r="K265" s="560">
        <f t="shared" si="159"/>
        <v>0</v>
      </c>
      <c r="L265" s="560">
        <f>+[191]Metrados!E266</f>
        <v>1</v>
      </c>
      <c r="M265" s="560">
        <f t="shared" si="160"/>
        <v>81.180000000000007</v>
      </c>
      <c r="N265" s="560"/>
      <c r="O265" s="560">
        <f t="shared" si="161"/>
        <v>0</v>
      </c>
      <c r="P265" s="561">
        <f t="shared" si="162"/>
        <v>1</v>
      </c>
      <c r="Q265" s="560">
        <f t="shared" si="163"/>
        <v>81.180000000000007</v>
      </c>
      <c r="R265" s="560"/>
      <c r="S265" s="560">
        <f t="shared" si="164"/>
        <v>0</v>
      </c>
      <c r="T265" s="560"/>
      <c r="U265" s="560">
        <f t="shared" si="165"/>
        <v>0</v>
      </c>
      <c r="V265" s="560"/>
      <c r="Y265" s="1146"/>
      <c r="Z265" s="1150">
        <v>0</v>
      </c>
    </row>
    <row r="266" spans="2:26" s="547" customFormat="1" ht="21" customHeight="1" x14ac:dyDescent="0.25">
      <c r="B266" s="617">
        <v>5.2699999999999942</v>
      </c>
      <c r="C266" s="577" t="e">
        <f>+#REF!+1</f>
        <v>#REF!</v>
      </c>
      <c r="D266" s="501" t="s">
        <v>815</v>
      </c>
      <c r="E266" s="651"/>
      <c r="F266" s="643"/>
      <c r="G266" s="531" t="s">
        <v>18</v>
      </c>
      <c r="H266" s="560"/>
      <c r="I266" s="560">
        <f>103.79*0.85</f>
        <v>88.221500000000006</v>
      </c>
      <c r="J266" s="560"/>
      <c r="K266" s="560">
        <f t="shared" si="159"/>
        <v>0</v>
      </c>
      <c r="L266" s="560">
        <f>+[191]Metrados!E267</f>
        <v>4</v>
      </c>
      <c r="M266" s="560">
        <f t="shared" si="160"/>
        <v>352.89</v>
      </c>
      <c r="N266" s="560"/>
      <c r="O266" s="560">
        <f t="shared" si="161"/>
        <v>0</v>
      </c>
      <c r="P266" s="561">
        <f t="shared" si="162"/>
        <v>4</v>
      </c>
      <c r="Q266" s="560">
        <f t="shared" si="163"/>
        <v>352.89</v>
      </c>
      <c r="R266" s="560"/>
      <c r="S266" s="560">
        <f t="shared" si="164"/>
        <v>0</v>
      </c>
      <c r="T266" s="560"/>
      <c r="U266" s="560">
        <f t="shared" si="165"/>
        <v>0</v>
      </c>
      <c r="V266" s="560"/>
      <c r="Y266" s="1146"/>
      <c r="Z266" s="1150">
        <v>0</v>
      </c>
    </row>
    <row r="267" spans="2:26" s="547" customFormat="1" ht="21" customHeight="1" x14ac:dyDescent="0.25">
      <c r="B267" s="617">
        <v>5.279999999999994</v>
      </c>
      <c r="C267" s="577" t="e">
        <f>+#REF!+1</f>
        <v>#REF!</v>
      </c>
      <c r="D267" s="501" t="s">
        <v>816</v>
      </c>
      <c r="E267" s="651"/>
      <c r="F267" s="643"/>
      <c r="G267" s="531" t="s">
        <v>18</v>
      </c>
      <c r="H267" s="560"/>
      <c r="I267" s="560">
        <f>111.07*0.85</f>
        <v>94.409499999999994</v>
      </c>
      <c r="J267" s="560"/>
      <c r="K267" s="560">
        <f t="shared" si="159"/>
        <v>0</v>
      </c>
      <c r="L267" s="560">
        <f>+[191]Metrados!E268</f>
        <v>4</v>
      </c>
      <c r="M267" s="560">
        <f t="shared" si="160"/>
        <v>377.64</v>
      </c>
      <c r="N267" s="560"/>
      <c r="O267" s="560">
        <f t="shared" si="161"/>
        <v>0</v>
      </c>
      <c r="P267" s="561">
        <f t="shared" si="162"/>
        <v>4</v>
      </c>
      <c r="Q267" s="560">
        <f t="shared" si="163"/>
        <v>377.64</v>
      </c>
      <c r="R267" s="560"/>
      <c r="S267" s="560">
        <f t="shared" si="164"/>
        <v>0</v>
      </c>
      <c r="T267" s="560"/>
      <c r="U267" s="560">
        <f t="shared" si="165"/>
        <v>0</v>
      </c>
      <c r="V267" s="560"/>
      <c r="Y267" s="1146"/>
      <c r="Z267" s="1150">
        <v>0</v>
      </c>
    </row>
    <row r="268" spans="2:26" s="547" customFormat="1" ht="21" customHeight="1" x14ac:dyDescent="0.25">
      <c r="B268" s="617">
        <v>5.2899999999999938</v>
      </c>
      <c r="C268" s="577" t="e">
        <f>+#REF!+1</f>
        <v>#REF!</v>
      </c>
      <c r="D268" s="501" t="s">
        <v>817</v>
      </c>
      <c r="E268" s="651"/>
      <c r="F268" s="643"/>
      <c r="G268" s="531" t="s">
        <v>18</v>
      </c>
      <c r="H268" s="560"/>
      <c r="I268" s="560">
        <f>111.07*0.85</f>
        <v>94.409499999999994</v>
      </c>
      <c r="J268" s="560"/>
      <c r="K268" s="560">
        <f t="shared" si="159"/>
        <v>0</v>
      </c>
      <c r="L268" s="560">
        <f>+[191]Metrados!E269</f>
        <v>4</v>
      </c>
      <c r="M268" s="560">
        <f t="shared" si="160"/>
        <v>377.64</v>
      </c>
      <c r="N268" s="560"/>
      <c r="O268" s="560">
        <f t="shared" si="161"/>
        <v>0</v>
      </c>
      <c r="P268" s="561">
        <f t="shared" si="162"/>
        <v>4</v>
      </c>
      <c r="Q268" s="560">
        <f t="shared" si="163"/>
        <v>377.64</v>
      </c>
      <c r="R268" s="560"/>
      <c r="S268" s="560">
        <f t="shared" si="164"/>
        <v>0</v>
      </c>
      <c r="T268" s="560"/>
      <c r="U268" s="560">
        <f t="shared" si="165"/>
        <v>0</v>
      </c>
      <c r="V268" s="560"/>
      <c r="Y268" s="1146"/>
      <c r="Z268" s="1150">
        <v>0</v>
      </c>
    </row>
    <row r="269" spans="2:26" s="547" customFormat="1" ht="21" customHeight="1" x14ac:dyDescent="0.25">
      <c r="B269" s="617">
        <v>5.2999999999999936</v>
      </c>
      <c r="C269" s="577" t="e">
        <f>+#REF!+1</f>
        <v>#REF!</v>
      </c>
      <c r="D269" s="501" t="s">
        <v>818</v>
      </c>
      <c r="E269" s="651"/>
      <c r="F269" s="643"/>
      <c r="G269" s="531" t="s">
        <v>18</v>
      </c>
      <c r="H269" s="560"/>
      <c r="I269" s="560">
        <f>682.23*0.85</f>
        <v>579.89549999999997</v>
      </c>
      <c r="J269" s="560"/>
      <c r="K269" s="560">
        <f t="shared" si="159"/>
        <v>0</v>
      </c>
      <c r="L269" s="560">
        <f>+[191]Metrados!E270</f>
        <v>2</v>
      </c>
      <c r="M269" s="560">
        <f t="shared" si="160"/>
        <v>1159.79</v>
      </c>
      <c r="N269" s="560"/>
      <c r="O269" s="560">
        <f t="shared" si="161"/>
        <v>0</v>
      </c>
      <c r="P269" s="561">
        <f t="shared" si="162"/>
        <v>2</v>
      </c>
      <c r="Q269" s="560">
        <f t="shared" si="163"/>
        <v>1159.79</v>
      </c>
      <c r="R269" s="560"/>
      <c r="S269" s="560">
        <f t="shared" si="164"/>
        <v>0</v>
      </c>
      <c r="T269" s="560"/>
      <c r="U269" s="560">
        <f t="shared" si="165"/>
        <v>0</v>
      </c>
      <c r="V269" s="560"/>
      <c r="Y269" s="1146"/>
      <c r="Z269" s="1150">
        <v>0</v>
      </c>
    </row>
    <row r="270" spans="2:26" s="547" customFormat="1" ht="21" customHeight="1" x14ac:dyDescent="0.25">
      <c r="B270" s="617">
        <v>5.3099999999999934</v>
      </c>
      <c r="C270" s="577" t="e">
        <f>+#REF!+1</f>
        <v>#REF!</v>
      </c>
      <c r="D270" s="501" t="s">
        <v>819</v>
      </c>
      <c r="E270" s="651"/>
      <c r="F270" s="643"/>
      <c r="G270" s="531" t="s">
        <v>18</v>
      </c>
      <c r="H270" s="560"/>
      <c r="I270" s="560">
        <f>154.64*0.85</f>
        <v>131.44399999999999</v>
      </c>
      <c r="J270" s="560"/>
      <c r="K270" s="560">
        <f t="shared" si="159"/>
        <v>0</v>
      </c>
      <c r="L270" s="560">
        <f>+[191]Metrados!E271</f>
        <v>1</v>
      </c>
      <c r="M270" s="560">
        <f t="shared" si="160"/>
        <v>131.44</v>
      </c>
      <c r="N270" s="560"/>
      <c r="O270" s="560">
        <f t="shared" si="161"/>
        <v>0</v>
      </c>
      <c r="P270" s="561">
        <f t="shared" si="162"/>
        <v>1</v>
      </c>
      <c r="Q270" s="560">
        <f t="shared" si="163"/>
        <v>131.44</v>
      </c>
      <c r="R270" s="560"/>
      <c r="S270" s="560">
        <f t="shared" si="164"/>
        <v>0</v>
      </c>
      <c r="T270" s="560"/>
      <c r="U270" s="560">
        <f t="shared" si="165"/>
        <v>0</v>
      </c>
      <c r="V270" s="560"/>
      <c r="Y270" s="1146"/>
      <c r="Z270" s="1150">
        <v>0</v>
      </c>
    </row>
    <row r="271" spans="2:26" s="547" customFormat="1" ht="21" customHeight="1" x14ac:dyDescent="0.25">
      <c r="B271" s="617">
        <v>5.3199999999999932</v>
      </c>
      <c r="C271" s="577" t="e">
        <f>+#REF!+1</f>
        <v>#REF!</v>
      </c>
      <c r="D271" s="501" t="s">
        <v>820</v>
      </c>
      <c r="E271" s="651"/>
      <c r="F271" s="643"/>
      <c r="G271" s="531" t="s">
        <v>18</v>
      </c>
      <c r="H271" s="560"/>
      <c r="I271" s="560">
        <v>103.79</v>
      </c>
      <c r="J271" s="560"/>
      <c r="K271" s="560">
        <f t="shared" si="159"/>
        <v>0</v>
      </c>
      <c r="L271" s="560">
        <f>+[191]Metrados!E272</f>
        <v>52</v>
      </c>
      <c r="M271" s="560">
        <f t="shared" si="160"/>
        <v>5397.08</v>
      </c>
      <c r="N271" s="560"/>
      <c r="O271" s="560">
        <f t="shared" si="161"/>
        <v>0</v>
      </c>
      <c r="P271" s="561">
        <f t="shared" si="162"/>
        <v>52</v>
      </c>
      <c r="Q271" s="560">
        <f t="shared" si="163"/>
        <v>5397.08</v>
      </c>
      <c r="R271" s="560"/>
      <c r="S271" s="560">
        <f t="shared" si="164"/>
        <v>0</v>
      </c>
      <c r="T271" s="560"/>
      <c r="U271" s="560">
        <f t="shared" si="165"/>
        <v>0</v>
      </c>
      <c r="V271" s="560"/>
      <c r="Y271" s="1146"/>
      <c r="Z271" s="1150">
        <v>0</v>
      </c>
    </row>
    <row r="272" spans="2:26" s="547" customFormat="1" ht="21" customHeight="1" x14ac:dyDescent="0.25">
      <c r="B272" s="617">
        <v>5.329999999999993</v>
      </c>
      <c r="C272" s="577" t="e">
        <f>+#REF!+1</f>
        <v>#REF!</v>
      </c>
      <c r="D272" s="501" t="s">
        <v>821</v>
      </c>
      <c r="E272" s="651"/>
      <c r="F272" s="643"/>
      <c r="G272" s="531" t="s">
        <v>18</v>
      </c>
      <c r="H272" s="560"/>
      <c r="I272" s="560">
        <v>111.07</v>
      </c>
      <c r="J272" s="560"/>
      <c r="K272" s="560">
        <f t="shared" si="159"/>
        <v>0</v>
      </c>
      <c r="L272" s="560">
        <f>+[191]Metrados!E273</f>
        <v>2</v>
      </c>
      <c r="M272" s="560">
        <f t="shared" si="160"/>
        <v>222.14</v>
      </c>
      <c r="N272" s="560"/>
      <c r="O272" s="560">
        <f t="shared" si="161"/>
        <v>0</v>
      </c>
      <c r="P272" s="561">
        <f t="shared" si="162"/>
        <v>2</v>
      </c>
      <c r="Q272" s="560">
        <f t="shared" si="163"/>
        <v>222.14</v>
      </c>
      <c r="R272" s="560"/>
      <c r="S272" s="560">
        <f t="shared" si="164"/>
        <v>0</v>
      </c>
      <c r="T272" s="560"/>
      <c r="U272" s="560">
        <f t="shared" si="165"/>
        <v>0</v>
      </c>
      <c r="V272" s="560"/>
      <c r="Y272" s="1146"/>
      <c r="Z272" s="1150">
        <v>0</v>
      </c>
    </row>
    <row r="273" spans="2:26" s="547" customFormat="1" ht="21" customHeight="1" x14ac:dyDescent="0.25">
      <c r="B273" s="617">
        <v>5.3399999999999928</v>
      </c>
      <c r="C273" s="577" t="e">
        <f>+#REF!+1</f>
        <v>#REF!</v>
      </c>
      <c r="D273" s="501" t="s">
        <v>822</v>
      </c>
      <c r="E273" s="651"/>
      <c r="F273" s="643"/>
      <c r="G273" s="531" t="s">
        <v>18</v>
      </c>
      <c r="H273" s="560"/>
      <c r="I273" s="560">
        <v>111.07</v>
      </c>
      <c r="J273" s="560"/>
      <c r="K273" s="560">
        <f t="shared" si="159"/>
        <v>0</v>
      </c>
      <c r="L273" s="560">
        <f>+[191]Metrados!E274</f>
        <v>21</v>
      </c>
      <c r="M273" s="560">
        <f t="shared" si="160"/>
        <v>2332.4699999999998</v>
      </c>
      <c r="N273" s="560"/>
      <c r="O273" s="560">
        <f t="shared" si="161"/>
        <v>0</v>
      </c>
      <c r="P273" s="561">
        <f t="shared" si="162"/>
        <v>21</v>
      </c>
      <c r="Q273" s="560">
        <f t="shared" si="163"/>
        <v>2332.4699999999998</v>
      </c>
      <c r="R273" s="560"/>
      <c r="S273" s="560">
        <f t="shared" si="164"/>
        <v>0</v>
      </c>
      <c r="T273" s="560"/>
      <c r="U273" s="560">
        <f t="shared" si="165"/>
        <v>0</v>
      </c>
      <c r="V273" s="560"/>
      <c r="Y273" s="1146"/>
      <c r="Z273" s="1150">
        <v>0</v>
      </c>
    </row>
    <row r="274" spans="2:26" s="547" customFormat="1" ht="21" customHeight="1" x14ac:dyDescent="0.25">
      <c r="B274" s="617">
        <v>5.3499999999999925</v>
      </c>
      <c r="C274" s="577" t="e">
        <f>+#REF!+1</f>
        <v>#REF!</v>
      </c>
      <c r="D274" s="501" t="s">
        <v>823</v>
      </c>
      <c r="E274" s="651"/>
      <c r="F274" s="643"/>
      <c r="G274" s="531" t="s">
        <v>18</v>
      </c>
      <c r="H274" s="560"/>
      <c r="I274" s="560">
        <v>682.23</v>
      </c>
      <c r="J274" s="560"/>
      <c r="K274" s="560">
        <f t="shared" si="145"/>
        <v>0</v>
      </c>
      <c r="L274" s="560">
        <f>+[191]Metrados!E275</f>
        <v>8</v>
      </c>
      <c r="M274" s="560">
        <f>+ROUND($I274*L274,2)</f>
        <v>5457.84</v>
      </c>
      <c r="N274" s="560"/>
      <c r="O274" s="560">
        <f t="shared" si="148"/>
        <v>0</v>
      </c>
      <c r="P274" s="561">
        <f>+L274</f>
        <v>8</v>
      </c>
      <c r="Q274" s="560">
        <f>+ROUND($I274*P274,2)</f>
        <v>5457.84</v>
      </c>
      <c r="R274" s="560"/>
      <c r="S274" s="560">
        <f t="shared" si="151"/>
        <v>0</v>
      </c>
      <c r="T274" s="560"/>
      <c r="U274" s="560">
        <f t="shared" si="152"/>
        <v>0</v>
      </c>
      <c r="V274" s="560"/>
      <c r="Y274" s="1146"/>
      <c r="Z274" s="1150">
        <v>0</v>
      </c>
    </row>
    <row r="275" spans="2:26" s="547" customFormat="1" ht="21" customHeight="1" x14ac:dyDescent="0.25">
      <c r="B275" s="617">
        <v>5.3599999999999923</v>
      </c>
      <c r="C275" s="577" t="e">
        <f>+C274+1</f>
        <v>#REF!</v>
      </c>
      <c r="D275" s="501" t="s">
        <v>824</v>
      </c>
      <c r="E275" s="652"/>
      <c r="F275" s="653"/>
      <c r="G275" s="564" t="s">
        <v>18</v>
      </c>
      <c r="H275" s="633"/>
      <c r="I275" s="633">
        <v>154.63999999999999</v>
      </c>
      <c r="J275" s="633"/>
      <c r="K275" s="633">
        <f t="shared" si="145"/>
        <v>0</v>
      </c>
      <c r="L275" s="560">
        <f>+[191]Metrados!E276</f>
        <v>1</v>
      </c>
      <c r="M275" s="633">
        <f>+ROUND($I275*L275,2)</f>
        <v>154.63999999999999</v>
      </c>
      <c r="N275" s="633"/>
      <c r="O275" s="633">
        <f t="shared" si="148"/>
        <v>0</v>
      </c>
      <c r="P275" s="634">
        <f>+L275</f>
        <v>1</v>
      </c>
      <c r="Q275" s="633">
        <f>+ROUND($I275*P275,2)</f>
        <v>154.63999999999999</v>
      </c>
      <c r="R275" s="633"/>
      <c r="S275" s="633">
        <f t="shared" si="151"/>
        <v>0</v>
      </c>
      <c r="T275" s="633"/>
      <c r="U275" s="633">
        <f t="shared" si="152"/>
        <v>0</v>
      </c>
      <c r="V275" s="633"/>
      <c r="Y275" s="1146"/>
      <c r="Z275" s="1150">
        <v>0</v>
      </c>
    </row>
    <row r="276" spans="2:26" ht="21" customHeight="1" x14ac:dyDescent="0.25">
      <c r="B276" s="598"/>
      <c r="C276" s="603" t="e">
        <f>+C275+1</f>
        <v>#REF!</v>
      </c>
      <c r="D276" s="542"/>
      <c r="E276" s="604"/>
      <c r="F276" s="544" t="str">
        <f>+"SUB-TOTAL   "&amp;B239&amp;":  "</f>
        <v xml:space="preserve">SUB-TOTAL   5:  </v>
      </c>
      <c r="G276" s="440"/>
      <c r="H276" s="438"/>
      <c r="I276" s="438"/>
      <c r="J276" s="438"/>
      <c r="K276" s="548">
        <f>+SUM(K240:K275)</f>
        <v>17271.580000000002</v>
      </c>
      <c r="L276" s="540"/>
      <c r="M276" s="548">
        <f>+SUM(M240:M275)</f>
        <v>23927.360000000001</v>
      </c>
      <c r="N276" s="548"/>
      <c r="O276" s="548">
        <f>+SUM(O240:O275)</f>
        <v>1072.8499999999999</v>
      </c>
      <c r="P276" s="548"/>
      <c r="Q276" s="548">
        <f>+SUM(Q240:Q275)</f>
        <v>18641.879999999997</v>
      </c>
      <c r="R276" s="536"/>
      <c r="S276" s="548">
        <f>+SUM(S240:S275)</f>
        <v>13058.949999999999</v>
      </c>
      <c r="T276" s="536"/>
      <c r="U276" s="548">
        <f>+SUM(U240:U275)</f>
        <v>13058.949999999999</v>
      </c>
      <c r="V276" s="536"/>
      <c r="Y276" s="1146"/>
      <c r="Z276" s="1144">
        <v>0</v>
      </c>
    </row>
    <row r="277" spans="2:26" ht="21" customHeight="1" x14ac:dyDescent="0.25">
      <c r="B277" s="439">
        <v>6</v>
      </c>
      <c r="C277" s="480" t="e">
        <f>+C276+1</f>
        <v>#REF!</v>
      </c>
      <c r="D277" s="441" t="s">
        <v>540</v>
      </c>
      <c r="E277" s="486"/>
      <c r="F277" s="461"/>
      <c r="G277" s="440"/>
      <c r="H277" s="438"/>
      <c r="I277" s="438"/>
      <c r="J277" s="438"/>
      <c r="K277" s="600"/>
      <c r="L277" s="756"/>
      <c r="M277" s="600"/>
      <c r="N277" s="536"/>
      <c r="O277" s="600"/>
      <c r="P277" s="536"/>
      <c r="Q277" s="600"/>
      <c r="R277" s="536"/>
      <c r="S277" s="600"/>
      <c r="T277" s="536"/>
      <c r="U277" s="600"/>
      <c r="V277" s="536"/>
      <c r="Y277" s="1146"/>
      <c r="Z277" s="1144">
        <v>0</v>
      </c>
    </row>
    <row r="278" spans="2:26" ht="21" customHeight="1" x14ac:dyDescent="0.25">
      <c r="B278" s="554">
        <v>6.01</v>
      </c>
      <c r="C278" s="584" t="e">
        <f>+C277+1</f>
        <v>#REF!</v>
      </c>
      <c r="D278" s="495" t="s">
        <v>539</v>
      </c>
      <c r="E278" s="511"/>
      <c r="F278" s="512"/>
      <c r="G278" s="530" t="s">
        <v>12</v>
      </c>
      <c r="H278" s="553">
        <v>1416.22</v>
      </c>
      <c r="I278" s="553"/>
      <c r="J278" s="553">
        <v>53.4</v>
      </c>
      <c r="K278" s="553">
        <f>+ROUND($H278*J278,2)</f>
        <v>75626.149999999994</v>
      </c>
      <c r="L278" s="553">
        <f>+[191]Metrados!E279</f>
        <v>51.18</v>
      </c>
      <c r="M278" s="553">
        <f>+ROUND($H278*L278,2)</f>
        <v>72482.14</v>
      </c>
      <c r="N278" s="553">
        <f>+IF($L278-$J278&gt;=0,$L278-$J278,0)</f>
        <v>0</v>
      </c>
      <c r="O278" s="553">
        <f>+ROUND($H278*N278,2)</f>
        <v>0</v>
      </c>
      <c r="P278" s="553"/>
      <c r="Q278" s="553">
        <f>+ROUND($H278*P278,2)</f>
        <v>0</v>
      </c>
      <c r="R278" s="553">
        <f>+IF($L278-$J278&lt;=0,-$L278+$J278,0)</f>
        <v>2.2199999999999989</v>
      </c>
      <c r="S278" s="553">
        <f>+ROUND($H278*R278,2)</f>
        <v>3144.01</v>
      </c>
      <c r="T278" s="553">
        <f>+R278</f>
        <v>2.2199999999999989</v>
      </c>
      <c r="U278" s="553">
        <f>+ROUND($H278*T278,2)</f>
        <v>3144.01</v>
      </c>
      <c r="V278" s="553" t="s">
        <v>852</v>
      </c>
      <c r="Y278" s="1146"/>
      <c r="Z278" s="1144">
        <v>0</v>
      </c>
    </row>
    <row r="279" spans="2:26" ht="21" customHeight="1" x14ac:dyDescent="0.25">
      <c r="B279" s="554">
        <v>6.02</v>
      </c>
      <c r="C279" s="576" t="e">
        <f>+C278+1</f>
        <v>#REF!</v>
      </c>
      <c r="D279" s="495" t="s">
        <v>538</v>
      </c>
      <c r="E279" s="496"/>
      <c r="F279" s="497"/>
      <c r="G279" s="530" t="s">
        <v>12</v>
      </c>
      <c r="H279" s="553">
        <v>1514.94</v>
      </c>
      <c r="I279" s="553"/>
      <c r="J279" s="553">
        <v>1.91</v>
      </c>
      <c r="K279" s="553">
        <f>+ROUND($H279*J279,2)</f>
        <v>2893.54</v>
      </c>
      <c r="L279" s="553">
        <f>+[191]Metrados!E280</f>
        <v>1.17</v>
      </c>
      <c r="M279" s="553">
        <f>+ROUND($H279*L279,2)</f>
        <v>1772.48</v>
      </c>
      <c r="N279" s="553">
        <f>+IF($L279-$J279&gt;=0,$L279-$J279,0)</f>
        <v>0</v>
      </c>
      <c r="O279" s="553">
        <f>+ROUND($H279*N279,2)</f>
        <v>0</v>
      </c>
      <c r="P279" s="553"/>
      <c r="Q279" s="553">
        <f>+ROUND($H279*P279,2)</f>
        <v>0</v>
      </c>
      <c r="R279" s="553">
        <f>+IF($L279-$J279&lt;=0,-$L279+$J279,0)</f>
        <v>0.74</v>
      </c>
      <c r="S279" s="553">
        <f>+ROUND($H279*R279,2)</f>
        <v>1121.06</v>
      </c>
      <c r="T279" s="553">
        <f>+R279</f>
        <v>0.74</v>
      </c>
      <c r="U279" s="553">
        <f>+ROUND($H279*T279,2)</f>
        <v>1121.06</v>
      </c>
      <c r="V279" s="553" t="s">
        <v>852</v>
      </c>
      <c r="Y279" s="1146"/>
      <c r="Z279" s="1144">
        <v>0</v>
      </c>
    </row>
    <row r="280" spans="2:26" ht="21" customHeight="1" x14ac:dyDescent="0.25">
      <c r="B280" s="598"/>
      <c r="C280" s="575" t="e">
        <f>+#REF!+1</f>
        <v>#REF!</v>
      </c>
      <c r="D280" s="542"/>
      <c r="E280" s="599"/>
      <c r="F280" s="544" t="str">
        <f>+"SUB-TOTAL   "&amp;B277&amp;":  "</f>
        <v xml:space="preserve">SUB-TOTAL   6:  </v>
      </c>
      <c r="G280" s="567"/>
      <c r="H280" s="540"/>
      <c r="I280" s="540"/>
      <c r="J280" s="540"/>
      <c r="K280" s="610">
        <f>+SUM(K278:K279)</f>
        <v>78519.689999999988</v>
      </c>
      <c r="L280" s="540"/>
      <c r="M280" s="610">
        <f>+SUM(M278:M279)</f>
        <v>74254.62</v>
      </c>
      <c r="N280" s="540">
        <f>+IF($L280-$J280&gt;=0,$L280-$J280,0)</f>
        <v>0</v>
      </c>
      <c r="O280" s="610">
        <f>+SUM(O278:O279)</f>
        <v>0</v>
      </c>
      <c r="P280" s="540"/>
      <c r="Q280" s="610">
        <f>+SUM(Q278:Q279)</f>
        <v>0</v>
      </c>
      <c r="R280" s="540">
        <f>+IF($L280-$J280&lt;=0,-$L280+$J280,0)</f>
        <v>0</v>
      </c>
      <c r="S280" s="610">
        <f>+SUM(S278:S279)</f>
        <v>4265.07</v>
      </c>
      <c r="T280" s="540"/>
      <c r="U280" s="610">
        <f>+SUM(U278:U279)</f>
        <v>4265.07</v>
      </c>
      <c r="V280" s="540"/>
      <c r="Y280" s="1146"/>
      <c r="Z280" s="1144">
        <v>0</v>
      </c>
    </row>
    <row r="281" spans="2:26" ht="21" customHeight="1" x14ac:dyDescent="0.25">
      <c r="B281" s="439">
        <v>7</v>
      </c>
      <c r="C281" s="482" t="e">
        <f t="shared" ref="C281:C287" si="166">+C280+1</f>
        <v>#REF!</v>
      </c>
      <c r="D281" s="441" t="s">
        <v>33</v>
      </c>
      <c r="E281" s="487"/>
      <c r="F281" s="469"/>
      <c r="G281" s="440"/>
      <c r="H281" s="438"/>
      <c r="I281" s="438"/>
      <c r="J281" s="438"/>
      <c r="K281" s="470"/>
      <c r="L281" s="756"/>
      <c r="M281" s="470"/>
      <c r="N281" s="470"/>
      <c r="O281" s="470"/>
      <c r="P281" s="470"/>
      <c r="Q281" s="470"/>
      <c r="R281" s="470"/>
      <c r="S281" s="470"/>
      <c r="T281" s="470"/>
      <c r="U281" s="470"/>
      <c r="V281" s="470"/>
      <c r="Y281" s="1146"/>
      <c r="Z281" s="1144">
        <v>0</v>
      </c>
    </row>
    <row r="282" spans="2:26" ht="21" customHeight="1" x14ac:dyDescent="0.25">
      <c r="B282" s="554">
        <v>7.01</v>
      </c>
      <c r="C282" s="577" t="e">
        <f t="shared" si="166"/>
        <v>#REF!</v>
      </c>
      <c r="D282" s="495" t="s">
        <v>537</v>
      </c>
      <c r="E282" s="517"/>
      <c r="F282" s="518"/>
      <c r="G282" s="530" t="s">
        <v>526</v>
      </c>
      <c r="H282" s="553">
        <v>61.15</v>
      </c>
      <c r="I282" s="553"/>
      <c r="J282" s="553">
        <v>261.14999999999998</v>
      </c>
      <c r="K282" s="553">
        <f t="shared" ref="K282:K290" si="167">+ROUND($H282*J282,2)</f>
        <v>15969.32</v>
      </c>
      <c r="L282" s="553">
        <f>+[191]Metrados!E283</f>
        <v>284.22000000000003</v>
      </c>
      <c r="M282" s="553">
        <f t="shared" ref="M282:M288" si="168">+ROUND($H282*L282,2)</f>
        <v>17380.05</v>
      </c>
      <c r="N282" s="553">
        <f t="shared" ref="N282:N288" si="169">+IF($L282-$J282&gt;=0,$L282-$J282,0)</f>
        <v>23.07000000000005</v>
      </c>
      <c r="O282" s="553">
        <f t="shared" ref="O282:O290" si="170">+ROUND($H282*N282,2)</f>
        <v>1410.73</v>
      </c>
      <c r="P282" s="553"/>
      <c r="Q282" s="553">
        <f t="shared" ref="Q282:Q288" si="171">+ROUND($H282*P282,2)</f>
        <v>0</v>
      </c>
      <c r="R282" s="553">
        <f t="shared" ref="R282:R288" si="172">+IF($L282-$J282&lt;=0,-$L282+$J282,0)</f>
        <v>0</v>
      </c>
      <c r="S282" s="553">
        <f t="shared" ref="S282:S290" si="173">+ROUND($H282*R282,2)</f>
        <v>0</v>
      </c>
      <c r="T282" s="553"/>
      <c r="U282" s="553">
        <f t="shared" ref="U282:U290" si="174">+ROUND($H282*T282,2)</f>
        <v>0</v>
      </c>
      <c r="V282" s="553"/>
      <c r="Y282" s="1146"/>
      <c r="Z282" s="1144">
        <v>-6.0399999999999636</v>
      </c>
    </row>
    <row r="283" spans="2:26" ht="21" customHeight="1" x14ac:dyDescent="0.25">
      <c r="B283" s="554">
        <v>7.02</v>
      </c>
      <c r="C283" s="577" t="e">
        <f t="shared" si="166"/>
        <v>#REF!</v>
      </c>
      <c r="D283" s="495" t="s">
        <v>536</v>
      </c>
      <c r="E283" s="519"/>
      <c r="F283" s="520"/>
      <c r="G283" s="530" t="s">
        <v>526</v>
      </c>
      <c r="H283" s="606">
        <v>208.14</v>
      </c>
      <c r="I283" s="606"/>
      <c r="J283" s="553">
        <v>12.56</v>
      </c>
      <c r="K283" s="553">
        <f t="shared" si="167"/>
        <v>2614.2399999999998</v>
      </c>
      <c r="L283" s="553">
        <f>+[191]Metrados!E284</f>
        <v>15.1</v>
      </c>
      <c r="M283" s="553">
        <f t="shared" si="168"/>
        <v>3142.91</v>
      </c>
      <c r="N283" s="553">
        <f t="shared" si="169"/>
        <v>2.5399999999999991</v>
      </c>
      <c r="O283" s="553">
        <f t="shared" si="170"/>
        <v>528.67999999999995</v>
      </c>
      <c r="P283" s="606"/>
      <c r="Q283" s="553">
        <f t="shared" si="171"/>
        <v>0</v>
      </c>
      <c r="R283" s="553">
        <f t="shared" si="172"/>
        <v>0</v>
      </c>
      <c r="S283" s="553">
        <f t="shared" si="173"/>
        <v>0</v>
      </c>
      <c r="T283" s="606"/>
      <c r="U283" s="553">
        <f t="shared" si="174"/>
        <v>0</v>
      </c>
      <c r="V283" s="606"/>
      <c r="Y283" s="1146"/>
      <c r="Z283" s="1144">
        <v>6.0399999999999991</v>
      </c>
    </row>
    <row r="284" spans="2:26" ht="21" customHeight="1" x14ac:dyDescent="0.25">
      <c r="B284" s="554">
        <v>7.0299999999999994</v>
      </c>
      <c r="C284" s="584" t="e">
        <f t="shared" si="166"/>
        <v>#REF!</v>
      </c>
      <c r="D284" s="495" t="s">
        <v>535</v>
      </c>
      <c r="E284" s="521"/>
      <c r="F284" s="522"/>
      <c r="G284" s="530" t="s">
        <v>11</v>
      </c>
      <c r="H284" s="553">
        <v>39.47</v>
      </c>
      <c r="I284" s="553"/>
      <c r="J284" s="553">
        <v>158</v>
      </c>
      <c r="K284" s="553">
        <f t="shared" si="167"/>
        <v>6236.26</v>
      </c>
      <c r="L284" s="553">
        <f>+[191]Metrados!E285</f>
        <v>162</v>
      </c>
      <c r="M284" s="553">
        <f t="shared" si="168"/>
        <v>6394.14</v>
      </c>
      <c r="N284" s="553">
        <f t="shared" si="169"/>
        <v>4</v>
      </c>
      <c r="O284" s="553">
        <f t="shared" si="170"/>
        <v>157.88</v>
      </c>
      <c r="P284" s="553"/>
      <c r="Q284" s="553">
        <f t="shared" si="171"/>
        <v>0</v>
      </c>
      <c r="R284" s="553">
        <f t="shared" si="172"/>
        <v>0</v>
      </c>
      <c r="S284" s="553">
        <f t="shared" si="173"/>
        <v>0</v>
      </c>
      <c r="T284" s="553"/>
      <c r="U284" s="553">
        <f t="shared" si="174"/>
        <v>0</v>
      </c>
      <c r="V284" s="553"/>
      <c r="Y284" s="1146"/>
      <c r="Z284" s="1144">
        <v>0</v>
      </c>
    </row>
    <row r="285" spans="2:26" ht="21" customHeight="1" x14ac:dyDescent="0.25">
      <c r="B285" s="554">
        <v>7.0399999999999991</v>
      </c>
      <c r="C285" s="584" t="e">
        <f t="shared" si="166"/>
        <v>#REF!</v>
      </c>
      <c r="D285" s="495" t="s">
        <v>534</v>
      </c>
      <c r="E285" s="521"/>
      <c r="F285" s="522"/>
      <c r="G285" s="530" t="s">
        <v>11</v>
      </c>
      <c r="H285" s="553">
        <v>54.98</v>
      </c>
      <c r="I285" s="553"/>
      <c r="J285" s="553">
        <v>13</v>
      </c>
      <c r="K285" s="553">
        <f t="shared" si="167"/>
        <v>714.74</v>
      </c>
      <c r="L285" s="553">
        <f>+[191]Metrados!E286</f>
        <v>10</v>
      </c>
      <c r="M285" s="553">
        <f t="shared" si="168"/>
        <v>549.79999999999995</v>
      </c>
      <c r="N285" s="553">
        <f t="shared" si="169"/>
        <v>0</v>
      </c>
      <c r="O285" s="553">
        <f t="shared" si="170"/>
        <v>0</v>
      </c>
      <c r="P285" s="553"/>
      <c r="Q285" s="553">
        <f t="shared" si="171"/>
        <v>0</v>
      </c>
      <c r="R285" s="553">
        <f t="shared" si="172"/>
        <v>3</v>
      </c>
      <c r="S285" s="553">
        <f t="shared" si="173"/>
        <v>164.94</v>
      </c>
      <c r="T285" s="553"/>
      <c r="U285" s="553">
        <f t="shared" si="174"/>
        <v>0</v>
      </c>
      <c r="V285" s="553"/>
      <c r="Y285" s="1146"/>
      <c r="Z285" s="1144">
        <v>0</v>
      </c>
    </row>
    <row r="286" spans="2:26" ht="21" customHeight="1" x14ac:dyDescent="0.25">
      <c r="B286" s="554">
        <v>7.0499999999999989</v>
      </c>
      <c r="C286" s="584" t="e">
        <f t="shared" si="166"/>
        <v>#REF!</v>
      </c>
      <c r="D286" s="495" t="s">
        <v>533</v>
      </c>
      <c r="E286" s="493"/>
      <c r="F286" s="494"/>
      <c r="G286" s="530" t="s">
        <v>11</v>
      </c>
      <c r="H286" s="553">
        <v>54.34</v>
      </c>
      <c r="I286" s="553"/>
      <c r="J286" s="553">
        <v>7</v>
      </c>
      <c r="K286" s="553">
        <f t="shared" si="167"/>
        <v>380.38</v>
      </c>
      <c r="L286" s="553">
        <f>+[191]Metrados!E287</f>
        <v>0</v>
      </c>
      <c r="M286" s="553">
        <f t="shared" si="168"/>
        <v>0</v>
      </c>
      <c r="N286" s="553">
        <f t="shared" si="169"/>
        <v>0</v>
      </c>
      <c r="O286" s="553">
        <f t="shared" si="170"/>
        <v>0</v>
      </c>
      <c r="P286" s="553"/>
      <c r="Q286" s="553">
        <f t="shared" si="171"/>
        <v>0</v>
      </c>
      <c r="R286" s="553">
        <f t="shared" si="172"/>
        <v>7</v>
      </c>
      <c r="S286" s="553">
        <f t="shared" si="173"/>
        <v>380.38</v>
      </c>
      <c r="T286" s="553"/>
      <c r="U286" s="553">
        <f t="shared" si="174"/>
        <v>0</v>
      </c>
      <c r="V286" s="553"/>
      <c r="Y286" s="1146"/>
      <c r="Z286" s="1144">
        <v>0</v>
      </c>
    </row>
    <row r="287" spans="2:26" ht="21" customHeight="1" x14ac:dyDescent="0.25">
      <c r="B287" s="554">
        <v>7.0599999999999987</v>
      </c>
      <c r="C287" s="584" t="e">
        <f t="shared" si="166"/>
        <v>#REF!</v>
      </c>
      <c r="D287" s="495" t="s">
        <v>532</v>
      </c>
      <c r="E287" s="523"/>
      <c r="F287" s="524"/>
      <c r="G287" s="530" t="s">
        <v>11</v>
      </c>
      <c r="H287" s="553">
        <v>63.45</v>
      </c>
      <c r="I287" s="553"/>
      <c r="J287" s="553">
        <v>2</v>
      </c>
      <c r="K287" s="553">
        <f t="shared" si="167"/>
        <v>126.9</v>
      </c>
      <c r="L287" s="553">
        <f>+[191]Metrados!E288</f>
        <v>0</v>
      </c>
      <c r="M287" s="553">
        <f t="shared" si="168"/>
        <v>0</v>
      </c>
      <c r="N287" s="553">
        <f t="shared" si="169"/>
        <v>0</v>
      </c>
      <c r="O287" s="553">
        <f t="shared" si="170"/>
        <v>0</v>
      </c>
      <c r="P287" s="553"/>
      <c r="Q287" s="553">
        <f t="shared" si="171"/>
        <v>0</v>
      </c>
      <c r="R287" s="553">
        <f t="shared" si="172"/>
        <v>2</v>
      </c>
      <c r="S287" s="553">
        <f t="shared" si="173"/>
        <v>126.9</v>
      </c>
      <c r="T287" s="553"/>
      <c r="U287" s="553">
        <f t="shared" si="174"/>
        <v>0</v>
      </c>
      <c r="V287" s="553"/>
      <c r="Y287" s="1146"/>
      <c r="Z287" s="1144">
        <v>0</v>
      </c>
    </row>
    <row r="288" spans="2:26" ht="21" customHeight="1" x14ac:dyDescent="0.25">
      <c r="B288" s="554">
        <v>7.0699999999999985</v>
      </c>
      <c r="C288" s="554">
        <v>7.0699999999999985</v>
      </c>
      <c r="D288" s="495" t="s">
        <v>531</v>
      </c>
      <c r="E288" s="523"/>
      <c r="F288" s="524"/>
      <c r="G288" s="530" t="s">
        <v>526</v>
      </c>
      <c r="H288" s="553">
        <v>68.819999999999993</v>
      </c>
      <c r="I288" s="553"/>
      <c r="J288" s="553">
        <v>269.60000000000002</v>
      </c>
      <c r="K288" s="553">
        <f t="shared" si="167"/>
        <v>18553.87</v>
      </c>
      <c r="L288" s="553">
        <f>+[191]Metrados!E289</f>
        <v>296.39999999999998</v>
      </c>
      <c r="M288" s="553">
        <f t="shared" si="168"/>
        <v>20398.25</v>
      </c>
      <c r="N288" s="553">
        <f t="shared" si="169"/>
        <v>26.799999999999955</v>
      </c>
      <c r="O288" s="553">
        <f t="shared" si="170"/>
        <v>1844.38</v>
      </c>
      <c r="P288" s="553"/>
      <c r="Q288" s="553">
        <f t="shared" si="171"/>
        <v>0</v>
      </c>
      <c r="R288" s="553">
        <f t="shared" si="172"/>
        <v>0</v>
      </c>
      <c r="S288" s="553">
        <f t="shared" si="173"/>
        <v>0</v>
      </c>
      <c r="T288" s="553"/>
      <c r="U288" s="553">
        <f t="shared" si="174"/>
        <v>0</v>
      </c>
      <c r="V288" s="553"/>
      <c r="Y288" s="1146"/>
      <c r="Z288" s="1144">
        <v>0</v>
      </c>
    </row>
    <row r="289" spans="2:26" s="547" customFormat="1" ht="21" customHeight="1" x14ac:dyDescent="0.25">
      <c r="B289" s="617">
        <v>7.08</v>
      </c>
      <c r="C289" s="577" t="e">
        <f>+#REF!+1</f>
        <v>#REF!</v>
      </c>
      <c r="D289" s="501" t="s">
        <v>651</v>
      </c>
      <c r="E289" s="651"/>
      <c r="F289" s="643"/>
      <c r="G289" s="564" t="s">
        <v>11</v>
      </c>
      <c r="H289" s="633"/>
      <c r="I289" s="633">
        <f>+H285*2</f>
        <v>109.96</v>
      </c>
      <c r="J289" s="560"/>
      <c r="K289" s="560">
        <f t="shared" si="167"/>
        <v>0</v>
      </c>
      <c r="L289" s="560">
        <f>+[191]Metrados!E290</f>
        <v>8</v>
      </c>
      <c r="M289" s="560">
        <f>+ROUND($I289*L289,2)</f>
        <v>879.68</v>
      </c>
      <c r="N289" s="633"/>
      <c r="O289" s="633">
        <f t="shared" si="170"/>
        <v>0</v>
      </c>
      <c r="P289" s="634">
        <f>+L289</f>
        <v>8</v>
      </c>
      <c r="Q289" s="633">
        <f>+ROUND($I289*P289,2)</f>
        <v>879.68</v>
      </c>
      <c r="R289" s="633"/>
      <c r="S289" s="633">
        <f t="shared" si="173"/>
        <v>0</v>
      </c>
      <c r="T289" s="633"/>
      <c r="U289" s="633">
        <f t="shared" si="174"/>
        <v>0</v>
      </c>
      <c r="V289" s="633"/>
      <c r="Y289" s="1146"/>
      <c r="Z289" s="1150">
        <v>0</v>
      </c>
    </row>
    <row r="290" spans="2:26" s="547" customFormat="1" ht="16.2" hidden="1" customHeight="1" x14ac:dyDescent="0.25">
      <c r="B290" s="617">
        <v>7.09</v>
      </c>
      <c r="C290" s="577" t="e">
        <f t="shared" ref="C290:C298" si="175">+C289+1</f>
        <v>#REF!</v>
      </c>
      <c r="D290" s="501" t="s">
        <v>652</v>
      </c>
      <c r="E290" s="652"/>
      <c r="F290" s="653"/>
      <c r="G290" s="766" t="s">
        <v>11</v>
      </c>
      <c r="H290" s="767"/>
      <c r="I290" s="767">
        <v>0</v>
      </c>
      <c r="J290" s="633"/>
      <c r="K290" s="633">
        <f t="shared" si="167"/>
        <v>0</v>
      </c>
      <c r="L290" s="553">
        <f>+[191]Metrados!E291</f>
        <v>0</v>
      </c>
      <c r="M290" s="633">
        <f>+ROUND($I290*L290,2)</f>
        <v>0</v>
      </c>
      <c r="N290" s="767"/>
      <c r="O290" s="767">
        <f t="shared" si="170"/>
        <v>0</v>
      </c>
      <c r="P290" s="768">
        <f>+L290</f>
        <v>0</v>
      </c>
      <c r="Q290" s="767">
        <f>+ROUND($I290*P290,2)</f>
        <v>0</v>
      </c>
      <c r="R290" s="767"/>
      <c r="S290" s="767">
        <f t="shared" si="173"/>
        <v>0</v>
      </c>
      <c r="T290" s="767"/>
      <c r="U290" s="767">
        <f t="shared" si="174"/>
        <v>0</v>
      </c>
      <c r="V290" s="767"/>
      <c r="Y290" s="1146"/>
      <c r="Z290" s="1144">
        <v>0</v>
      </c>
    </row>
    <row r="291" spans="2:26" ht="21" customHeight="1" x14ac:dyDescent="0.25">
      <c r="B291" s="598"/>
      <c r="C291" s="603" t="e">
        <f t="shared" si="175"/>
        <v>#REF!</v>
      </c>
      <c r="D291" s="542"/>
      <c r="E291" s="604"/>
      <c r="F291" s="544" t="str">
        <f>+"SUB-TOTAL   "&amp;B281&amp;":  "</f>
        <v xml:space="preserve">SUB-TOTAL   7:  </v>
      </c>
      <c r="G291" s="440"/>
      <c r="H291" s="438"/>
      <c r="I291" s="438"/>
      <c r="J291" s="540"/>
      <c r="K291" s="716">
        <f>+SUM(K282:K290)</f>
        <v>44595.710000000006</v>
      </c>
      <c r="L291" s="540"/>
      <c r="M291" s="716">
        <f>+SUM(M282:M290)</f>
        <v>48744.829999999994</v>
      </c>
      <c r="N291" s="548"/>
      <c r="O291" s="548">
        <f>+SUM(O282:O290)</f>
        <v>3941.67</v>
      </c>
      <c r="P291" s="548"/>
      <c r="Q291" s="548">
        <f>+SUM(Q282:Q290)</f>
        <v>879.68</v>
      </c>
      <c r="R291" s="536"/>
      <c r="S291" s="548">
        <f>+SUM(S282:S290)</f>
        <v>672.21999999999991</v>
      </c>
      <c r="T291" s="536"/>
      <c r="U291" s="548">
        <f>+SUM(U282:U290)</f>
        <v>0</v>
      </c>
      <c r="V291" s="536"/>
      <c r="Y291" s="1146"/>
      <c r="Z291" s="1144">
        <v>0</v>
      </c>
    </row>
    <row r="292" spans="2:26" s="418" customFormat="1" ht="21" customHeight="1" x14ac:dyDescent="0.25">
      <c r="B292" s="439">
        <v>8</v>
      </c>
      <c r="C292" s="482" t="e">
        <f t="shared" si="175"/>
        <v>#REF!</v>
      </c>
      <c r="D292" s="441" t="s">
        <v>530</v>
      </c>
      <c r="E292" s="487"/>
      <c r="F292" s="469"/>
      <c r="G292" s="440"/>
      <c r="H292" s="438"/>
      <c r="I292" s="438"/>
      <c r="J292" s="438"/>
      <c r="K292" s="470"/>
      <c r="L292" s="756"/>
      <c r="M292" s="470"/>
      <c r="N292" s="470"/>
      <c r="O292" s="470"/>
      <c r="P292" s="470"/>
      <c r="Q292" s="470"/>
      <c r="R292" s="470"/>
      <c r="S292" s="470"/>
      <c r="T292" s="470"/>
      <c r="U292" s="470"/>
      <c r="V292" s="470"/>
      <c r="Y292" s="1146"/>
      <c r="Z292" s="1144">
        <v>0</v>
      </c>
    </row>
    <row r="293" spans="2:26" s="418" customFormat="1" ht="21" customHeight="1" x14ac:dyDescent="0.25">
      <c r="B293" s="554">
        <v>8.01</v>
      </c>
      <c r="C293" s="577" t="e">
        <f t="shared" si="175"/>
        <v>#REF!</v>
      </c>
      <c r="D293" s="495" t="s">
        <v>529</v>
      </c>
      <c r="E293" s="517"/>
      <c r="F293" s="518"/>
      <c r="G293" s="530" t="s">
        <v>526</v>
      </c>
      <c r="H293" s="553">
        <v>61.15</v>
      </c>
      <c r="I293" s="553"/>
      <c r="J293" s="553">
        <v>86.3</v>
      </c>
      <c r="K293" s="553">
        <f t="shared" ref="K293:K300" si="176">+ROUND($H293*J293,2)</f>
        <v>5277.25</v>
      </c>
      <c r="L293" s="553">
        <f>+[191]Metrados!E294</f>
        <v>175.84</v>
      </c>
      <c r="M293" s="553">
        <f t="shared" ref="M293:M298" si="177">+ROUND($H293*L293,2)</f>
        <v>10752.62</v>
      </c>
      <c r="N293" s="553">
        <f t="shared" ref="N293:N298" si="178">+IF($L293-$J293&gt;=0,$L293-$J293,0)</f>
        <v>89.54</v>
      </c>
      <c r="O293" s="553">
        <f t="shared" ref="O293:O300" si="179">+ROUND($H293*N293,2)</f>
        <v>5475.37</v>
      </c>
      <c r="P293" s="553"/>
      <c r="Q293" s="553">
        <f t="shared" ref="Q293:Q298" si="180">+ROUND($H293*P293,2)</f>
        <v>0</v>
      </c>
      <c r="R293" s="553">
        <f t="shared" ref="R293:R298" si="181">+IF($L293-$J293&lt;=0,-$L293+$J293,0)</f>
        <v>0</v>
      </c>
      <c r="S293" s="553">
        <f t="shared" ref="S293:S300" si="182">+ROUND($H293*R293,2)</f>
        <v>0</v>
      </c>
      <c r="T293" s="553"/>
      <c r="U293" s="553">
        <f t="shared" ref="U293:U300" si="183">+ROUND($H293*T293,2)</f>
        <v>0</v>
      </c>
      <c r="V293" s="553"/>
      <c r="Y293" s="1146"/>
      <c r="Z293" s="1144">
        <v>0</v>
      </c>
    </row>
    <row r="294" spans="2:26" s="418" customFormat="1" ht="21" customHeight="1" x14ac:dyDescent="0.25">
      <c r="B294" s="554">
        <v>8.02</v>
      </c>
      <c r="C294" s="577" t="e">
        <f t="shared" si="175"/>
        <v>#REF!</v>
      </c>
      <c r="D294" s="495" t="s">
        <v>528</v>
      </c>
      <c r="E294" s="757"/>
      <c r="F294" s="758"/>
      <c r="G294" s="530" t="s">
        <v>526</v>
      </c>
      <c r="H294" s="713">
        <v>208.14</v>
      </c>
      <c r="I294" s="713"/>
      <c r="J294" s="553">
        <v>12.33</v>
      </c>
      <c r="K294" s="553">
        <f t="shared" si="176"/>
        <v>2566.37</v>
      </c>
      <c r="L294" s="553">
        <f>+[191]Metrados!E295</f>
        <v>9.25</v>
      </c>
      <c r="M294" s="553">
        <f t="shared" si="177"/>
        <v>1925.3</v>
      </c>
      <c r="N294" s="553">
        <f t="shared" si="178"/>
        <v>0</v>
      </c>
      <c r="O294" s="553">
        <f t="shared" si="179"/>
        <v>0</v>
      </c>
      <c r="P294" s="713"/>
      <c r="Q294" s="553">
        <f t="shared" si="180"/>
        <v>0</v>
      </c>
      <c r="R294" s="553">
        <f t="shared" si="181"/>
        <v>3.08</v>
      </c>
      <c r="S294" s="553">
        <f t="shared" si="182"/>
        <v>641.07000000000005</v>
      </c>
      <c r="T294" s="713">
        <f>+R294</f>
        <v>3.08</v>
      </c>
      <c r="U294" s="553">
        <f t="shared" si="183"/>
        <v>641.07000000000005</v>
      </c>
      <c r="V294" s="553" t="s">
        <v>866</v>
      </c>
      <c r="Y294" s="1146"/>
      <c r="Z294" s="1144">
        <v>0</v>
      </c>
    </row>
    <row r="295" spans="2:26" s="418" customFormat="1" ht="21" customHeight="1" x14ac:dyDescent="0.25">
      <c r="B295" s="554">
        <v>8.0299999999999994</v>
      </c>
      <c r="C295" s="584" t="e">
        <f t="shared" si="175"/>
        <v>#REF!</v>
      </c>
      <c r="D295" s="495" t="s">
        <v>527</v>
      </c>
      <c r="E295" s="521"/>
      <c r="F295" s="522"/>
      <c r="G295" s="530" t="s">
        <v>526</v>
      </c>
      <c r="H295" s="553">
        <v>68.819999999999993</v>
      </c>
      <c r="I295" s="553"/>
      <c r="J295" s="553">
        <v>98.63</v>
      </c>
      <c r="K295" s="553">
        <f t="shared" si="176"/>
        <v>6787.72</v>
      </c>
      <c r="L295" s="553">
        <f>+[191]Metrados!E296</f>
        <v>185.1</v>
      </c>
      <c r="M295" s="553">
        <f t="shared" si="177"/>
        <v>12738.58</v>
      </c>
      <c r="N295" s="553">
        <f t="shared" si="178"/>
        <v>86.47</v>
      </c>
      <c r="O295" s="553">
        <f t="shared" si="179"/>
        <v>5950.87</v>
      </c>
      <c r="P295" s="553"/>
      <c r="Q295" s="553">
        <f t="shared" si="180"/>
        <v>0</v>
      </c>
      <c r="R295" s="553">
        <f t="shared" si="181"/>
        <v>0</v>
      </c>
      <c r="S295" s="553">
        <f t="shared" si="182"/>
        <v>0</v>
      </c>
      <c r="T295" s="553"/>
      <c r="U295" s="553">
        <f t="shared" si="183"/>
        <v>0</v>
      </c>
      <c r="V295" s="553"/>
      <c r="Y295" s="1146"/>
      <c r="Z295" s="1144">
        <v>0</v>
      </c>
    </row>
    <row r="296" spans="2:26" s="418" customFormat="1" ht="21" customHeight="1" x14ac:dyDescent="0.25">
      <c r="B296" s="554">
        <v>8.0399999999999991</v>
      </c>
      <c r="C296" s="584" t="e">
        <f t="shared" si="175"/>
        <v>#REF!</v>
      </c>
      <c r="D296" s="495" t="s">
        <v>525</v>
      </c>
      <c r="E296" s="521"/>
      <c r="F296" s="522"/>
      <c r="G296" s="530" t="s">
        <v>11</v>
      </c>
      <c r="H296" s="553">
        <v>24.62</v>
      </c>
      <c r="I296" s="553"/>
      <c r="J296" s="553">
        <v>60</v>
      </c>
      <c r="K296" s="553">
        <f t="shared" si="176"/>
        <v>1477.2</v>
      </c>
      <c r="L296" s="553">
        <f>+[191]Metrados!E297</f>
        <v>0</v>
      </c>
      <c r="M296" s="553">
        <f t="shared" si="177"/>
        <v>0</v>
      </c>
      <c r="N296" s="553">
        <f t="shared" si="178"/>
        <v>0</v>
      </c>
      <c r="O296" s="553">
        <f t="shared" si="179"/>
        <v>0</v>
      </c>
      <c r="P296" s="553"/>
      <c r="Q296" s="553">
        <f t="shared" si="180"/>
        <v>0</v>
      </c>
      <c r="R296" s="553">
        <f t="shared" si="181"/>
        <v>60</v>
      </c>
      <c r="S296" s="553">
        <f t="shared" si="182"/>
        <v>1477.2</v>
      </c>
      <c r="T296" s="553">
        <f>+R296</f>
        <v>60</v>
      </c>
      <c r="U296" s="553">
        <f t="shared" si="183"/>
        <v>1477.2</v>
      </c>
      <c r="V296" s="553" t="s">
        <v>867</v>
      </c>
      <c r="Y296" s="1146"/>
      <c r="Z296" s="1144">
        <v>0</v>
      </c>
    </row>
    <row r="297" spans="2:26" s="418" customFormat="1" ht="21" customHeight="1" x14ac:dyDescent="0.25">
      <c r="B297" s="554">
        <v>8.0499999999999989</v>
      </c>
      <c r="C297" s="584" t="e">
        <f t="shared" si="175"/>
        <v>#REF!</v>
      </c>
      <c r="D297" s="495" t="s">
        <v>524</v>
      </c>
      <c r="E297" s="493"/>
      <c r="F297" s="494"/>
      <c r="G297" s="530" t="s">
        <v>13</v>
      </c>
      <c r="H297" s="553">
        <v>77.400000000000006</v>
      </c>
      <c r="I297" s="553"/>
      <c r="J297" s="553">
        <v>673.12</v>
      </c>
      <c r="K297" s="553">
        <f t="shared" si="176"/>
        <v>52099.49</v>
      </c>
      <c r="L297" s="553">
        <f>+[191]Metrados!E298</f>
        <v>764.75</v>
      </c>
      <c r="M297" s="553">
        <f t="shared" si="177"/>
        <v>59191.65</v>
      </c>
      <c r="N297" s="553">
        <f t="shared" si="178"/>
        <v>91.63</v>
      </c>
      <c r="O297" s="553">
        <f t="shared" si="179"/>
        <v>7092.16</v>
      </c>
      <c r="P297" s="553"/>
      <c r="Q297" s="553">
        <f t="shared" si="180"/>
        <v>0</v>
      </c>
      <c r="R297" s="553">
        <f t="shared" si="181"/>
        <v>0</v>
      </c>
      <c r="S297" s="553">
        <f t="shared" si="182"/>
        <v>0</v>
      </c>
      <c r="T297" s="553"/>
      <c r="U297" s="553">
        <f t="shared" si="183"/>
        <v>0</v>
      </c>
      <c r="V297" s="553"/>
      <c r="Y297" s="1146"/>
      <c r="Z297" s="1144">
        <v>0</v>
      </c>
    </row>
    <row r="298" spans="2:26" s="418" customFormat="1" ht="21" customHeight="1" x14ac:dyDescent="0.25">
      <c r="B298" s="554">
        <v>8.0599999999999987</v>
      </c>
      <c r="C298" s="584" t="e">
        <f t="shared" si="175"/>
        <v>#REF!</v>
      </c>
      <c r="D298" s="495" t="s">
        <v>523</v>
      </c>
      <c r="E298" s="523"/>
      <c r="F298" s="524"/>
      <c r="G298" s="530" t="s">
        <v>11</v>
      </c>
      <c r="H298" s="553">
        <v>276.64</v>
      </c>
      <c r="I298" s="553"/>
      <c r="J298" s="553">
        <v>30</v>
      </c>
      <c r="K298" s="553">
        <f t="shared" si="176"/>
        <v>8299.2000000000007</v>
      </c>
      <c r="L298" s="553">
        <f>+[191]Metrados!E299</f>
        <v>36</v>
      </c>
      <c r="M298" s="553">
        <f t="shared" si="177"/>
        <v>9959.0400000000009</v>
      </c>
      <c r="N298" s="553">
        <f t="shared" si="178"/>
        <v>6</v>
      </c>
      <c r="O298" s="553">
        <f t="shared" si="179"/>
        <v>1659.84</v>
      </c>
      <c r="P298" s="553"/>
      <c r="Q298" s="553">
        <f t="shared" si="180"/>
        <v>0</v>
      </c>
      <c r="R298" s="553">
        <f t="shared" si="181"/>
        <v>0</v>
      </c>
      <c r="S298" s="553">
        <f t="shared" si="182"/>
        <v>0</v>
      </c>
      <c r="T298" s="553"/>
      <c r="U298" s="553">
        <f t="shared" si="183"/>
        <v>0</v>
      </c>
      <c r="V298" s="553"/>
      <c r="Y298" s="1146"/>
      <c r="Z298" s="1144">
        <v>0</v>
      </c>
    </row>
    <row r="299" spans="2:26" s="759" customFormat="1" ht="21" customHeight="1" x14ac:dyDescent="0.25">
      <c r="B299" s="617">
        <v>8.0699999999999985</v>
      </c>
      <c r="C299" s="577" t="e">
        <f>+#REF!+1</f>
        <v>#REF!</v>
      </c>
      <c r="D299" s="501" t="s">
        <v>781</v>
      </c>
      <c r="E299" s="651"/>
      <c r="F299" s="643"/>
      <c r="G299" s="531" t="s">
        <v>13</v>
      </c>
      <c r="H299" s="560"/>
      <c r="I299" s="560">
        <v>100</v>
      </c>
      <c r="J299" s="560"/>
      <c r="K299" s="560">
        <f t="shared" ref="K299" si="184">+ROUND($H299*J299,2)</f>
        <v>0</v>
      </c>
      <c r="L299" s="560">
        <f>+[191]Metrados!E300</f>
        <v>76</v>
      </c>
      <c r="M299" s="560">
        <f>+ROUND($I299*L299,2)</f>
        <v>7600</v>
      </c>
      <c r="N299" s="560"/>
      <c r="O299" s="560">
        <f t="shared" ref="O299" si="185">+ROUND($H299*N299,2)</f>
        <v>0</v>
      </c>
      <c r="P299" s="561">
        <f>+L299</f>
        <v>76</v>
      </c>
      <c r="Q299" s="560">
        <f>+ROUND($I299*P299,2)</f>
        <v>7600</v>
      </c>
      <c r="R299" s="560"/>
      <c r="S299" s="560">
        <f t="shared" ref="S299" si="186">+ROUND($H299*R299,2)</f>
        <v>0</v>
      </c>
      <c r="T299" s="560"/>
      <c r="U299" s="560">
        <f t="shared" ref="U299" si="187">+ROUND($H299*T299,2)</f>
        <v>0</v>
      </c>
      <c r="V299" s="560"/>
      <c r="Y299" s="1146"/>
      <c r="Z299" s="1150">
        <v>0</v>
      </c>
    </row>
    <row r="300" spans="2:26" s="759" customFormat="1" ht="21" customHeight="1" x14ac:dyDescent="0.25">
      <c r="B300" s="617">
        <v>8.0799999999999983</v>
      </c>
      <c r="C300" s="577" t="e">
        <f>+#REF!+1</f>
        <v>#REF!</v>
      </c>
      <c r="D300" s="501" t="s">
        <v>782</v>
      </c>
      <c r="E300" s="652"/>
      <c r="F300" s="653"/>
      <c r="G300" s="531" t="s">
        <v>11</v>
      </c>
      <c r="H300" s="560"/>
      <c r="I300" s="560">
        <f>13.5/9</f>
        <v>1.5</v>
      </c>
      <c r="J300" s="560"/>
      <c r="K300" s="560">
        <f t="shared" si="176"/>
        <v>0</v>
      </c>
      <c r="L300" s="560">
        <f>+[191]Metrados!E301</f>
        <v>2031</v>
      </c>
      <c r="M300" s="560">
        <f>+ROUND($I300*L300,2)</f>
        <v>3046.5</v>
      </c>
      <c r="N300" s="560"/>
      <c r="O300" s="560">
        <f t="shared" si="179"/>
        <v>0</v>
      </c>
      <c r="P300" s="561">
        <f>+L300</f>
        <v>2031</v>
      </c>
      <c r="Q300" s="560">
        <f>+ROUND($I300*P300,2)</f>
        <v>3046.5</v>
      </c>
      <c r="R300" s="560"/>
      <c r="S300" s="560">
        <f t="shared" si="182"/>
        <v>0</v>
      </c>
      <c r="T300" s="560"/>
      <c r="U300" s="560">
        <f t="shared" si="183"/>
        <v>0</v>
      </c>
      <c r="V300" s="560"/>
      <c r="X300" s="547"/>
      <c r="Y300" s="1146"/>
      <c r="Z300" s="1151">
        <v>0</v>
      </c>
    </row>
    <row r="301" spans="2:26" s="547" customFormat="1" ht="21" customHeight="1" x14ac:dyDescent="0.25">
      <c r="B301" s="617">
        <v>8.09</v>
      </c>
      <c r="C301" s="763" t="e">
        <f>+#REF!+1</f>
        <v>#REF!</v>
      </c>
      <c r="D301" s="516" t="s">
        <v>762</v>
      </c>
      <c r="E301" s="545"/>
      <c r="F301" s="546"/>
      <c r="G301" s="564" t="s">
        <v>11</v>
      </c>
      <c r="H301" s="633"/>
      <c r="I301" s="633">
        <v>5000</v>
      </c>
      <c r="J301" s="633"/>
      <c r="K301" s="633">
        <f>+ROUND($H301*J301,2)</f>
        <v>0</v>
      </c>
      <c r="L301" s="640">
        <f>+[191]Metrados!E302</f>
        <v>10</v>
      </c>
      <c r="M301" s="633">
        <f>+ROUND($I301*L301,2)</f>
        <v>50000</v>
      </c>
      <c r="N301" s="633"/>
      <c r="O301" s="633">
        <f>+ROUND($H301*N301,2)</f>
        <v>0</v>
      </c>
      <c r="P301" s="633">
        <f>+L301</f>
        <v>10</v>
      </c>
      <c r="Q301" s="633">
        <f>+ROUND($I301*P301,2)</f>
        <v>50000</v>
      </c>
      <c r="R301" s="633"/>
      <c r="S301" s="633">
        <f>+ROUND($H301*R301,2)</f>
        <v>0</v>
      </c>
      <c r="T301" s="633"/>
      <c r="U301" s="633">
        <f>+ROUND($H301*T301,2)</f>
        <v>0</v>
      </c>
      <c r="V301" s="633"/>
      <c r="X301" s="414"/>
      <c r="Y301" s="1146"/>
      <c r="Z301" s="1150">
        <v>0</v>
      </c>
    </row>
    <row r="302" spans="2:26" ht="21" customHeight="1" x14ac:dyDescent="0.25">
      <c r="B302" s="598"/>
      <c r="C302" s="603" t="e">
        <f>+C300+1</f>
        <v>#REF!</v>
      </c>
      <c r="D302" s="542"/>
      <c r="E302" s="604"/>
      <c r="F302" s="544" t="str">
        <f>+"SUB-TOTAL   "&amp;B292&amp;":  "</f>
        <v xml:space="preserve">SUB-TOTAL   8:  </v>
      </c>
      <c r="G302" s="440"/>
      <c r="H302" s="438"/>
      <c r="I302" s="438"/>
      <c r="J302" s="438"/>
      <c r="K302" s="548">
        <f>+SUM(K293:K301)</f>
        <v>76507.23</v>
      </c>
      <c r="L302" s="540"/>
      <c r="M302" s="548">
        <f>+SUM(M293:M301)</f>
        <v>155213.69</v>
      </c>
      <c r="N302" s="548"/>
      <c r="O302" s="548">
        <f>+SUM(O293:O301)</f>
        <v>20178.240000000002</v>
      </c>
      <c r="P302" s="548"/>
      <c r="Q302" s="548">
        <f>+SUM(Q293:Q301)</f>
        <v>60646.5</v>
      </c>
      <c r="R302" s="536"/>
      <c r="S302" s="548">
        <f>+SUM(S293:S301)</f>
        <v>2118.27</v>
      </c>
      <c r="T302" s="536"/>
      <c r="U302" s="548">
        <f>+SUM(U293:U301)</f>
        <v>2118.27</v>
      </c>
      <c r="V302" s="536"/>
      <c r="Y302" s="1146"/>
      <c r="Z302" s="1144">
        <v>0</v>
      </c>
    </row>
    <row r="303" spans="2:26" ht="21" customHeight="1" x14ac:dyDescent="0.25">
      <c r="B303" s="439">
        <v>9</v>
      </c>
      <c r="C303" s="482" t="e">
        <f>+C302+1</f>
        <v>#REF!</v>
      </c>
      <c r="D303" s="441" t="s">
        <v>522</v>
      </c>
      <c r="E303" s="487"/>
      <c r="F303" s="469"/>
      <c r="G303" s="440"/>
      <c r="H303" s="438"/>
      <c r="I303" s="438"/>
      <c r="J303" s="438"/>
      <c r="K303" s="470"/>
      <c r="L303" s="756"/>
      <c r="M303" s="470"/>
      <c r="N303" s="470"/>
      <c r="O303" s="470"/>
      <c r="P303" s="470"/>
      <c r="Q303" s="470"/>
      <c r="R303" s="470"/>
      <c r="S303" s="470"/>
      <c r="T303" s="470"/>
      <c r="U303" s="470"/>
      <c r="V303" s="470"/>
      <c r="Y303" s="1146"/>
      <c r="Z303" s="1144">
        <v>0</v>
      </c>
    </row>
    <row r="304" spans="2:26" ht="21" customHeight="1" x14ac:dyDescent="0.25">
      <c r="B304" s="554">
        <v>9.01</v>
      </c>
      <c r="C304" s="577" t="e">
        <f>+C303+1</f>
        <v>#REF!</v>
      </c>
      <c r="D304" s="495" t="s">
        <v>521</v>
      </c>
      <c r="E304" s="517"/>
      <c r="F304" s="518"/>
      <c r="G304" s="530" t="s">
        <v>12</v>
      </c>
      <c r="H304" s="553">
        <v>289.92</v>
      </c>
      <c r="I304" s="553"/>
      <c r="J304" s="553">
        <v>22.95</v>
      </c>
      <c r="K304" s="553">
        <f>+ROUND($H304*J304,2)</f>
        <v>6653.66</v>
      </c>
      <c r="L304" s="553">
        <f>+[191]Metrados!E305</f>
        <v>21.65</v>
      </c>
      <c r="M304" s="553">
        <f>+ROUND($H304*L304,2)</f>
        <v>6276.77</v>
      </c>
      <c r="N304" s="553">
        <f>+IF($L304-$J304&gt;=0,$L304-$J304,0)</f>
        <v>0</v>
      </c>
      <c r="O304" s="553">
        <f>+ROUND($H304*N304,2)</f>
        <v>0</v>
      </c>
      <c r="P304" s="553"/>
      <c r="Q304" s="553">
        <f>+ROUND($H304*P304,2)</f>
        <v>0</v>
      </c>
      <c r="R304" s="553">
        <f>+IF($L304-$J304&lt;=0,-$L304+$J304,0)</f>
        <v>1.3000000000000007</v>
      </c>
      <c r="S304" s="553">
        <f>+ROUND($H304*R304,2)</f>
        <v>376.9</v>
      </c>
      <c r="T304" s="553"/>
      <c r="U304" s="553">
        <f>+ROUND($H304*T304,2)</f>
        <v>0</v>
      </c>
      <c r="V304" s="553"/>
      <c r="Y304" s="1146"/>
      <c r="Z304" s="1144">
        <v>0</v>
      </c>
    </row>
    <row r="305" spans="2:26" ht="21" customHeight="1" x14ac:dyDescent="0.25">
      <c r="B305" s="554">
        <v>9.02</v>
      </c>
      <c r="C305" s="577" t="e">
        <f>+C304+1</f>
        <v>#REF!</v>
      </c>
      <c r="D305" s="495" t="s">
        <v>520</v>
      </c>
      <c r="E305" s="519"/>
      <c r="F305" s="520"/>
      <c r="G305" s="532" t="s">
        <v>12</v>
      </c>
      <c r="H305" s="715">
        <v>302.67</v>
      </c>
      <c r="I305" s="632"/>
      <c r="J305" s="565">
        <v>22.95</v>
      </c>
      <c r="K305" s="565">
        <f>+ROUND($H305*J305,2)</f>
        <v>6946.28</v>
      </c>
      <c r="L305" s="553">
        <f>+[191]Metrados!E306</f>
        <v>21.65</v>
      </c>
      <c r="M305" s="565">
        <f>+ROUND($H305*L305,2)</f>
        <v>6552.81</v>
      </c>
      <c r="N305" s="565">
        <f>+IF($L305-$J305&gt;=0,$L305-$J305,0)</f>
        <v>0</v>
      </c>
      <c r="O305" s="565">
        <f>+ROUND($H305*N305,2)</f>
        <v>0</v>
      </c>
      <c r="P305" s="632"/>
      <c r="Q305" s="565">
        <f>+ROUND($H305*P305,2)</f>
        <v>0</v>
      </c>
      <c r="R305" s="565">
        <f>+IF($L305-$J305&lt;=0,-$L305+$J305,0)</f>
        <v>1.3000000000000007</v>
      </c>
      <c r="S305" s="565">
        <f>+ROUND($H305*R305,2)</f>
        <v>393.47</v>
      </c>
      <c r="T305" s="632"/>
      <c r="U305" s="565">
        <f>+ROUND($H305*T305,2)</f>
        <v>0</v>
      </c>
      <c r="V305" s="632"/>
      <c r="Y305" s="1146"/>
      <c r="Z305" s="1144">
        <v>0</v>
      </c>
    </row>
    <row r="306" spans="2:26" ht="21" customHeight="1" x14ac:dyDescent="0.25">
      <c r="B306" s="598"/>
      <c r="C306" s="603" t="e">
        <f>+#REF!+1</f>
        <v>#REF!</v>
      </c>
      <c r="D306" s="542"/>
      <c r="E306" s="604"/>
      <c r="F306" s="544" t="str">
        <f>+"SUB-TOTAL   "&amp;B303&amp;":  "</f>
        <v xml:space="preserve">SUB-TOTAL   9:  </v>
      </c>
      <c r="G306" s="440"/>
      <c r="H306" s="438"/>
      <c r="I306" s="438"/>
      <c r="J306" s="438"/>
      <c r="K306" s="548">
        <f>+SUM(K304:K305)</f>
        <v>13599.939999999999</v>
      </c>
      <c r="L306" s="770"/>
      <c r="M306" s="548">
        <f>+SUM(M304:M305)</f>
        <v>12829.580000000002</v>
      </c>
      <c r="N306" s="548"/>
      <c r="O306" s="548">
        <f>+SUM(O304:O305)</f>
        <v>0</v>
      </c>
      <c r="P306" s="548"/>
      <c r="Q306" s="548">
        <f>+SUM(Q304:Q305)</f>
        <v>0</v>
      </c>
      <c r="R306" s="536"/>
      <c r="S306" s="548">
        <f>+SUM(S304:S305)</f>
        <v>770.37</v>
      </c>
      <c r="T306" s="536"/>
      <c r="U306" s="548">
        <f>+SUM(U304:U305)</f>
        <v>0</v>
      </c>
      <c r="V306" s="536"/>
      <c r="Y306" s="1146"/>
      <c r="Z306" s="1144"/>
    </row>
    <row r="307" spans="2:26" s="630" customFormat="1" ht="54" customHeight="1" x14ac:dyDescent="0.3">
      <c r="B307" s="623"/>
      <c r="C307" s="624" t="e">
        <f>+#REF!+1</f>
        <v>#REF!</v>
      </c>
      <c r="D307" s="625" t="s">
        <v>432</v>
      </c>
      <c r="E307" s="626"/>
      <c r="F307" s="627"/>
      <c r="G307" s="628"/>
      <c r="H307" s="629"/>
      <c r="I307" s="629"/>
      <c r="J307" s="629"/>
      <c r="K307" s="629">
        <f>+K306+K291+K280+K276+K238+K228+K210+K166+K302</f>
        <v>461491.17000000004</v>
      </c>
      <c r="L307" s="629"/>
      <c r="M307" s="629">
        <f>+M306+M291+M280+M276+M238+M228+M210+M166+M302</f>
        <v>552762.73</v>
      </c>
      <c r="N307" s="629"/>
      <c r="O307" s="629">
        <f>+O306+O291+O280+O276+O238+O228+O210+O166+O302</f>
        <v>54136.690000000017</v>
      </c>
      <c r="P307" s="629"/>
      <c r="Q307" s="629">
        <f>+Q306+Q291+Q280+Q276+Q238+Q228+Q210+Q166+Q302</f>
        <v>91265.2</v>
      </c>
      <c r="R307" s="629"/>
      <c r="S307" s="629">
        <f>+S306+S291+S280+S276+S238+S228+S210+S166+S302</f>
        <v>54130.279999999992</v>
      </c>
      <c r="T307" s="629"/>
      <c r="U307" s="629">
        <f>+U306+U291+U280+U276+U238+U228+U210+U166+U302</f>
        <v>47888.049999999996</v>
      </c>
      <c r="V307" s="629"/>
    </row>
    <row r="308" spans="2:26" ht="21" customHeight="1" x14ac:dyDescent="0.25">
      <c r="B308" s="437" t="s">
        <v>90</v>
      </c>
      <c r="C308" s="479"/>
      <c r="D308" s="489" t="s">
        <v>91</v>
      </c>
      <c r="E308" s="490"/>
      <c r="F308" s="491"/>
      <c r="G308" s="529"/>
      <c r="H308" s="551"/>
      <c r="I308" s="551"/>
      <c r="J308" s="551"/>
      <c r="K308" s="551"/>
      <c r="L308" s="551"/>
      <c r="M308" s="551"/>
      <c r="N308" s="551"/>
      <c r="O308" s="551"/>
      <c r="P308" s="551"/>
      <c r="Q308" s="551"/>
      <c r="R308" s="551"/>
      <c r="S308" s="551"/>
      <c r="T308" s="551"/>
      <c r="U308" s="551"/>
      <c r="V308" s="551"/>
    </row>
    <row r="309" spans="2:26" ht="21" customHeight="1" x14ac:dyDescent="0.25">
      <c r="B309" s="552">
        <v>1</v>
      </c>
      <c r="C309" s="480">
        <v>3</v>
      </c>
      <c r="D309" s="492" t="s">
        <v>519</v>
      </c>
      <c r="E309" s="493"/>
      <c r="F309" s="494"/>
      <c r="G309" s="530"/>
      <c r="H309" s="553"/>
      <c r="I309" s="553"/>
      <c r="J309" s="553"/>
      <c r="K309" s="553"/>
      <c r="L309" s="553"/>
      <c r="M309" s="553"/>
      <c r="N309" s="657"/>
      <c r="O309" s="553"/>
      <c r="P309" s="553"/>
      <c r="Q309" s="553"/>
      <c r="R309" s="553"/>
      <c r="S309" s="553"/>
      <c r="T309" s="553"/>
      <c r="U309" s="553"/>
      <c r="V309" s="553"/>
    </row>
    <row r="310" spans="2:26" ht="21" customHeight="1" x14ac:dyDescent="0.25">
      <c r="B310" s="554">
        <v>1.01</v>
      </c>
      <c r="C310" s="480">
        <f>+C309+1</f>
        <v>4</v>
      </c>
      <c r="D310" s="495" t="s">
        <v>518</v>
      </c>
      <c r="E310" s="496"/>
      <c r="F310" s="497"/>
      <c r="G310" s="530" t="s">
        <v>11</v>
      </c>
      <c r="H310" s="553">
        <v>5.72</v>
      </c>
      <c r="I310" s="553"/>
      <c r="J310" s="553">
        <v>11</v>
      </c>
      <c r="K310" s="553">
        <f t="shared" ref="K310:K313" si="188">+ROUND($H310*J310,2)</f>
        <v>62.92</v>
      </c>
      <c r="L310" s="553">
        <f>+L18</f>
        <v>7</v>
      </c>
      <c r="M310" s="553">
        <f>+ROUND($H310*L310,2)</f>
        <v>40.04</v>
      </c>
      <c r="N310" s="553">
        <f>+IF($L310-$J310&gt;=0,$L310-$J310,0)</f>
        <v>0</v>
      </c>
      <c r="O310" s="553">
        <f t="shared" ref="O310:O313" si="189">+ROUND($H310*N310,2)</f>
        <v>0</v>
      </c>
      <c r="P310" s="553"/>
      <c r="Q310" s="553">
        <f>+ROUND($H310*P310,2)</f>
        <v>0</v>
      </c>
      <c r="R310" s="553">
        <f>+IF($L310-$J310&lt;=0,-$L310+$J310,0)</f>
        <v>4</v>
      </c>
      <c r="S310" s="553">
        <f t="shared" ref="S310:S313" si="190">+ROUND($H310*R310,2)</f>
        <v>22.88</v>
      </c>
      <c r="T310" s="553">
        <f>+R310</f>
        <v>4</v>
      </c>
      <c r="U310" s="553">
        <f t="shared" ref="U310:U313" si="191">+ROUND($H310*T310,2)</f>
        <v>22.88</v>
      </c>
      <c r="V310" s="553" t="s">
        <v>828</v>
      </c>
    </row>
    <row r="311" spans="2:26" ht="21" customHeight="1" x14ac:dyDescent="0.25">
      <c r="B311" s="554">
        <v>1.02</v>
      </c>
      <c r="C311" s="480">
        <f>+C310+1</f>
        <v>5</v>
      </c>
      <c r="D311" s="495" t="s">
        <v>517</v>
      </c>
      <c r="E311" s="496"/>
      <c r="F311" s="497"/>
      <c r="G311" s="530" t="s">
        <v>11</v>
      </c>
      <c r="H311" s="553">
        <v>9.8699999999999992</v>
      </c>
      <c r="I311" s="553"/>
      <c r="J311" s="553">
        <v>2</v>
      </c>
      <c r="K311" s="553">
        <f t="shared" si="188"/>
        <v>19.739999999999998</v>
      </c>
      <c r="L311" s="553">
        <f>+L19</f>
        <v>1</v>
      </c>
      <c r="M311" s="553">
        <f>+ROUND($H311*L311,2)</f>
        <v>9.8699999999999992</v>
      </c>
      <c r="N311" s="553">
        <f>+IF($L311-$J311&gt;=0,$L311-$J311,0)</f>
        <v>0</v>
      </c>
      <c r="O311" s="553">
        <f t="shared" si="189"/>
        <v>0</v>
      </c>
      <c r="P311" s="553"/>
      <c r="Q311" s="553">
        <f>+ROUND($H311*P311,2)</f>
        <v>0</v>
      </c>
      <c r="R311" s="553">
        <f>+IF($L311-$J311&lt;=0,-$L311+$J311,0)</f>
        <v>1</v>
      </c>
      <c r="S311" s="553">
        <f t="shared" si="190"/>
        <v>9.8699999999999992</v>
      </c>
      <c r="T311" s="553">
        <f t="shared" ref="T311:T312" si="192">+R311</f>
        <v>1</v>
      </c>
      <c r="U311" s="553">
        <f t="shared" si="191"/>
        <v>9.8699999999999992</v>
      </c>
      <c r="V311" s="553" t="s">
        <v>828</v>
      </c>
    </row>
    <row r="312" spans="2:26" ht="21" customHeight="1" x14ac:dyDescent="0.25">
      <c r="B312" s="554">
        <v>1.03</v>
      </c>
      <c r="C312" s="480">
        <f>+C311+1</f>
        <v>6</v>
      </c>
      <c r="D312" s="495" t="s">
        <v>516</v>
      </c>
      <c r="E312" s="496"/>
      <c r="F312" s="497"/>
      <c r="G312" s="530" t="s">
        <v>11</v>
      </c>
      <c r="H312" s="553">
        <v>13.23</v>
      </c>
      <c r="I312" s="553"/>
      <c r="J312" s="553">
        <v>1</v>
      </c>
      <c r="K312" s="553">
        <f t="shared" si="188"/>
        <v>13.23</v>
      </c>
      <c r="L312" s="553">
        <f>+L20</f>
        <v>13</v>
      </c>
      <c r="M312" s="553">
        <f>+ROUND($H312*L312,2)</f>
        <v>171.99</v>
      </c>
      <c r="N312" s="553">
        <f>+IF($L312-$J312&gt;=0,$L312-$J312,0)</f>
        <v>12</v>
      </c>
      <c r="O312" s="553">
        <f t="shared" si="189"/>
        <v>158.76</v>
      </c>
      <c r="P312" s="553"/>
      <c r="Q312" s="553">
        <f>+ROUND($H312*P312,2)</f>
        <v>0</v>
      </c>
      <c r="R312" s="553">
        <f>+IF($L312-$J312&lt;=0,-$L312+$J312,0)</f>
        <v>0</v>
      </c>
      <c r="S312" s="553">
        <f t="shared" si="190"/>
        <v>0</v>
      </c>
      <c r="T312" s="553">
        <f t="shared" si="192"/>
        <v>0</v>
      </c>
      <c r="U312" s="553">
        <f t="shared" si="191"/>
        <v>0</v>
      </c>
      <c r="V312" s="553" t="s">
        <v>828</v>
      </c>
    </row>
    <row r="313" spans="2:26" ht="21" customHeight="1" x14ac:dyDescent="0.25">
      <c r="B313" s="554">
        <v>1.04</v>
      </c>
      <c r="C313" s="480">
        <f>+C312+1</f>
        <v>7</v>
      </c>
      <c r="D313" s="495" t="s">
        <v>348</v>
      </c>
      <c r="E313" s="496"/>
      <c r="F313" s="497"/>
      <c r="G313" s="530" t="s">
        <v>11</v>
      </c>
      <c r="H313" s="553">
        <v>2.86</v>
      </c>
      <c r="I313" s="553"/>
      <c r="J313" s="553">
        <v>9</v>
      </c>
      <c r="K313" s="553">
        <f t="shared" si="188"/>
        <v>25.74</v>
      </c>
      <c r="L313" s="553">
        <f>+L21</f>
        <v>0</v>
      </c>
      <c r="M313" s="553">
        <f>+ROUND($H313*L313,2)</f>
        <v>0</v>
      </c>
      <c r="N313" s="553">
        <f>+IF($L313-$J313&gt;=0,$L313-$J313,0)</f>
        <v>0</v>
      </c>
      <c r="O313" s="553">
        <f t="shared" si="189"/>
        <v>0</v>
      </c>
      <c r="P313" s="553"/>
      <c r="Q313" s="553">
        <f>+ROUND($H313*P313,2)</f>
        <v>0</v>
      </c>
      <c r="R313" s="553">
        <f>+IF($L313-$J313&lt;=0,-$L313+$J313,0)</f>
        <v>9</v>
      </c>
      <c r="S313" s="553">
        <f t="shared" si="190"/>
        <v>25.74</v>
      </c>
      <c r="T313" s="553"/>
      <c r="U313" s="553">
        <f t="shared" si="191"/>
        <v>0</v>
      </c>
      <c r="V313" s="553"/>
    </row>
    <row r="314" spans="2:26" ht="21" customHeight="1" x14ac:dyDescent="0.25">
      <c r="B314" s="448"/>
      <c r="C314" s="480" t="e">
        <f>+#REF!+1</f>
        <v>#REF!</v>
      </c>
      <c r="D314" s="542"/>
      <c r="E314" s="571"/>
      <c r="F314" s="544" t="str">
        <f>+"SUB-TOTAL   "&amp;B309&amp;":  "</f>
        <v xml:space="preserve">SUB-TOTAL   1:  </v>
      </c>
      <c r="G314" s="567"/>
      <c r="H314" s="540"/>
      <c r="I314" s="540"/>
      <c r="J314" s="540"/>
      <c r="K314" s="716">
        <f>+SUM(K310:K313)</f>
        <v>121.63</v>
      </c>
      <c r="L314" s="540"/>
      <c r="M314" s="716">
        <f>+SUM(M310:M313)</f>
        <v>221.9</v>
      </c>
      <c r="N314" s="716"/>
      <c r="O314" s="716">
        <f>+SUM(O310:O313)</f>
        <v>158.76</v>
      </c>
      <c r="P314" s="716"/>
      <c r="Q314" s="716">
        <f>+SUM(Q310:Q313)</f>
        <v>0</v>
      </c>
      <c r="R314" s="589"/>
      <c r="S314" s="716">
        <f>+SUM(S310:S313)</f>
        <v>58.489999999999995</v>
      </c>
      <c r="T314" s="589"/>
      <c r="U314" s="716">
        <f>+SUM(U310:U313)</f>
        <v>32.75</v>
      </c>
      <c r="V314" s="589"/>
      <c r="W314" s="660">
        <f>+K314-M314+O314+Q314-S314</f>
        <v>0</v>
      </c>
    </row>
    <row r="315" spans="2:26" ht="21" customHeight="1" x14ac:dyDescent="0.25">
      <c r="B315" s="452">
        <v>2</v>
      </c>
      <c r="C315" s="481" t="e">
        <f>+C314+1</f>
        <v>#REF!</v>
      </c>
      <c r="D315" s="568" t="s">
        <v>515</v>
      </c>
      <c r="E315" s="569"/>
      <c r="F315" s="570"/>
      <c r="G315" s="549"/>
      <c r="H315" s="438"/>
      <c r="I315" s="438"/>
      <c r="J315" s="438"/>
      <c r="K315" s="454"/>
      <c r="L315" s="756"/>
      <c r="M315" s="454"/>
      <c r="N315" s="454"/>
      <c r="O315" s="454"/>
      <c r="P315" s="454"/>
      <c r="Q315" s="454"/>
      <c r="R315" s="438"/>
      <c r="S315" s="454"/>
      <c r="T315" s="438"/>
      <c r="U315" s="454"/>
      <c r="V315" s="438"/>
    </row>
    <row r="316" spans="2:26" ht="21" customHeight="1" x14ac:dyDescent="0.25">
      <c r="B316" s="455">
        <v>2.0099999999999998</v>
      </c>
      <c r="C316" s="480">
        <f>+C313+1</f>
        <v>8</v>
      </c>
      <c r="D316" s="495" t="s">
        <v>514</v>
      </c>
      <c r="E316" s="496"/>
      <c r="F316" s="497"/>
      <c r="G316" s="530" t="s">
        <v>11</v>
      </c>
      <c r="H316" s="553">
        <v>149.76</v>
      </c>
      <c r="I316" s="579"/>
      <c r="J316" s="553">
        <v>15</v>
      </c>
      <c r="K316" s="558">
        <f t="shared" ref="K316:K320" si="193">+ROUND($H316*J316,2)</f>
        <v>2246.4</v>
      </c>
      <c r="L316" s="553">
        <f>+L24</f>
        <v>3</v>
      </c>
      <c r="M316" s="558">
        <f>+ROUND($H316*L316,2)</f>
        <v>449.28</v>
      </c>
      <c r="N316" s="558">
        <f>+IF($L316-$J316&gt;=0,$L316-$J316,0)</f>
        <v>0</v>
      </c>
      <c r="O316" s="717">
        <f t="shared" ref="O316:O320" si="194">+ROUND($H316*N316,2)</f>
        <v>0</v>
      </c>
      <c r="P316" s="717"/>
      <c r="Q316" s="558">
        <f>+ROUND($H316*P316,2)</f>
        <v>0</v>
      </c>
      <c r="R316" s="579">
        <f>+IF($L316-$J316&lt;=0,-$L316+$J316,0)</f>
        <v>12</v>
      </c>
      <c r="S316" s="558">
        <f t="shared" ref="S316:S320" si="195">+ROUND($H316*R316,2)</f>
        <v>1797.12</v>
      </c>
      <c r="T316" s="553">
        <f>+R316</f>
        <v>12</v>
      </c>
      <c r="U316" s="717">
        <f t="shared" ref="U316:U320" si="196">+ROUND($H316*T316,2)</f>
        <v>1797.12</v>
      </c>
      <c r="V316" s="553" t="s">
        <v>829</v>
      </c>
    </row>
    <row r="317" spans="2:26" ht="21" customHeight="1" x14ac:dyDescent="0.25">
      <c r="B317" s="455">
        <v>2.0199999999999996</v>
      </c>
      <c r="C317" s="480" t="e">
        <f>+#REF!+1</f>
        <v>#REF!</v>
      </c>
      <c r="D317" s="495" t="s">
        <v>513</v>
      </c>
      <c r="E317" s="496"/>
      <c r="F317" s="497"/>
      <c r="G317" s="530" t="s">
        <v>11</v>
      </c>
      <c r="H317" s="553">
        <v>156.56</v>
      </c>
      <c r="I317" s="579"/>
      <c r="J317" s="553">
        <v>6</v>
      </c>
      <c r="K317" s="558">
        <f t="shared" si="193"/>
        <v>939.36</v>
      </c>
      <c r="L317" s="553">
        <f>+L25</f>
        <v>6</v>
      </c>
      <c r="M317" s="558">
        <f>+ROUND($H317*L317,2)</f>
        <v>939.36</v>
      </c>
      <c r="N317" s="558">
        <f>+IF($L317-$J317&gt;=0,$L317-$J317,0)</f>
        <v>0</v>
      </c>
      <c r="O317" s="717">
        <f t="shared" si="194"/>
        <v>0</v>
      </c>
      <c r="P317" s="717"/>
      <c r="Q317" s="558">
        <f>+ROUND($H317*P317,2)</f>
        <v>0</v>
      </c>
      <c r="R317" s="579">
        <f>+IF($L317-$J317&lt;=0,-$L317+$J317,0)</f>
        <v>0</v>
      </c>
      <c r="S317" s="558">
        <f t="shared" si="195"/>
        <v>0</v>
      </c>
      <c r="T317" s="553"/>
      <c r="U317" s="717">
        <f t="shared" si="196"/>
        <v>0</v>
      </c>
      <c r="V317" s="579"/>
    </row>
    <row r="318" spans="2:26" ht="21" customHeight="1" x14ac:dyDescent="0.25">
      <c r="B318" s="455">
        <v>2.0299999999999994</v>
      </c>
      <c r="C318" s="480" t="e">
        <f>+#REF!+1</f>
        <v>#REF!</v>
      </c>
      <c r="D318" s="495" t="s">
        <v>512</v>
      </c>
      <c r="E318" s="496"/>
      <c r="F318" s="497"/>
      <c r="G318" s="530" t="s">
        <v>11</v>
      </c>
      <c r="H318" s="553">
        <v>178.72</v>
      </c>
      <c r="I318" s="579"/>
      <c r="J318" s="553">
        <v>118</v>
      </c>
      <c r="K318" s="558">
        <f t="shared" si="193"/>
        <v>21088.959999999999</v>
      </c>
      <c r="L318" s="553">
        <f>+L26</f>
        <v>96</v>
      </c>
      <c r="M318" s="558">
        <f>+ROUND($H318*L318,2)</f>
        <v>17157.12</v>
      </c>
      <c r="N318" s="558">
        <f>+IF($L318-$J318&gt;=0,$L318-$J318,0)</f>
        <v>0</v>
      </c>
      <c r="O318" s="717">
        <f t="shared" si="194"/>
        <v>0</v>
      </c>
      <c r="P318" s="717"/>
      <c r="Q318" s="558">
        <f>+ROUND($H318*P318,2)</f>
        <v>0</v>
      </c>
      <c r="R318" s="579">
        <f>+IF($L318-$J318&lt;=0,-$L318+$J318,0)</f>
        <v>22</v>
      </c>
      <c r="S318" s="558">
        <f t="shared" si="195"/>
        <v>3931.84</v>
      </c>
      <c r="T318" s="553">
        <f>+R318</f>
        <v>22</v>
      </c>
      <c r="U318" s="717">
        <f t="shared" si="196"/>
        <v>3931.84</v>
      </c>
      <c r="V318" s="553" t="s">
        <v>830</v>
      </c>
    </row>
    <row r="319" spans="2:26" ht="21" customHeight="1" x14ac:dyDescent="0.25">
      <c r="B319" s="455">
        <v>2.0399999999999991</v>
      </c>
      <c r="C319" s="480" t="e">
        <f>+C314+1</f>
        <v>#REF!</v>
      </c>
      <c r="D319" s="495" t="s">
        <v>511</v>
      </c>
      <c r="E319" s="496"/>
      <c r="F319" s="497"/>
      <c r="G319" s="532" t="s">
        <v>11</v>
      </c>
      <c r="H319" s="553">
        <v>191.36</v>
      </c>
      <c r="I319" s="579"/>
      <c r="J319" s="553">
        <v>32</v>
      </c>
      <c r="K319" s="558">
        <f t="shared" si="193"/>
        <v>6123.52</v>
      </c>
      <c r="L319" s="553">
        <f>+L27</f>
        <v>60</v>
      </c>
      <c r="M319" s="558">
        <f>+ROUND($H319*L319,2)</f>
        <v>11481.6</v>
      </c>
      <c r="N319" s="558">
        <f>+IF($L319-$J319&gt;=0,$L319-$J319,0)</f>
        <v>28</v>
      </c>
      <c r="O319" s="717">
        <f t="shared" si="194"/>
        <v>5358.08</v>
      </c>
      <c r="P319" s="717"/>
      <c r="Q319" s="558">
        <f>+ROUND($H319*P319,2)</f>
        <v>0</v>
      </c>
      <c r="R319" s="579">
        <f>+IF($L319-$J319&lt;=0,-$L319+$J319,0)</f>
        <v>0</v>
      </c>
      <c r="S319" s="558">
        <f t="shared" si="195"/>
        <v>0</v>
      </c>
      <c r="T319" s="553"/>
      <c r="U319" s="717">
        <f t="shared" si="196"/>
        <v>0</v>
      </c>
      <c r="V319" s="579"/>
    </row>
    <row r="320" spans="2:26" s="759" customFormat="1" ht="21" hidden="1" customHeight="1" x14ac:dyDescent="0.25">
      <c r="B320" s="617">
        <v>2.0499999999999998</v>
      </c>
      <c r="C320" s="577" t="e">
        <f>+#REF!+1</f>
        <v>#REF!</v>
      </c>
      <c r="D320" s="501" t="s">
        <v>766</v>
      </c>
      <c r="E320" s="651"/>
      <c r="F320" s="643"/>
      <c r="G320" s="777" t="s">
        <v>13</v>
      </c>
      <c r="H320" s="560"/>
      <c r="I320" s="560">
        <v>0</v>
      </c>
      <c r="J320" s="560"/>
      <c r="K320" s="560">
        <f t="shared" si="193"/>
        <v>0</v>
      </c>
      <c r="L320" s="765">
        <v>0</v>
      </c>
      <c r="M320" s="560">
        <f>+ROUND($I320*L320,2)</f>
        <v>0</v>
      </c>
      <c r="N320" s="560"/>
      <c r="O320" s="560">
        <f t="shared" si="194"/>
        <v>0</v>
      </c>
      <c r="P320" s="561">
        <f>+L320</f>
        <v>0</v>
      </c>
      <c r="Q320" s="560">
        <f>+ROUND($I320*P320,2)</f>
        <v>0</v>
      </c>
      <c r="R320" s="560"/>
      <c r="S320" s="560">
        <f t="shared" si="195"/>
        <v>0</v>
      </c>
      <c r="T320" s="560"/>
      <c r="U320" s="560">
        <f t="shared" si="196"/>
        <v>0</v>
      </c>
      <c r="V320" s="560"/>
    </row>
    <row r="321" spans="2:23" ht="21" customHeight="1" x14ac:dyDescent="0.25">
      <c r="B321" s="455"/>
      <c r="C321" s="480" t="e">
        <f>+#REF!+1</f>
        <v>#REF!</v>
      </c>
      <c r="D321" s="542"/>
      <c r="E321" s="571"/>
      <c r="F321" s="544" t="str">
        <f>+"SUB-TOTAL   "&amp;B315&amp;":  "</f>
        <v xml:space="preserve">SUB-TOTAL   2:  </v>
      </c>
      <c r="G321" s="440"/>
      <c r="H321" s="540"/>
      <c r="I321" s="540"/>
      <c r="J321" s="540"/>
      <c r="K321" s="716">
        <f>+SUM(K316:K320)</f>
        <v>30398.240000000002</v>
      </c>
      <c r="L321" s="540"/>
      <c r="M321" s="716">
        <f>+SUM(M316:M320)</f>
        <v>30027.360000000001</v>
      </c>
      <c r="N321" s="716"/>
      <c r="O321" s="716">
        <f>+SUM(O316:O320)</f>
        <v>5358.08</v>
      </c>
      <c r="P321" s="716"/>
      <c r="Q321" s="716">
        <f>+SUM(Q316:Q320)</f>
        <v>0</v>
      </c>
      <c r="R321" s="589"/>
      <c r="S321" s="716">
        <f>+SUM(S316:S320)</f>
        <v>5728.96</v>
      </c>
      <c r="T321" s="589"/>
      <c r="U321" s="716">
        <f>+SUM(U316:U320)</f>
        <v>5728.96</v>
      </c>
      <c r="V321" s="589"/>
      <c r="W321" s="660">
        <f>+K321-M321+O321+Q321-S321</f>
        <v>0</v>
      </c>
    </row>
    <row r="322" spans="2:23" ht="21" customHeight="1" x14ac:dyDescent="0.25">
      <c r="B322" s="452">
        <v>3</v>
      </c>
      <c r="C322" s="481" t="e">
        <f>+#REF!+1</f>
        <v>#REF!</v>
      </c>
      <c r="D322" s="453" t="s">
        <v>296</v>
      </c>
      <c r="E322" s="445"/>
      <c r="F322" s="446"/>
      <c r="G322" s="527"/>
      <c r="H322" s="438"/>
      <c r="I322" s="438"/>
      <c r="J322" s="438"/>
      <c r="K322" s="454"/>
      <c r="L322" s="756"/>
      <c r="M322" s="454"/>
      <c r="N322" s="454"/>
      <c r="O322" s="454"/>
      <c r="P322" s="454"/>
      <c r="Q322" s="454"/>
      <c r="R322" s="438"/>
      <c r="S322" s="454"/>
      <c r="T322" s="438"/>
      <c r="U322" s="454"/>
      <c r="V322" s="438"/>
    </row>
    <row r="323" spans="2:23" ht="21" customHeight="1" x14ac:dyDescent="0.25">
      <c r="B323" s="562">
        <v>3.01</v>
      </c>
      <c r="C323" s="576" t="e">
        <f>+C322+1</f>
        <v>#REF!</v>
      </c>
      <c r="D323" s="502" t="s">
        <v>510</v>
      </c>
      <c r="E323" s="496"/>
      <c r="F323" s="497"/>
      <c r="G323" s="532" t="s">
        <v>11</v>
      </c>
      <c r="H323" s="565">
        <v>167.7</v>
      </c>
      <c r="I323" s="565"/>
      <c r="J323" s="565">
        <v>9</v>
      </c>
      <c r="K323" s="566">
        <f>+ROUND($H323*J323,2)</f>
        <v>1509.3</v>
      </c>
      <c r="L323" s="565">
        <f>+L31</f>
        <v>0</v>
      </c>
      <c r="M323" s="566">
        <f>+ROUND($H323*L323,2)</f>
        <v>0</v>
      </c>
      <c r="N323" s="566">
        <f>+IF($L323-$J323&gt;=0,$L323-$J323,0)</f>
        <v>0</v>
      </c>
      <c r="O323" s="566">
        <f>+ROUND($H323*N323,2)</f>
        <v>0</v>
      </c>
      <c r="P323" s="566"/>
      <c r="Q323" s="566">
        <f>+ROUND($H323*P323,2)</f>
        <v>0</v>
      </c>
      <c r="R323" s="565">
        <f>+IF($L323-$J323&lt;=0,-$L323+$J323,0)</f>
        <v>9</v>
      </c>
      <c r="S323" s="566">
        <f>+ROUND($H323*R323,2)</f>
        <v>1509.3</v>
      </c>
      <c r="T323" s="565">
        <f>+R323</f>
        <v>9</v>
      </c>
      <c r="U323" s="566">
        <f>+ROUND($H323*T323,2)</f>
        <v>1509.3</v>
      </c>
      <c r="V323" s="565" t="s">
        <v>829</v>
      </c>
    </row>
    <row r="324" spans="2:23" ht="21" customHeight="1" x14ac:dyDescent="0.25">
      <c r="B324" s="456"/>
      <c r="C324" s="483" t="e">
        <f>+#REF!+1</f>
        <v>#REF!</v>
      </c>
      <c r="D324" s="537"/>
      <c r="E324" s="580"/>
      <c r="F324" s="533" t="str">
        <f>+"SUB-TOTAL   "&amp;B322&amp;":  "</f>
        <v xml:space="preserve">SUB-TOTAL   3:  </v>
      </c>
      <c r="G324" s="440"/>
      <c r="H324" s="438"/>
      <c r="I324" s="438"/>
      <c r="J324" s="438"/>
      <c r="K324" s="548">
        <f>+SUM(K323:K323)</f>
        <v>1509.3</v>
      </c>
      <c r="L324" s="438"/>
      <c r="M324" s="548">
        <f>+SUM(M323:M323)</f>
        <v>0</v>
      </c>
      <c r="N324" s="438"/>
      <c r="O324" s="548">
        <f>+SUM(O323:O323)</f>
        <v>0</v>
      </c>
      <c r="P324" s="438"/>
      <c r="Q324" s="548">
        <f>+SUM(Q323:Q323)</f>
        <v>0</v>
      </c>
      <c r="R324" s="438"/>
      <c r="S324" s="548">
        <f>+SUM(S323:S323)</f>
        <v>1509.3</v>
      </c>
      <c r="T324" s="438"/>
      <c r="U324" s="548">
        <f>+SUM(U323:U323)</f>
        <v>1509.3</v>
      </c>
      <c r="V324" s="438"/>
    </row>
    <row r="325" spans="2:23" ht="21" customHeight="1" x14ac:dyDescent="0.25">
      <c r="B325" s="452" t="s">
        <v>1004</v>
      </c>
      <c r="C325" s="481" t="e">
        <v>#REF!</v>
      </c>
      <c r="D325" s="453" t="s">
        <v>309</v>
      </c>
      <c r="E325" s="445"/>
      <c r="F325" s="446"/>
      <c r="G325" s="527"/>
      <c r="H325" s="438"/>
      <c r="I325" s="438"/>
      <c r="J325" s="438"/>
      <c r="K325" s="454"/>
      <c r="L325" s="756"/>
      <c r="M325" s="454"/>
      <c r="N325" s="454"/>
      <c r="O325" s="454"/>
      <c r="P325" s="454"/>
      <c r="Q325" s="454"/>
      <c r="R325" s="438"/>
      <c r="S325" s="454"/>
      <c r="T325" s="438"/>
      <c r="U325" s="454"/>
      <c r="V325" s="438"/>
    </row>
    <row r="326" spans="2:23" s="547" customFormat="1" ht="21" customHeight="1" x14ac:dyDescent="0.25">
      <c r="B326" s="559" t="s">
        <v>1005</v>
      </c>
      <c r="C326" s="577" t="e">
        <v>#REF!</v>
      </c>
      <c r="D326" s="501" t="s">
        <v>767</v>
      </c>
      <c r="E326" s="545"/>
      <c r="F326" s="546"/>
      <c r="G326" s="531" t="s">
        <v>11</v>
      </c>
      <c r="H326" s="560"/>
      <c r="I326" s="560">
        <f>H323*0.5</f>
        <v>83.85</v>
      </c>
      <c r="J326" s="560"/>
      <c r="K326" s="560">
        <f t="shared" ref="K326:K327" si="197">+ROUND($H326*J326,2)</f>
        <v>0</v>
      </c>
      <c r="L326" s="560">
        <f>+L34</f>
        <v>4</v>
      </c>
      <c r="M326" s="560">
        <f>+ROUND($I326*L326,2)</f>
        <v>335.4</v>
      </c>
      <c r="N326" s="560"/>
      <c r="O326" s="560">
        <f t="shared" ref="O326:O327" si="198">+ROUND($H326*N326,2)</f>
        <v>0</v>
      </c>
      <c r="P326" s="561">
        <f>+L326</f>
        <v>4</v>
      </c>
      <c r="Q326" s="560">
        <f>+ROUND($I326*P326,2)</f>
        <v>335.4</v>
      </c>
      <c r="R326" s="560"/>
      <c r="S326" s="560">
        <f t="shared" ref="S326:S327" si="199">+ROUND($H326*R326,2)</f>
        <v>0</v>
      </c>
      <c r="T326" s="560"/>
      <c r="U326" s="560">
        <f t="shared" ref="U326:U327" si="200">+ROUND($H326*T326,2)</f>
        <v>0</v>
      </c>
      <c r="V326" s="560"/>
    </row>
    <row r="327" spans="2:23" s="547" customFormat="1" ht="21" customHeight="1" x14ac:dyDescent="0.25">
      <c r="B327" s="559" t="s">
        <v>1006</v>
      </c>
      <c r="C327" s="577" t="e">
        <v>#REF!</v>
      </c>
      <c r="D327" s="501" t="s">
        <v>768</v>
      </c>
      <c r="E327" s="545"/>
      <c r="F327" s="546"/>
      <c r="G327" s="564" t="s">
        <v>11</v>
      </c>
      <c r="H327" s="633"/>
      <c r="I327" s="633">
        <f>H323*0.5</f>
        <v>83.85</v>
      </c>
      <c r="J327" s="633"/>
      <c r="K327" s="633">
        <f t="shared" si="197"/>
        <v>0</v>
      </c>
      <c r="L327" s="633">
        <f>+L35</f>
        <v>11</v>
      </c>
      <c r="M327" s="633">
        <f>+ROUND($I327*L327,2)</f>
        <v>922.35</v>
      </c>
      <c r="N327" s="633"/>
      <c r="O327" s="633">
        <f t="shared" si="198"/>
        <v>0</v>
      </c>
      <c r="P327" s="634">
        <f>+L327</f>
        <v>11</v>
      </c>
      <c r="Q327" s="633">
        <f>+ROUND($I327*P327,2)</f>
        <v>922.35</v>
      </c>
      <c r="R327" s="633"/>
      <c r="S327" s="633">
        <f t="shared" si="199"/>
        <v>0</v>
      </c>
      <c r="T327" s="633"/>
      <c r="U327" s="633">
        <f t="shared" si="200"/>
        <v>0</v>
      </c>
      <c r="V327" s="633"/>
    </row>
    <row r="328" spans="2:23" ht="21" customHeight="1" x14ac:dyDescent="0.25">
      <c r="B328" s="456"/>
      <c r="C328" s="483" t="e">
        <f>+#REF!+1</f>
        <v>#REF!</v>
      </c>
      <c r="D328" s="537"/>
      <c r="E328" s="580"/>
      <c r="F328" s="533" t="str">
        <f>+"SUB-TOTAL   "&amp;B325&amp;":  "</f>
        <v xml:space="preserve">SUB-TOTAL   3.00A:  </v>
      </c>
      <c r="G328" s="440"/>
      <c r="H328" s="438"/>
      <c r="I328" s="438"/>
      <c r="J328" s="438"/>
      <c r="K328" s="548">
        <f>+SUM(K326:K327)</f>
        <v>0</v>
      </c>
      <c r="L328" s="438"/>
      <c r="M328" s="548">
        <f>+SUM(M326:M327)</f>
        <v>1257.75</v>
      </c>
      <c r="N328" s="438"/>
      <c r="O328" s="548">
        <f>+SUM(O326:O327)</f>
        <v>0</v>
      </c>
      <c r="P328" s="438"/>
      <c r="Q328" s="548">
        <f>+SUM(Q326:Q327)</f>
        <v>1257.75</v>
      </c>
      <c r="R328" s="438"/>
      <c r="S328" s="548">
        <f>+SUM(S326:S327)</f>
        <v>0</v>
      </c>
      <c r="T328" s="438"/>
      <c r="U328" s="548">
        <f>+SUM(U326:U327)</f>
        <v>0</v>
      </c>
      <c r="V328" s="438"/>
    </row>
    <row r="329" spans="2:23" ht="21" customHeight="1" x14ac:dyDescent="0.25">
      <c r="B329" s="452">
        <v>4</v>
      </c>
      <c r="C329" s="481" t="e">
        <f>+C324+1</f>
        <v>#REF!</v>
      </c>
      <c r="D329" s="453" t="s">
        <v>509</v>
      </c>
      <c r="E329" s="445"/>
      <c r="F329" s="446"/>
      <c r="G329" s="527"/>
      <c r="H329" s="438"/>
      <c r="I329" s="438"/>
      <c r="J329" s="438"/>
      <c r="K329" s="438"/>
      <c r="L329" s="756"/>
      <c r="M329" s="438"/>
      <c r="N329" s="438"/>
      <c r="O329" s="438"/>
      <c r="P329" s="438"/>
      <c r="Q329" s="438"/>
      <c r="R329" s="438"/>
      <c r="S329" s="438"/>
      <c r="T329" s="438"/>
      <c r="U329" s="438"/>
      <c r="V329" s="438"/>
    </row>
    <row r="330" spans="2:23" ht="21" customHeight="1" x14ac:dyDescent="0.25">
      <c r="B330" s="562">
        <v>4.01</v>
      </c>
      <c r="C330" s="576" t="e">
        <f>+C329+1</f>
        <v>#REF!</v>
      </c>
      <c r="D330" s="502" t="s">
        <v>508</v>
      </c>
      <c r="E330" s="496"/>
      <c r="F330" s="497"/>
      <c r="G330" s="530" t="s">
        <v>11</v>
      </c>
      <c r="H330" s="553">
        <v>17.3</v>
      </c>
      <c r="I330" s="553"/>
      <c r="J330" s="553">
        <v>2</v>
      </c>
      <c r="K330" s="553">
        <f>+ROUND($H330*J330,2)</f>
        <v>34.6</v>
      </c>
      <c r="L330" s="553">
        <f>+L38</f>
        <v>0</v>
      </c>
      <c r="M330" s="553">
        <f>+ROUND($H330*L330,2)</f>
        <v>0</v>
      </c>
      <c r="N330" s="553">
        <f>+IF($L330-$J330&gt;=0,$L330-$J330,0)</f>
        <v>0</v>
      </c>
      <c r="O330" s="553">
        <f>+ROUND($H330*N330,2)</f>
        <v>0</v>
      </c>
      <c r="P330" s="553"/>
      <c r="Q330" s="553">
        <f>+ROUND($H330*P330,2)</f>
        <v>0</v>
      </c>
      <c r="R330" s="553">
        <f>+IF($L330-$J330&lt;=0,-$L330+$J330,0)</f>
        <v>2</v>
      </c>
      <c r="S330" s="553">
        <f>+ROUND($H330*R330,2)</f>
        <v>34.6</v>
      </c>
      <c r="T330" s="553"/>
      <c r="U330" s="553">
        <f>+ROUND($H330*T330,2)</f>
        <v>0</v>
      </c>
      <c r="V330" s="553"/>
    </row>
    <row r="331" spans="2:23" ht="21" customHeight="1" x14ac:dyDescent="0.25">
      <c r="B331" s="562">
        <v>4.0199999999999996</v>
      </c>
      <c r="C331" s="576" t="e">
        <f>+C330+1</f>
        <v>#REF!</v>
      </c>
      <c r="D331" s="502" t="s">
        <v>507</v>
      </c>
      <c r="E331" s="496"/>
      <c r="F331" s="497"/>
      <c r="G331" s="530" t="s">
        <v>11</v>
      </c>
      <c r="H331" s="553">
        <v>25.6</v>
      </c>
      <c r="I331" s="553"/>
      <c r="J331" s="553">
        <v>393</v>
      </c>
      <c r="K331" s="553">
        <f>+ROUND($H331*J331,2)</f>
        <v>10060.799999999999</v>
      </c>
      <c r="L331" s="553">
        <f>+L39</f>
        <v>84</v>
      </c>
      <c r="M331" s="553">
        <f>+ROUND($H331*L331,2)</f>
        <v>2150.4</v>
      </c>
      <c r="N331" s="553">
        <f>+IF($L331-$J331&gt;=0,$L331-$J331,0)</f>
        <v>0</v>
      </c>
      <c r="O331" s="553">
        <f>+ROUND($H331*N331,2)</f>
        <v>0</v>
      </c>
      <c r="P331" s="553"/>
      <c r="Q331" s="553">
        <f>+ROUND($H331*P331,2)</f>
        <v>0</v>
      </c>
      <c r="R331" s="553">
        <f>+IF($L331-$J331&lt;=0,-$L331+$J331,0)</f>
        <v>309</v>
      </c>
      <c r="S331" s="553">
        <f>+ROUND($H331*R331,2)</f>
        <v>7910.4</v>
      </c>
      <c r="T331" s="553">
        <f>+N330+P333</f>
        <v>122</v>
      </c>
      <c r="U331" s="553">
        <f>+ROUND($H331*T331,2)</f>
        <v>3123.2</v>
      </c>
      <c r="V331" s="553" t="s">
        <v>831</v>
      </c>
    </row>
    <row r="332" spans="2:23" ht="21" customHeight="1" x14ac:dyDescent="0.25">
      <c r="B332" s="562">
        <v>4.0299999999999994</v>
      </c>
      <c r="C332" s="576" t="e">
        <f>+C331+1</f>
        <v>#REF!</v>
      </c>
      <c r="D332" s="502" t="s">
        <v>506</v>
      </c>
      <c r="E332" s="496"/>
      <c r="F332" s="497"/>
      <c r="G332" s="530" t="s">
        <v>11</v>
      </c>
      <c r="H332" s="553">
        <v>22.28</v>
      </c>
      <c r="I332" s="553"/>
      <c r="J332" s="553">
        <v>1</v>
      </c>
      <c r="K332" s="553">
        <f>+ROUND($H332*J332,2)</f>
        <v>22.28</v>
      </c>
      <c r="L332" s="553">
        <f>+L40</f>
        <v>0</v>
      </c>
      <c r="M332" s="553">
        <f>+ROUND($H332*L332,2)</f>
        <v>0</v>
      </c>
      <c r="N332" s="553">
        <f>+IF($L332-$J332&gt;=0,$L332-$J332,0)</f>
        <v>0</v>
      </c>
      <c r="O332" s="553">
        <f>+ROUND($H332*N332,2)</f>
        <v>0</v>
      </c>
      <c r="P332" s="553"/>
      <c r="Q332" s="553">
        <f>+ROUND($H332*P332,2)</f>
        <v>0</v>
      </c>
      <c r="R332" s="553">
        <f>+IF($L332-$J332&lt;=0,-$L332+$J332,0)</f>
        <v>1</v>
      </c>
      <c r="S332" s="553">
        <f>+ROUND($H332*R332,2)</f>
        <v>22.28</v>
      </c>
      <c r="T332" s="553"/>
      <c r="U332" s="553">
        <f>+ROUND($H332*T332,2)</f>
        <v>0</v>
      </c>
      <c r="V332" s="553"/>
    </row>
    <row r="333" spans="2:23" s="547" customFormat="1" ht="21" customHeight="1" x14ac:dyDescent="0.25">
      <c r="B333" s="559">
        <v>4.04</v>
      </c>
      <c r="C333" s="577" t="e">
        <f>+C332+1</f>
        <v>#REF!</v>
      </c>
      <c r="D333" s="501" t="s">
        <v>825</v>
      </c>
      <c r="E333" s="545"/>
      <c r="F333" s="546"/>
      <c r="G333" s="564" t="s">
        <v>11</v>
      </c>
      <c r="H333" s="633"/>
      <c r="I333" s="633">
        <v>20</v>
      </c>
      <c r="J333" s="633"/>
      <c r="K333" s="633">
        <f t="shared" ref="K333" si="201">+ROUND($H333*J333,2)</f>
        <v>0</v>
      </c>
      <c r="L333" s="633">
        <f>+L41</f>
        <v>122</v>
      </c>
      <c r="M333" s="633">
        <f>+ROUND($I333*L333,2)</f>
        <v>2440</v>
      </c>
      <c r="N333" s="633"/>
      <c r="O333" s="633">
        <f t="shared" ref="O333" si="202">+ROUND($H333*N333,2)</f>
        <v>0</v>
      </c>
      <c r="P333" s="634">
        <f>+L333</f>
        <v>122</v>
      </c>
      <c r="Q333" s="633">
        <f>+ROUND($I333*P333,2)</f>
        <v>2440</v>
      </c>
      <c r="R333" s="633"/>
      <c r="S333" s="633">
        <f t="shared" ref="S333" si="203">+ROUND($H333*R333,2)</f>
        <v>0</v>
      </c>
      <c r="T333" s="767"/>
      <c r="U333" s="633">
        <f t="shared" ref="U333" si="204">+ROUND($H333*T333,2)</f>
        <v>0</v>
      </c>
      <c r="V333" s="767"/>
    </row>
    <row r="334" spans="2:23" ht="21" customHeight="1" x14ac:dyDescent="0.25">
      <c r="B334" s="456"/>
      <c r="C334" s="483" t="e">
        <f>+#REF!+1</f>
        <v>#REF!</v>
      </c>
      <c r="D334" s="537"/>
      <c r="E334" s="538"/>
      <c r="F334" s="544" t="str">
        <f>+"SUB-TOTAL   "&amp;B329&amp;":  "</f>
        <v xml:space="preserve">SUB-TOTAL   4:  </v>
      </c>
      <c r="G334" s="440"/>
      <c r="H334" s="438"/>
      <c r="I334" s="438"/>
      <c r="J334" s="438"/>
      <c r="K334" s="548">
        <f>+SUM(K330:K333)</f>
        <v>10117.68</v>
      </c>
      <c r="L334" s="438"/>
      <c r="M334" s="548">
        <f>+SUM(M330:M333)</f>
        <v>4590.3999999999996</v>
      </c>
      <c r="N334" s="438"/>
      <c r="O334" s="548">
        <f>+SUM(O330:O333)</f>
        <v>0</v>
      </c>
      <c r="P334" s="438"/>
      <c r="Q334" s="548">
        <f>+SUM(Q330:Q333)</f>
        <v>2440</v>
      </c>
      <c r="R334" s="438"/>
      <c r="S334" s="548">
        <f>+SUM(S330:S333)</f>
        <v>7967.28</v>
      </c>
      <c r="T334" s="438"/>
      <c r="U334" s="548">
        <f>+SUM(U330:U333)</f>
        <v>3123.2</v>
      </c>
      <c r="V334" s="438"/>
    </row>
    <row r="335" spans="2:23" ht="21" customHeight="1" x14ac:dyDescent="0.25">
      <c r="B335" s="452">
        <v>5</v>
      </c>
      <c r="C335" s="481" t="e">
        <f t="shared" ref="C335:C337" si="205">+C334+1</f>
        <v>#REF!</v>
      </c>
      <c r="D335" s="453" t="s">
        <v>505</v>
      </c>
      <c r="E335" s="445"/>
      <c r="F335" s="446"/>
      <c r="G335" s="527"/>
      <c r="H335" s="438"/>
      <c r="I335" s="438"/>
      <c r="J335" s="438"/>
      <c r="K335" s="438"/>
      <c r="L335" s="756"/>
      <c r="M335" s="438"/>
      <c r="N335" s="438"/>
      <c r="O335" s="438"/>
      <c r="P335" s="438"/>
      <c r="Q335" s="438"/>
      <c r="R335" s="438"/>
      <c r="S335" s="438"/>
      <c r="T335" s="438"/>
      <c r="U335" s="438"/>
      <c r="V335" s="438"/>
    </row>
    <row r="336" spans="2:23" ht="21" customHeight="1" x14ac:dyDescent="0.25">
      <c r="B336" s="562">
        <v>5.01</v>
      </c>
      <c r="C336" s="576" t="e">
        <f t="shared" si="205"/>
        <v>#REF!</v>
      </c>
      <c r="D336" s="502" t="s">
        <v>504</v>
      </c>
      <c r="E336" s="496"/>
      <c r="F336" s="497"/>
      <c r="G336" s="530" t="s">
        <v>11</v>
      </c>
      <c r="H336" s="553">
        <v>4.43</v>
      </c>
      <c r="I336" s="553"/>
      <c r="J336" s="553">
        <v>29</v>
      </c>
      <c r="K336" s="553">
        <f>+ROUND($H336*J336,2)</f>
        <v>128.47</v>
      </c>
      <c r="L336" s="553">
        <f>+L44</f>
        <v>24</v>
      </c>
      <c r="M336" s="553">
        <f>+ROUND($H336*L336,2)</f>
        <v>106.32</v>
      </c>
      <c r="N336" s="553">
        <f>+IF($L336-$J336&gt;=0,$L336-$J336,0)</f>
        <v>0</v>
      </c>
      <c r="O336" s="553">
        <f>+ROUND($H336*N336,2)</f>
        <v>0</v>
      </c>
      <c r="P336" s="553"/>
      <c r="Q336" s="553">
        <f>+ROUND($H336*P336,2)</f>
        <v>0</v>
      </c>
      <c r="R336" s="553">
        <f>+IF($L336-$J336&lt;=0,-$L336+$J336,0)</f>
        <v>5</v>
      </c>
      <c r="S336" s="553">
        <f>+ROUND($H336*R336,2)</f>
        <v>22.15</v>
      </c>
      <c r="T336" s="553">
        <f>+R336</f>
        <v>5</v>
      </c>
      <c r="U336" s="553">
        <f>+ROUND($H336*T336,2)</f>
        <v>22.15</v>
      </c>
      <c r="V336" s="553" t="s">
        <v>832</v>
      </c>
    </row>
    <row r="337" spans="2:22" ht="21" customHeight="1" x14ac:dyDescent="0.25">
      <c r="B337" s="562">
        <v>5.0199999999999996</v>
      </c>
      <c r="C337" s="576" t="e">
        <f t="shared" si="205"/>
        <v>#REF!</v>
      </c>
      <c r="D337" s="502" t="s">
        <v>503</v>
      </c>
      <c r="E337" s="496"/>
      <c r="F337" s="497"/>
      <c r="G337" s="530" t="s">
        <v>11</v>
      </c>
      <c r="H337" s="553">
        <v>2.84</v>
      </c>
      <c r="I337" s="553"/>
      <c r="J337" s="553">
        <v>29</v>
      </c>
      <c r="K337" s="553">
        <f>+ROUND($H337*J337,2)</f>
        <v>82.36</v>
      </c>
      <c r="L337" s="553">
        <f>+L45</f>
        <v>24</v>
      </c>
      <c r="M337" s="553">
        <f>+ROUND($H337*L337,2)</f>
        <v>68.16</v>
      </c>
      <c r="N337" s="553">
        <f>+IF($L337-$J337&gt;=0,$L337-$J337,0)</f>
        <v>0</v>
      </c>
      <c r="O337" s="553">
        <f>+ROUND($H337*N337,2)</f>
        <v>0</v>
      </c>
      <c r="P337" s="553"/>
      <c r="Q337" s="553">
        <f>+ROUND($H337*P337,2)</f>
        <v>0</v>
      </c>
      <c r="R337" s="553">
        <f>+IF($L337-$J337&lt;=0,-$L337+$J337,0)</f>
        <v>5</v>
      </c>
      <c r="S337" s="553">
        <f>+ROUND($H337*R337,2)</f>
        <v>14.2</v>
      </c>
      <c r="T337" s="553">
        <f>+R337</f>
        <v>5</v>
      </c>
      <c r="U337" s="553">
        <f>+ROUND($H337*T337,2)</f>
        <v>14.2</v>
      </c>
      <c r="V337" s="553" t="s">
        <v>832</v>
      </c>
    </row>
    <row r="338" spans="2:22" ht="21" customHeight="1" x14ac:dyDescent="0.25">
      <c r="B338" s="1252">
        <v>5.0299999999999994</v>
      </c>
      <c r="C338" s="576" t="e">
        <f>+C336+1</f>
        <v>#REF!</v>
      </c>
      <c r="D338" s="537" t="s">
        <v>783</v>
      </c>
      <c r="E338" s="538"/>
      <c r="F338" s="578"/>
      <c r="G338" s="1254" t="s">
        <v>11</v>
      </c>
      <c r="H338" s="1246">
        <v>1.64</v>
      </c>
      <c r="I338" s="579"/>
      <c r="J338" s="1246">
        <v>369</v>
      </c>
      <c r="K338" s="1246">
        <f>+ROUND($H338*J338,2)</f>
        <v>605.16</v>
      </c>
      <c r="L338" s="1246">
        <f>+L46</f>
        <v>307</v>
      </c>
      <c r="M338" s="1246">
        <f>+ROUND($H338*L338,2)</f>
        <v>503.48</v>
      </c>
      <c r="N338" s="553"/>
      <c r="O338" s="553"/>
      <c r="P338" s="553"/>
      <c r="Q338" s="553"/>
      <c r="R338" s="553"/>
      <c r="S338" s="553"/>
      <c r="T338" s="553"/>
      <c r="U338" s="553"/>
      <c r="V338" s="553"/>
    </row>
    <row r="339" spans="2:22" ht="21" customHeight="1" x14ac:dyDescent="0.25">
      <c r="B339" s="1253"/>
      <c r="C339" s="576" t="e">
        <f>+C337+1</f>
        <v>#REF!</v>
      </c>
      <c r="D339" s="780" t="s">
        <v>784</v>
      </c>
      <c r="E339" s="781"/>
      <c r="F339" s="782"/>
      <c r="G339" s="1255"/>
      <c r="H339" s="1247"/>
      <c r="I339" s="776"/>
      <c r="J339" s="1247"/>
      <c r="K339" s="1247"/>
      <c r="L339" s="1247"/>
      <c r="M339" s="1247"/>
      <c r="N339" s="565">
        <f>+IF($L338-$J338&gt;=0,$L338-$J338,0)</f>
        <v>0</v>
      </c>
      <c r="O339" s="565">
        <f>+ROUND($H338*N339,2)</f>
        <v>0</v>
      </c>
      <c r="P339" s="565"/>
      <c r="Q339" s="565">
        <f>+ROUND($H338*P339,2)</f>
        <v>0</v>
      </c>
      <c r="R339" s="565">
        <f>+IF($L338-$J338&lt;=0,-$L338+$J338,0)</f>
        <v>62</v>
      </c>
      <c r="S339" s="565">
        <f>+ROUND($H338*R339,2)</f>
        <v>101.68</v>
      </c>
      <c r="T339" s="553">
        <f>+R339</f>
        <v>62</v>
      </c>
      <c r="U339" s="565">
        <f>+ROUND($H338*T339,2)</f>
        <v>101.68</v>
      </c>
      <c r="V339" s="553" t="s">
        <v>832</v>
      </c>
    </row>
    <row r="340" spans="2:22" ht="21" customHeight="1" x14ac:dyDescent="0.25">
      <c r="B340" s="456"/>
      <c r="C340" s="483" t="e">
        <f>+#REF!+1</f>
        <v>#REF!</v>
      </c>
      <c r="D340" s="537"/>
      <c r="E340" s="538"/>
      <c r="F340" s="544" t="str">
        <f>+"SUB-TOTAL   "&amp;B335&amp;":  "</f>
        <v xml:space="preserve">SUB-TOTAL   5:  </v>
      </c>
      <c r="G340" s="440"/>
      <c r="H340" s="438"/>
      <c r="I340" s="438"/>
      <c r="J340" s="438"/>
      <c r="K340" s="548">
        <f>+SUM(K336:K338)</f>
        <v>815.99</v>
      </c>
      <c r="L340" s="438"/>
      <c r="M340" s="548">
        <f>+SUM(M336:M338)</f>
        <v>677.96</v>
      </c>
      <c r="N340" s="438"/>
      <c r="O340" s="548">
        <f>+SUM(O336:O339)</f>
        <v>0</v>
      </c>
      <c r="P340" s="438"/>
      <c r="Q340" s="548">
        <f>+SUM(Q336:Q339)</f>
        <v>0</v>
      </c>
      <c r="R340" s="438"/>
      <c r="S340" s="548">
        <f>+SUM(S336:S339)</f>
        <v>138.03</v>
      </c>
      <c r="T340" s="438"/>
      <c r="U340" s="548">
        <f>+SUM(U336:U339)</f>
        <v>138.03</v>
      </c>
      <c r="V340" s="438"/>
    </row>
    <row r="341" spans="2:22" ht="21" customHeight="1" x14ac:dyDescent="0.25">
      <c r="B341" s="452">
        <v>6</v>
      </c>
      <c r="C341" s="481" t="e">
        <f>+C340+1</f>
        <v>#REF!</v>
      </c>
      <c r="D341" s="453" t="s">
        <v>502</v>
      </c>
      <c r="E341" s="445"/>
      <c r="F341" s="446"/>
      <c r="G341" s="527"/>
      <c r="H341" s="438"/>
      <c r="I341" s="438"/>
      <c r="J341" s="438"/>
      <c r="K341" s="438"/>
      <c r="L341" s="756"/>
      <c r="M341" s="438"/>
      <c r="N341" s="438"/>
      <c r="O341" s="438"/>
      <c r="P341" s="438"/>
      <c r="Q341" s="438"/>
      <c r="R341" s="438"/>
      <c r="S341" s="438"/>
      <c r="T341" s="438"/>
      <c r="U341" s="438"/>
      <c r="V341" s="438"/>
    </row>
    <row r="342" spans="2:22" ht="21" customHeight="1" x14ac:dyDescent="0.25">
      <c r="B342" s="562">
        <v>6.01</v>
      </c>
      <c r="C342" s="576" t="e">
        <f>+C341+1</f>
        <v>#REF!</v>
      </c>
      <c r="D342" s="502" t="s">
        <v>501</v>
      </c>
      <c r="E342" s="496"/>
      <c r="F342" s="497"/>
      <c r="G342" s="530" t="s">
        <v>11</v>
      </c>
      <c r="H342" s="553">
        <v>1.69</v>
      </c>
      <c r="I342" s="553"/>
      <c r="J342" s="553">
        <v>155</v>
      </c>
      <c r="K342" s="553">
        <f>+ROUND($H342*J342,2)</f>
        <v>261.95</v>
      </c>
      <c r="L342" s="553">
        <f>+L50</f>
        <v>283</v>
      </c>
      <c r="M342" s="553">
        <f>+ROUND($H342*L342,2)</f>
        <v>478.27</v>
      </c>
      <c r="N342" s="553">
        <f>+IF($L342-$J342&gt;=0,$L342-$J342,0)</f>
        <v>128</v>
      </c>
      <c r="O342" s="553">
        <f>+ROUND($H342*N342,2)</f>
        <v>216.32</v>
      </c>
      <c r="P342" s="553"/>
      <c r="Q342" s="553">
        <f>+ROUND($H342*P342,2)</f>
        <v>0</v>
      </c>
      <c r="R342" s="553">
        <f>+IF($L342-$J342&lt;=0,-$L342+$J342,0)</f>
        <v>0</v>
      </c>
      <c r="S342" s="553">
        <f>+ROUND($H342*R342,2)</f>
        <v>0</v>
      </c>
      <c r="T342" s="553"/>
      <c r="U342" s="553">
        <f>+ROUND($H342*T342,2)</f>
        <v>0</v>
      </c>
      <c r="V342" s="553"/>
    </row>
    <row r="343" spans="2:22" ht="21" customHeight="1" x14ac:dyDescent="0.25">
      <c r="B343" s="562">
        <v>6.02</v>
      </c>
      <c r="C343" s="576" t="e">
        <f>+C342+1</f>
        <v>#REF!</v>
      </c>
      <c r="D343" s="502" t="s">
        <v>500</v>
      </c>
      <c r="E343" s="496"/>
      <c r="F343" s="497"/>
      <c r="G343" s="532" t="s">
        <v>11</v>
      </c>
      <c r="H343" s="565">
        <v>4.13</v>
      </c>
      <c r="I343" s="565"/>
      <c r="J343" s="565">
        <v>155</v>
      </c>
      <c r="K343" s="565">
        <f>+ROUND($H343*J343,2)</f>
        <v>640.15</v>
      </c>
      <c r="L343" s="579">
        <f>+L51</f>
        <v>283</v>
      </c>
      <c r="M343" s="565">
        <f>+ROUND($H343*L343,2)</f>
        <v>1168.79</v>
      </c>
      <c r="N343" s="565">
        <f>+IF($L343-$J343&gt;=0,$L343-$J343,0)</f>
        <v>128</v>
      </c>
      <c r="O343" s="565">
        <f>+ROUND($H343*N343,2)</f>
        <v>528.64</v>
      </c>
      <c r="P343" s="565"/>
      <c r="Q343" s="565">
        <f>+ROUND($H343*P343,2)</f>
        <v>0</v>
      </c>
      <c r="R343" s="565">
        <f>+IF($L343-$J343&lt;=0,-$L343+$J343,0)</f>
        <v>0</v>
      </c>
      <c r="S343" s="565">
        <f>+ROUND($H343*R343,2)</f>
        <v>0</v>
      </c>
      <c r="T343" s="565"/>
      <c r="U343" s="565">
        <f>+ROUND($H343*T343,2)</f>
        <v>0</v>
      </c>
      <c r="V343" s="565"/>
    </row>
    <row r="344" spans="2:22" ht="21" customHeight="1" x14ac:dyDescent="0.25">
      <c r="B344" s="456"/>
      <c r="C344" s="483" t="e">
        <f>+#REF!+1</f>
        <v>#REF!</v>
      </c>
      <c r="D344" s="537"/>
      <c r="E344" s="538"/>
      <c r="F344" s="544" t="str">
        <f>+"SUB-TOTAL   "&amp;B341&amp;":  "</f>
        <v xml:space="preserve">SUB-TOTAL   6:  </v>
      </c>
      <c r="G344" s="440"/>
      <c r="H344" s="438"/>
      <c r="I344" s="438"/>
      <c r="J344" s="438"/>
      <c r="K344" s="548">
        <f>+SUM(K342:K343)</f>
        <v>902.09999999999991</v>
      </c>
      <c r="L344" s="540"/>
      <c r="M344" s="548">
        <f>+SUM(M342:M343)</f>
        <v>1647.06</v>
      </c>
      <c r="N344" s="438"/>
      <c r="O344" s="548">
        <f>+SUM(O342:O343)</f>
        <v>744.96</v>
      </c>
      <c r="P344" s="438"/>
      <c r="Q344" s="548">
        <f>+SUM(Q342:Q343)</f>
        <v>0</v>
      </c>
      <c r="R344" s="438"/>
      <c r="S344" s="548">
        <f>+SUM(S342:S343)</f>
        <v>0</v>
      </c>
      <c r="T344" s="438"/>
      <c r="U344" s="548">
        <f>+SUM(U342:U343)</f>
        <v>0</v>
      </c>
      <c r="V344" s="438"/>
    </row>
    <row r="345" spans="2:22" ht="21" customHeight="1" x14ac:dyDescent="0.25">
      <c r="B345" s="452">
        <v>7</v>
      </c>
      <c r="C345" s="481" t="e">
        <f>+C344+1</f>
        <v>#REF!</v>
      </c>
      <c r="D345" s="453" t="s">
        <v>499</v>
      </c>
      <c r="E345" s="445"/>
      <c r="F345" s="446"/>
      <c r="G345" s="527"/>
      <c r="H345" s="438"/>
      <c r="I345" s="438"/>
      <c r="J345" s="438"/>
      <c r="K345" s="438"/>
      <c r="L345" s="756"/>
      <c r="M345" s="438"/>
      <c r="N345" s="438"/>
      <c r="O345" s="438"/>
      <c r="P345" s="438"/>
      <c r="Q345" s="438"/>
      <c r="R345" s="438"/>
      <c r="S345" s="438"/>
      <c r="T345" s="438"/>
      <c r="U345" s="438"/>
      <c r="V345" s="438"/>
    </row>
    <row r="346" spans="2:22" ht="21" customHeight="1" x14ac:dyDescent="0.25">
      <c r="B346" s="562">
        <v>7.01</v>
      </c>
      <c r="C346" s="576" t="e">
        <f>+C345+1</f>
        <v>#REF!</v>
      </c>
      <c r="D346" s="502" t="s">
        <v>498</v>
      </c>
      <c r="E346" s="496"/>
      <c r="F346" s="497"/>
      <c r="G346" s="530" t="s">
        <v>12</v>
      </c>
      <c r="H346" s="553">
        <v>83.54</v>
      </c>
      <c r="I346" s="553"/>
      <c r="J346" s="553">
        <v>53.399999999999991</v>
      </c>
      <c r="K346" s="553">
        <f>+ROUND($H346*J346,2)</f>
        <v>4461.04</v>
      </c>
      <c r="L346" s="553">
        <f>+L54</f>
        <v>51.19</v>
      </c>
      <c r="M346" s="553">
        <f>+ROUND($H346*L346,2)</f>
        <v>4276.41</v>
      </c>
      <c r="N346" s="553">
        <f>+IF($L346-$J346&gt;=0,$L346-$J346,0)</f>
        <v>0</v>
      </c>
      <c r="O346" s="553">
        <f>+ROUND($H346*N346,2)</f>
        <v>0</v>
      </c>
      <c r="P346" s="553"/>
      <c r="Q346" s="553">
        <f>+ROUND($H346*P346,2)</f>
        <v>0</v>
      </c>
      <c r="R346" s="553">
        <f>+IF($L346-$J346&lt;=0,-$L346+$J346,0)</f>
        <v>2.2099999999999937</v>
      </c>
      <c r="S346" s="553">
        <f>+ROUND($H346*R346,2)</f>
        <v>184.62</v>
      </c>
      <c r="T346" s="553">
        <f>+R346</f>
        <v>2.2099999999999937</v>
      </c>
      <c r="U346" s="553">
        <f>+ROUND($H346*T346,2)</f>
        <v>184.62</v>
      </c>
      <c r="V346" s="553" t="s">
        <v>833</v>
      </c>
    </row>
    <row r="347" spans="2:22" ht="21" customHeight="1" x14ac:dyDescent="0.25">
      <c r="B347" s="562">
        <v>7.02</v>
      </c>
      <c r="C347" s="576" t="e">
        <f>+C346+1</f>
        <v>#REF!</v>
      </c>
      <c r="D347" s="502" t="s">
        <v>497</v>
      </c>
      <c r="E347" s="496"/>
      <c r="F347" s="497"/>
      <c r="G347" s="532" t="s">
        <v>12</v>
      </c>
      <c r="H347" s="565">
        <v>162.78</v>
      </c>
      <c r="I347" s="565"/>
      <c r="J347" s="565">
        <v>1.91</v>
      </c>
      <c r="K347" s="565">
        <f>+ROUND($H347*J347,2)</f>
        <v>310.91000000000003</v>
      </c>
      <c r="L347" s="579">
        <f>+L55</f>
        <v>1.17</v>
      </c>
      <c r="M347" s="565">
        <f>+ROUND($H347*L347,2)</f>
        <v>190.45</v>
      </c>
      <c r="N347" s="565">
        <f>+IF($L347-$J347&gt;=0,$L347-$J347,0)</f>
        <v>0</v>
      </c>
      <c r="O347" s="565">
        <f>+ROUND($H347*N347,2)</f>
        <v>0</v>
      </c>
      <c r="P347" s="565"/>
      <c r="Q347" s="565">
        <f>+ROUND($H347*P347,2)</f>
        <v>0</v>
      </c>
      <c r="R347" s="565">
        <f>+IF($L347-$J347&lt;=0,-$L347+$J347,0)</f>
        <v>0.74</v>
      </c>
      <c r="S347" s="565">
        <f>+ROUND($H347*R347,2)</f>
        <v>120.46</v>
      </c>
      <c r="T347" s="565">
        <f>+R347</f>
        <v>0.74</v>
      </c>
      <c r="U347" s="565">
        <f>+ROUND($H347*T347,2)</f>
        <v>120.46</v>
      </c>
      <c r="V347" s="565" t="s">
        <v>833</v>
      </c>
    </row>
    <row r="348" spans="2:22" ht="21" customHeight="1" x14ac:dyDescent="0.25">
      <c r="B348" s="456"/>
      <c r="C348" s="483" t="e">
        <f>+#REF!+1</f>
        <v>#REF!</v>
      </c>
      <c r="D348" s="537"/>
      <c r="E348" s="538"/>
      <c r="F348" s="544" t="str">
        <f>+"SUB-TOTAL   "&amp;B345&amp;":  "</f>
        <v xml:space="preserve">SUB-TOTAL   7:  </v>
      </c>
      <c r="G348" s="440"/>
      <c r="H348" s="438"/>
      <c r="I348" s="438"/>
      <c r="J348" s="438"/>
      <c r="K348" s="548">
        <f>+SUM(K346:K347)</f>
        <v>4771.95</v>
      </c>
      <c r="L348" s="540"/>
      <c r="M348" s="548">
        <f>+SUM(M346:M347)</f>
        <v>4466.8599999999997</v>
      </c>
      <c r="N348" s="438"/>
      <c r="O348" s="548">
        <f>+SUM(O346:O347)</f>
        <v>0</v>
      </c>
      <c r="P348" s="438"/>
      <c r="Q348" s="548">
        <f>+SUM(Q346:Q347)</f>
        <v>0</v>
      </c>
      <c r="R348" s="438"/>
      <c r="S348" s="548">
        <f>+SUM(S346:S347)</f>
        <v>305.08</v>
      </c>
      <c r="T348" s="438"/>
      <c r="U348" s="548">
        <f>+SUM(U346:U347)</f>
        <v>305.08</v>
      </c>
      <c r="V348" s="438"/>
    </row>
    <row r="349" spans="2:22" ht="21" customHeight="1" x14ac:dyDescent="0.25">
      <c r="B349" s="452">
        <v>8</v>
      </c>
      <c r="C349" s="481" t="e">
        <f t="shared" ref="C349:C360" si="206">+C348+1</f>
        <v>#REF!</v>
      </c>
      <c r="D349" s="453" t="s">
        <v>496</v>
      </c>
      <c r="E349" s="445"/>
      <c r="F349" s="446"/>
      <c r="G349" s="527"/>
      <c r="H349" s="438"/>
      <c r="I349" s="438"/>
      <c r="J349" s="438"/>
      <c r="K349" s="438"/>
      <c r="L349" s="756"/>
      <c r="M349" s="438"/>
      <c r="N349" s="438"/>
      <c r="O349" s="438"/>
      <c r="P349" s="438"/>
      <c r="Q349" s="438"/>
      <c r="R349" s="438"/>
      <c r="S349" s="438"/>
      <c r="T349" s="438"/>
      <c r="U349" s="438"/>
      <c r="V349" s="438"/>
    </row>
    <row r="350" spans="2:22" ht="21" customHeight="1" x14ac:dyDescent="0.25">
      <c r="B350" s="562">
        <v>8.01</v>
      </c>
      <c r="C350" s="576" t="e">
        <f t="shared" si="206"/>
        <v>#REF!</v>
      </c>
      <c r="D350" s="502" t="s">
        <v>495</v>
      </c>
      <c r="E350" s="496"/>
      <c r="F350" s="497"/>
      <c r="G350" s="530" t="s">
        <v>11</v>
      </c>
      <c r="H350" s="553">
        <v>0.68</v>
      </c>
      <c r="I350" s="553"/>
      <c r="J350" s="553">
        <v>326</v>
      </c>
      <c r="K350" s="553">
        <f t="shared" ref="K350:K364" si="207">+ROUND($H350*J350,2)</f>
        <v>221.68</v>
      </c>
      <c r="L350" s="553">
        <f t="shared" ref="L350:L364" si="208">+L58</f>
        <v>275</v>
      </c>
      <c r="M350" s="553">
        <f t="shared" ref="M350:M362" si="209">+ROUND($H350*L350,2)</f>
        <v>187</v>
      </c>
      <c r="N350" s="553">
        <f t="shared" ref="N350:N362" si="210">+IF($L350-$J350&gt;=0,$L350-$J350,0)</f>
        <v>0</v>
      </c>
      <c r="O350" s="553">
        <f t="shared" ref="O350:O364" si="211">+ROUND($H350*N350,2)</f>
        <v>0</v>
      </c>
      <c r="P350" s="553"/>
      <c r="Q350" s="553">
        <f t="shared" ref="Q350:Q362" si="212">+ROUND($H350*P350,2)</f>
        <v>0</v>
      </c>
      <c r="R350" s="553">
        <f t="shared" ref="R350:R362" si="213">+IF($L350-$J350&lt;=0,-$L350+$J350,0)</f>
        <v>51</v>
      </c>
      <c r="S350" s="553">
        <f t="shared" ref="S350:S364" si="214">+ROUND($H350*R350,2)</f>
        <v>34.68</v>
      </c>
      <c r="T350" s="553"/>
      <c r="U350" s="553">
        <f t="shared" ref="U350:U364" si="215">+ROUND($H350*T350,2)</f>
        <v>0</v>
      </c>
      <c r="V350" s="553"/>
    </row>
    <row r="351" spans="2:22" ht="21" customHeight="1" x14ac:dyDescent="0.25">
      <c r="B351" s="562">
        <v>8.02</v>
      </c>
      <c r="C351" s="576" t="e">
        <f t="shared" si="206"/>
        <v>#REF!</v>
      </c>
      <c r="D351" s="502" t="s">
        <v>494</v>
      </c>
      <c r="E351" s="496"/>
      <c r="F351" s="497"/>
      <c r="G351" s="530" t="s">
        <v>11</v>
      </c>
      <c r="H351" s="553">
        <v>0.69</v>
      </c>
      <c r="I351" s="553"/>
      <c r="J351" s="553">
        <v>2</v>
      </c>
      <c r="K351" s="553">
        <f t="shared" si="207"/>
        <v>1.38</v>
      </c>
      <c r="L351" s="553">
        <f t="shared" si="208"/>
        <v>2</v>
      </c>
      <c r="M351" s="553">
        <f t="shared" si="209"/>
        <v>1.38</v>
      </c>
      <c r="N351" s="553">
        <f t="shared" si="210"/>
        <v>0</v>
      </c>
      <c r="O351" s="553">
        <f t="shared" si="211"/>
        <v>0</v>
      </c>
      <c r="P351" s="553"/>
      <c r="Q351" s="553">
        <f t="shared" si="212"/>
        <v>0</v>
      </c>
      <c r="R351" s="553">
        <f t="shared" si="213"/>
        <v>0</v>
      </c>
      <c r="S351" s="553">
        <f t="shared" si="214"/>
        <v>0</v>
      </c>
      <c r="T351" s="553"/>
      <c r="U351" s="553">
        <f t="shared" si="215"/>
        <v>0</v>
      </c>
      <c r="V351" s="553"/>
    </row>
    <row r="352" spans="2:22" ht="21" customHeight="1" x14ac:dyDescent="0.25">
      <c r="B352" s="562">
        <v>8.0299999999999994</v>
      </c>
      <c r="C352" s="576" t="e">
        <f t="shared" si="206"/>
        <v>#REF!</v>
      </c>
      <c r="D352" s="502" t="s">
        <v>493</v>
      </c>
      <c r="E352" s="496"/>
      <c r="F352" s="497"/>
      <c r="G352" s="530" t="s">
        <v>11</v>
      </c>
      <c r="H352" s="553">
        <v>0.9</v>
      </c>
      <c r="I352" s="553"/>
      <c r="J352" s="553">
        <v>17</v>
      </c>
      <c r="K352" s="553">
        <f t="shared" si="207"/>
        <v>15.3</v>
      </c>
      <c r="L352" s="553">
        <f t="shared" si="208"/>
        <v>0</v>
      </c>
      <c r="M352" s="553">
        <f t="shared" si="209"/>
        <v>0</v>
      </c>
      <c r="N352" s="553">
        <f t="shared" si="210"/>
        <v>0</v>
      </c>
      <c r="O352" s="553">
        <f t="shared" si="211"/>
        <v>0</v>
      </c>
      <c r="P352" s="553"/>
      <c r="Q352" s="553">
        <f t="shared" si="212"/>
        <v>0</v>
      </c>
      <c r="R352" s="553">
        <f t="shared" si="213"/>
        <v>17</v>
      </c>
      <c r="S352" s="553">
        <f t="shared" si="214"/>
        <v>15.3</v>
      </c>
      <c r="T352" s="553"/>
      <c r="U352" s="553">
        <f t="shared" si="215"/>
        <v>0</v>
      </c>
      <c r="V352" s="553"/>
    </row>
    <row r="353" spans="2:22" ht="21" customHeight="1" x14ac:dyDescent="0.25">
      <c r="B353" s="562">
        <v>8.0399999999999991</v>
      </c>
      <c r="C353" s="576" t="e">
        <f t="shared" si="206"/>
        <v>#REF!</v>
      </c>
      <c r="D353" s="502" t="s">
        <v>492</v>
      </c>
      <c r="E353" s="496"/>
      <c r="F353" s="497"/>
      <c r="G353" s="530" t="s">
        <v>11</v>
      </c>
      <c r="H353" s="553">
        <v>0.27</v>
      </c>
      <c r="I353" s="553"/>
      <c r="J353" s="553">
        <v>7</v>
      </c>
      <c r="K353" s="553">
        <f t="shared" si="207"/>
        <v>1.89</v>
      </c>
      <c r="L353" s="553">
        <f t="shared" si="208"/>
        <v>0</v>
      </c>
      <c r="M353" s="553">
        <f t="shared" si="209"/>
        <v>0</v>
      </c>
      <c r="N353" s="553">
        <f t="shared" si="210"/>
        <v>0</v>
      </c>
      <c r="O353" s="553">
        <f t="shared" si="211"/>
        <v>0</v>
      </c>
      <c r="P353" s="553"/>
      <c r="Q353" s="553">
        <f t="shared" si="212"/>
        <v>0</v>
      </c>
      <c r="R353" s="553">
        <f t="shared" si="213"/>
        <v>7</v>
      </c>
      <c r="S353" s="553">
        <f t="shared" si="214"/>
        <v>1.89</v>
      </c>
      <c r="T353" s="553"/>
      <c r="U353" s="553">
        <f t="shared" si="215"/>
        <v>0</v>
      </c>
      <c r="V353" s="553"/>
    </row>
    <row r="354" spans="2:22" ht="21" customHeight="1" x14ac:dyDescent="0.25">
      <c r="B354" s="562">
        <v>8.0499999999999989</v>
      </c>
      <c r="C354" s="576" t="e">
        <f t="shared" si="206"/>
        <v>#REF!</v>
      </c>
      <c r="D354" s="502" t="s">
        <v>491</v>
      </c>
      <c r="E354" s="496"/>
      <c r="F354" s="497"/>
      <c r="G354" s="530" t="s">
        <v>11</v>
      </c>
      <c r="H354" s="553">
        <v>0.35</v>
      </c>
      <c r="I354" s="553"/>
      <c r="J354" s="553">
        <v>84</v>
      </c>
      <c r="K354" s="553">
        <f t="shared" si="207"/>
        <v>29.4</v>
      </c>
      <c r="L354" s="553">
        <f t="shared" si="208"/>
        <v>190</v>
      </c>
      <c r="M354" s="553">
        <f t="shared" si="209"/>
        <v>66.5</v>
      </c>
      <c r="N354" s="553">
        <f t="shared" si="210"/>
        <v>106</v>
      </c>
      <c r="O354" s="553">
        <f t="shared" si="211"/>
        <v>37.1</v>
      </c>
      <c r="P354" s="553"/>
      <c r="Q354" s="553">
        <f t="shared" si="212"/>
        <v>0</v>
      </c>
      <c r="R354" s="553">
        <f t="shared" si="213"/>
        <v>0</v>
      </c>
      <c r="S354" s="553">
        <f t="shared" si="214"/>
        <v>0</v>
      </c>
      <c r="T354" s="553"/>
      <c r="U354" s="553">
        <f t="shared" si="215"/>
        <v>0</v>
      </c>
      <c r="V354" s="553"/>
    </row>
    <row r="355" spans="2:22" ht="21" customHeight="1" x14ac:dyDescent="0.25">
      <c r="B355" s="562">
        <v>8.0599999999999987</v>
      </c>
      <c r="C355" s="576" t="e">
        <f t="shared" si="206"/>
        <v>#REF!</v>
      </c>
      <c r="D355" s="502" t="s">
        <v>490</v>
      </c>
      <c r="E355" s="496"/>
      <c r="F355" s="497"/>
      <c r="G355" s="530" t="s">
        <v>11</v>
      </c>
      <c r="H355" s="553">
        <v>0.41</v>
      </c>
      <c r="I355" s="553"/>
      <c r="J355" s="553">
        <v>2</v>
      </c>
      <c r="K355" s="553">
        <f t="shared" si="207"/>
        <v>0.82</v>
      </c>
      <c r="L355" s="553">
        <f t="shared" si="208"/>
        <v>6</v>
      </c>
      <c r="M355" s="553">
        <f t="shared" si="209"/>
        <v>2.46</v>
      </c>
      <c r="N355" s="553">
        <f t="shared" si="210"/>
        <v>4</v>
      </c>
      <c r="O355" s="553">
        <f t="shared" si="211"/>
        <v>1.64</v>
      </c>
      <c r="P355" s="553"/>
      <c r="Q355" s="553">
        <f t="shared" si="212"/>
        <v>0</v>
      </c>
      <c r="R355" s="553">
        <f t="shared" si="213"/>
        <v>0</v>
      </c>
      <c r="S355" s="553">
        <f t="shared" si="214"/>
        <v>0</v>
      </c>
      <c r="T355" s="553"/>
      <c r="U355" s="553">
        <f t="shared" si="215"/>
        <v>0</v>
      </c>
      <c r="V355" s="553"/>
    </row>
    <row r="356" spans="2:22" ht="21" customHeight="1" x14ac:dyDescent="0.25">
      <c r="B356" s="562">
        <v>8.0699999999999985</v>
      </c>
      <c r="C356" s="576" t="e">
        <f t="shared" si="206"/>
        <v>#REF!</v>
      </c>
      <c r="D356" s="502" t="s">
        <v>489</v>
      </c>
      <c r="E356" s="496"/>
      <c r="F356" s="497"/>
      <c r="G356" s="530" t="s">
        <v>13</v>
      </c>
      <c r="H356" s="553">
        <v>0.42</v>
      </c>
      <c r="I356" s="553"/>
      <c r="J356" s="553">
        <v>1052.3</v>
      </c>
      <c r="K356" s="553">
        <f t="shared" si="207"/>
        <v>441.97</v>
      </c>
      <c r="L356" s="553">
        <f t="shared" si="208"/>
        <v>905</v>
      </c>
      <c r="M356" s="553">
        <f t="shared" si="209"/>
        <v>380.1</v>
      </c>
      <c r="N356" s="553">
        <f t="shared" si="210"/>
        <v>0</v>
      </c>
      <c r="O356" s="553">
        <f t="shared" si="211"/>
        <v>0</v>
      </c>
      <c r="P356" s="553"/>
      <c r="Q356" s="553">
        <f t="shared" si="212"/>
        <v>0</v>
      </c>
      <c r="R356" s="553">
        <f t="shared" si="213"/>
        <v>147.29999999999995</v>
      </c>
      <c r="S356" s="553">
        <f t="shared" si="214"/>
        <v>61.87</v>
      </c>
      <c r="T356" s="553"/>
      <c r="U356" s="553">
        <f t="shared" si="215"/>
        <v>0</v>
      </c>
      <c r="V356" s="553"/>
    </row>
    <row r="357" spans="2:22" ht="21" customHeight="1" x14ac:dyDescent="0.25">
      <c r="B357" s="562">
        <v>8.0799999999999983</v>
      </c>
      <c r="C357" s="576" t="e">
        <f t="shared" si="206"/>
        <v>#REF!</v>
      </c>
      <c r="D357" s="502" t="s">
        <v>488</v>
      </c>
      <c r="E357" s="496"/>
      <c r="F357" s="497"/>
      <c r="G357" s="530" t="s">
        <v>11</v>
      </c>
      <c r="H357" s="553">
        <v>0.8</v>
      </c>
      <c r="I357" s="553"/>
      <c r="J357" s="553">
        <v>4</v>
      </c>
      <c r="K357" s="553">
        <f t="shared" si="207"/>
        <v>3.2</v>
      </c>
      <c r="L357" s="553">
        <f t="shared" si="208"/>
        <v>2</v>
      </c>
      <c r="M357" s="553">
        <f t="shared" si="209"/>
        <v>1.6</v>
      </c>
      <c r="N357" s="553">
        <f t="shared" si="210"/>
        <v>0</v>
      </c>
      <c r="O357" s="553">
        <f t="shared" si="211"/>
        <v>0</v>
      </c>
      <c r="P357" s="553"/>
      <c r="Q357" s="553">
        <f t="shared" si="212"/>
        <v>0</v>
      </c>
      <c r="R357" s="553">
        <f t="shared" si="213"/>
        <v>2</v>
      </c>
      <c r="S357" s="553">
        <f t="shared" si="214"/>
        <v>1.6</v>
      </c>
      <c r="T357" s="553"/>
      <c r="U357" s="553">
        <f t="shared" si="215"/>
        <v>0</v>
      </c>
      <c r="V357" s="553"/>
    </row>
    <row r="358" spans="2:22" ht="21" customHeight="1" x14ac:dyDescent="0.25">
      <c r="B358" s="562">
        <v>8.0899999999999981</v>
      </c>
      <c r="C358" s="576" t="e">
        <f t="shared" si="206"/>
        <v>#REF!</v>
      </c>
      <c r="D358" s="502" t="s">
        <v>487</v>
      </c>
      <c r="E358" s="496"/>
      <c r="F358" s="497"/>
      <c r="G358" s="530" t="s">
        <v>11</v>
      </c>
      <c r="H358" s="553">
        <v>1.49</v>
      </c>
      <c r="I358" s="553"/>
      <c r="J358" s="553">
        <v>8</v>
      </c>
      <c r="K358" s="553">
        <f t="shared" si="207"/>
        <v>11.92</v>
      </c>
      <c r="L358" s="553">
        <f t="shared" si="208"/>
        <v>6</v>
      </c>
      <c r="M358" s="553">
        <f t="shared" si="209"/>
        <v>8.94</v>
      </c>
      <c r="N358" s="553">
        <f t="shared" si="210"/>
        <v>0</v>
      </c>
      <c r="O358" s="553">
        <f t="shared" si="211"/>
        <v>0</v>
      </c>
      <c r="P358" s="553"/>
      <c r="Q358" s="553">
        <f t="shared" si="212"/>
        <v>0</v>
      </c>
      <c r="R358" s="553">
        <f t="shared" si="213"/>
        <v>2</v>
      </c>
      <c r="S358" s="553">
        <f t="shared" si="214"/>
        <v>2.98</v>
      </c>
      <c r="T358" s="553"/>
      <c r="U358" s="553">
        <f t="shared" si="215"/>
        <v>0</v>
      </c>
      <c r="V358" s="553"/>
    </row>
    <row r="359" spans="2:22" ht="21" customHeight="1" x14ac:dyDescent="0.25">
      <c r="B359" s="562">
        <v>8.0999999999999979</v>
      </c>
      <c r="C359" s="576" t="e">
        <f t="shared" si="206"/>
        <v>#REF!</v>
      </c>
      <c r="D359" s="502" t="s">
        <v>486</v>
      </c>
      <c r="E359" s="496"/>
      <c r="F359" s="497"/>
      <c r="G359" s="530" t="s">
        <v>11</v>
      </c>
      <c r="H359" s="553">
        <v>0.81</v>
      </c>
      <c r="I359" s="553"/>
      <c r="J359" s="553">
        <v>14</v>
      </c>
      <c r="K359" s="553">
        <f t="shared" si="207"/>
        <v>11.34</v>
      </c>
      <c r="L359" s="553">
        <f t="shared" si="208"/>
        <v>2</v>
      </c>
      <c r="M359" s="553">
        <f t="shared" si="209"/>
        <v>1.62</v>
      </c>
      <c r="N359" s="553">
        <f t="shared" si="210"/>
        <v>0</v>
      </c>
      <c r="O359" s="553">
        <f t="shared" si="211"/>
        <v>0</v>
      </c>
      <c r="P359" s="553"/>
      <c r="Q359" s="553">
        <f t="shared" si="212"/>
        <v>0</v>
      </c>
      <c r="R359" s="553">
        <f t="shared" si="213"/>
        <v>12</v>
      </c>
      <c r="S359" s="553">
        <f t="shared" si="214"/>
        <v>9.7200000000000006</v>
      </c>
      <c r="T359" s="553"/>
      <c r="U359" s="553">
        <f t="shared" si="215"/>
        <v>0</v>
      </c>
      <c r="V359" s="553"/>
    </row>
    <row r="360" spans="2:22" ht="21" customHeight="1" x14ac:dyDescent="0.25">
      <c r="B360" s="562">
        <v>8.1099999999999977</v>
      </c>
      <c r="C360" s="576" t="e">
        <f t="shared" si="206"/>
        <v>#REF!</v>
      </c>
      <c r="D360" s="502" t="s">
        <v>485</v>
      </c>
      <c r="E360" s="496"/>
      <c r="F360" s="497"/>
      <c r="G360" s="530" t="s">
        <v>11</v>
      </c>
      <c r="H360" s="553">
        <v>1.34</v>
      </c>
      <c r="I360" s="553"/>
      <c r="J360" s="553">
        <v>4</v>
      </c>
      <c r="K360" s="553">
        <f t="shared" si="207"/>
        <v>5.36</v>
      </c>
      <c r="L360" s="553">
        <f t="shared" si="208"/>
        <v>0</v>
      </c>
      <c r="M360" s="553">
        <f t="shared" si="209"/>
        <v>0</v>
      </c>
      <c r="N360" s="553">
        <f t="shared" si="210"/>
        <v>0</v>
      </c>
      <c r="O360" s="553">
        <f t="shared" si="211"/>
        <v>0</v>
      </c>
      <c r="P360" s="553"/>
      <c r="Q360" s="553">
        <f t="shared" si="212"/>
        <v>0</v>
      </c>
      <c r="R360" s="553">
        <f t="shared" si="213"/>
        <v>4</v>
      </c>
      <c r="S360" s="553">
        <f t="shared" si="214"/>
        <v>5.36</v>
      </c>
      <c r="T360" s="553"/>
      <c r="U360" s="553">
        <f t="shared" si="215"/>
        <v>0</v>
      </c>
      <c r="V360" s="553"/>
    </row>
    <row r="361" spans="2:22" ht="21" customHeight="1" x14ac:dyDescent="0.25">
      <c r="B361" s="562">
        <v>8.1199999999999974</v>
      </c>
      <c r="C361" s="576" t="e">
        <f>+C355+1</f>
        <v>#REF!</v>
      </c>
      <c r="D361" s="502" t="s">
        <v>484</v>
      </c>
      <c r="E361" s="496"/>
      <c r="F361" s="497"/>
      <c r="G361" s="530" t="s">
        <v>11</v>
      </c>
      <c r="H361" s="553">
        <v>0.88</v>
      </c>
      <c r="I361" s="553"/>
      <c r="J361" s="553">
        <v>129</v>
      </c>
      <c r="K361" s="553">
        <f t="shared" si="207"/>
        <v>113.52</v>
      </c>
      <c r="L361" s="553">
        <f t="shared" si="208"/>
        <v>273</v>
      </c>
      <c r="M361" s="553">
        <f t="shared" si="209"/>
        <v>240.24</v>
      </c>
      <c r="N361" s="553">
        <f t="shared" si="210"/>
        <v>144</v>
      </c>
      <c r="O361" s="553">
        <f t="shared" si="211"/>
        <v>126.72</v>
      </c>
      <c r="P361" s="553"/>
      <c r="Q361" s="553">
        <f t="shared" si="212"/>
        <v>0</v>
      </c>
      <c r="R361" s="553">
        <f t="shared" si="213"/>
        <v>0</v>
      </c>
      <c r="S361" s="553">
        <f t="shared" si="214"/>
        <v>0</v>
      </c>
      <c r="T361" s="553"/>
      <c r="U361" s="553">
        <f t="shared" si="215"/>
        <v>0</v>
      </c>
      <c r="V361" s="553"/>
    </row>
    <row r="362" spans="2:22" ht="21" customHeight="1" x14ac:dyDescent="0.25">
      <c r="B362" s="562">
        <v>8.1299999999999972</v>
      </c>
      <c r="C362" s="576" t="e">
        <f>+C351+1</f>
        <v>#REF!</v>
      </c>
      <c r="D362" s="502" t="s">
        <v>483</v>
      </c>
      <c r="E362" s="496"/>
      <c r="F362" s="497"/>
      <c r="G362" s="530" t="s">
        <v>11</v>
      </c>
      <c r="H362" s="553">
        <v>1.1200000000000001</v>
      </c>
      <c r="I362" s="553"/>
      <c r="J362" s="553">
        <v>8</v>
      </c>
      <c r="K362" s="553">
        <f t="shared" si="207"/>
        <v>8.9600000000000009</v>
      </c>
      <c r="L362" s="553">
        <f t="shared" si="208"/>
        <v>8</v>
      </c>
      <c r="M362" s="553">
        <f t="shared" si="209"/>
        <v>8.9600000000000009</v>
      </c>
      <c r="N362" s="553">
        <f t="shared" si="210"/>
        <v>0</v>
      </c>
      <c r="O362" s="553">
        <f t="shared" si="211"/>
        <v>0</v>
      </c>
      <c r="P362" s="553"/>
      <c r="Q362" s="553">
        <f t="shared" si="212"/>
        <v>0</v>
      </c>
      <c r="R362" s="553">
        <f t="shared" si="213"/>
        <v>0</v>
      </c>
      <c r="S362" s="553">
        <f t="shared" si="214"/>
        <v>0</v>
      </c>
      <c r="T362" s="553"/>
      <c r="U362" s="553">
        <f t="shared" si="215"/>
        <v>0</v>
      </c>
      <c r="V362" s="553"/>
    </row>
    <row r="363" spans="2:22" s="547" customFormat="1" ht="20.399999999999999" customHeight="1" x14ac:dyDescent="0.25">
      <c r="B363" s="559">
        <v>8.14</v>
      </c>
      <c r="C363" s="575" t="e">
        <f>+#REF!+1</f>
        <v>#REF!</v>
      </c>
      <c r="D363" s="501" t="s">
        <v>769</v>
      </c>
      <c r="E363" s="545"/>
      <c r="F363" s="546"/>
      <c r="G363" s="531" t="s">
        <v>13</v>
      </c>
      <c r="H363" s="560"/>
      <c r="I363" s="560">
        <v>0.15</v>
      </c>
      <c r="J363" s="560"/>
      <c r="K363" s="560">
        <f t="shared" si="207"/>
        <v>0</v>
      </c>
      <c r="L363" s="560">
        <f t="shared" si="208"/>
        <v>281</v>
      </c>
      <c r="M363" s="560">
        <f>+ROUND($I363*L363,2)</f>
        <v>42.15</v>
      </c>
      <c r="N363" s="560"/>
      <c r="O363" s="560">
        <f t="shared" si="211"/>
        <v>0</v>
      </c>
      <c r="P363" s="561">
        <f>+L363</f>
        <v>281</v>
      </c>
      <c r="Q363" s="560">
        <f>+ROUND($I363*P363,2)</f>
        <v>42.15</v>
      </c>
      <c r="R363" s="560"/>
      <c r="S363" s="560">
        <f t="shared" si="214"/>
        <v>0</v>
      </c>
      <c r="T363" s="560"/>
      <c r="U363" s="560">
        <f t="shared" si="215"/>
        <v>0</v>
      </c>
      <c r="V363" s="560"/>
    </row>
    <row r="364" spans="2:22" s="547" customFormat="1" ht="20.399999999999999" customHeight="1" x14ac:dyDescent="0.25">
      <c r="B364" s="559">
        <v>8.15</v>
      </c>
      <c r="C364" s="575" t="e">
        <f>+#REF!+1</f>
        <v>#REF!</v>
      </c>
      <c r="D364" s="501" t="s">
        <v>786</v>
      </c>
      <c r="E364" s="545"/>
      <c r="F364" s="546"/>
      <c r="G364" s="564" t="s">
        <v>11</v>
      </c>
      <c r="H364" s="633"/>
      <c r="I364" s="633">
        <v>0.68</v>
      </c>
      <c r="J364" s="633"/>
      <c r="K364" s="633">
        <f t="shared" si="207"/>
        <v>0</v>
      </c>
      <c r="L364" s="633">
        <f t="shared" si="208"/>
        <v>2</v>
      </c>
      <c r="M364" s="633">
        <f>+ROUND($I364*L364,2)</f>
        <v>1.36</v>
      </c>
      <c r="N364" s="633"/>
      <c r="O364" s="633">
        <f t="shared" si="211"/>
        <v>0</v>
      </c>
      <c r="P364" s="634">
        <f>+L364</f>
        <v>2</v>
      </c>
      <c r="Q364" s="633">
        <f>+ROUND($I364*P364,2)</f>
        <v>1.36</v>
      </c>
      <c r="R364" s="633"/>
      <c r="S364" s="633">
        <f t="shared" si="214"/>
        <v>0</v>
      </c>
      <c r="T364" s="767"/>
      <c r="U364" s="633">
        <f t="shared" si="215"/>
        <v>0</v>
      </c>
      <c r="V364" s="767"/>
    </row>
    <row r="365" spans="2:22" ht="21" customHeight="1" x14ac:dyDescent="0.25">
      <c r="B365" s="456"/>
      <c r="C365" s="483" t="e">
        <f>+#REF!+1</f>
        <v>#REF!</v>
      </c>
      <c r="D365" s="537"/>
      <c r="E365" s="538"/>
      <c r="F365" s="544" t="str">
        <f>+"SUB-TOTAL   "&amp;B349&amp;":  "</f>
        <v xml:space="preserve">SUB-TOTAL   8:  </v>
      </c>
      <c r="G365" s="440"/>
      <c r="H365" s="438"/>
      <c r="I365" s="438"/>
      <c r="J365" s="438"/>
      <c r="K365" s="548">
        <f>+SUM(K350:K364)</f>
        <v>866.74000000000012</v>
      </c>
      <c r="L365" s="438"/>
      <c r="M365" s="548">
        <f>+SUM(M350:M364)</f>
        <v>942.31000000000017</v>
      </c>
      <c r="N365" s="438"/>
      <c r="O365" s="548">
        <f>+SUM(O350:O364)</f>
        <v>165.46</v>
      </c>
      <c r="P365" s="438"/>
      <c r="Q365" s="548">
        <f>+SUM(Q350:Q364)</f>
        <v>43.51</v>
      </c>
      <c r="R365" s="438"/>
      <c r="S365" s="548">
        <f>+SUM(S350:S364)</f>
        <v>133.40000000000003</v>
      </c>
      <c r="T365" s="438"/>
      <c r="U365" s="548">
        <f>+SUM(U350:U364)</f>
        <v>0</v>
      </c>
      <c r="V365" s="438"/>
    </row>
    <row r="366" spans="2:22" ht="21" customHeight="1" x14ac:dyDescent="0.25">
      <c r="B366" s="452">
        <v>9</v>
      </c>
      <c r="C366" s="481" t="e">
        <f>+C365+1</f>
        <v>#REF!</v>
      </c>
      <c r="D366" s="453" t="s">
        <v>482</v>
      </c>
      <c r="E366" s="445"/>
      <c r="F366" s="446"/>
      <c r="G366" s="527"/>
      <c r="H366" s="438"/>
      <c r="I366" s="438"/>
      <c r="J366" s="438"/>
      <c r="K366" s="438"/>
      <c r="L366" s="756"/>
      <c r="M366" s="438"/>
      <c r="N366" s="438"/>
      <c r="O366" s="438"/>
      <c r="P366" s="438"/>
      <c r="Q366" s="438"/>
      <c r="R366" s="438"/>
      <c r="S366" s="438"/>
      <c r="T366" s="438"/>
      <c r="U366" s="438"/>
      <c r="V366" s="438"/>
    </row>
    <row r="367" spans="2:22" ht="21" customHeight="1" x14ac:dyDescent="0.25">
      <c r="B367" s="562">
        <v>9.01</v>
      </c>
      <c r="C367" s="576" t="e">
        <f>+C366+1</f>
        <v>#REF!</v>
      </c>
      <c r="D367" s="502" t="s">
        <v>14</v>
      </c>
      <c r="E367" s="496"/>
      <c r="F367" s="497"/>
      <c r="G367" s="755" t="s">
        <v>13</v>
      </c>
      <c r="H367" s="565">
        <v>0.84</v>
      </c>
      <c r="I367" s="565"/>
      <c r="J367" s="565">
        <v>2936.1</v>
      </c>
      <c r="K367" s="565">
        <f>+ROUND($H367*J367,2)</f>
        <v>2466.3200000000002</v>
      </c>
      <c r="L367" s="579">
        <f>+L75</f>
        <v>3162.9</v>
      </c>
      <c r="M367" s="565">
        <f>+ROUND($H367*L367,2)</f>
        <v>2656.84</v>
      </c>
      <c r="N367" s="565">
        <f>+IF($L367-$J367&gt;=0,$L367-$J367,0)</f>
        <v>226.80000000000018</v>
      </c>
      <c r="O367" s="565">
        <f>+ROUND($H367*N367,2)</f>
        <v>190.51</v>
      </c>
      <c r="P367" s="565"/>
      <c r="Q367" s="565">
        <f>+ROUND($H367*P367,2)</f>
        <v>0</v>
      </c>
      <c r="R367" s="565">
        <f>+IF($L367-$J367&lt;=0,-$L367+$J367,0)</f>
        <v>0</v>
      </c>
      <c r="S367" s="565">
        <f>+ROUND($H367*R367,2)</f>
        <v>0</v>
      </c>
      <c r="T367" s="565"/>
      <c r="U367" s="565">
        <f>+ROUND($H367*T367,2)</f>
        <v>0</v>
      </c>
      <c r="V367" s="565"/>
    </row>
    <row r="368" spans="2:22" ht="21" customHeight="1" x14ac:dyDescent="0.25">
      <c r="B368" s="456"/>
      <c r="C368" s="483" t="e">
        <f>+#REF!+1</f>
        <v>#REF!</v>
      </c>
      <c r="D368" s="537"/>
      <c r="E368" s="538"/>
      <c r="F368" s="544" t="str">
        <f>+"SUB-TOTAL   "&amp;B366&amp;":  "</f>
        <v xml:space="preserve">SUB-TOTAL   9:  </v>
      </c>
      <c r="G368" s="440"/>
      <c r="H368" s="438"/>
      <c r="I368" s="438"/>
      <c r="J368" s="438"/>
      <c r="K368" s="548">
        <f>+SUM(K367:K367)</f>
        <v>2466.3200000000002</v>
      </c>
      <c r="L368" s="540"/>
      <c r="M368" s="548">
        <f>+SUM(M367:M367)</f>
        <v>2656.84</v>
      </c>
      <c r="N368" s="438"/>
      <c r="O368" s="548">
        <f>+SUM(O367:O367)</f>
        <v>190.51</v>
      </c>
      <c r="P368" s="438"/>
      <c r="Q368" s="548">
        <f>+SUM(Q367:Q367)</f>
        <v>0</v>
      </c>
      <c r="R368" s="438"/>
      <c r="S368" s="548">
        <f>+SUM(S367:S367)</f>
        <v>0</v>
      </c>
      <c r="T368" s="438"/>
      <c r="U368" s="548">
        <f>+SUM(U367:U367)</f>
        <v>0</v>
      </c>
      <c r="V368" s="438"/>
    </row>
    <row r="369" spans="2:22" ht="21" customHeight="1" x14ac:dyDescent="0.25">
      <c r="B369" s="452">
        <v>10</v>
      </c>
      <c r="C369" s="481" t="e">
        <f t="shared" ref="C369:C380" si="216">+C368+1</f>
        <v>#REF!</v>
      </c>
      <c r="D369" s="453" t="s">
        <v>481</v>
      </c>
      <c r="E369" s="445"/>
      <c r="F369" s="446"/>
      <c r="G369" s="527"/>
      <c r="H369" s="438"/>
      <c r="I369" s="438"/>
      <c r="J369" s="438"/>
      <c r="K369" s="438"/>
      <c r="L369" s="756"/>
      <c r="M369" s="438"/>
      <c r="N369" s="438"/>
      <c r="O369" s="438"/>
      <c r="P369" s="438"/>
      <c r="Q369" s="438"/>
      <c r="R369" s="438"/>
      <c r="S369" s="438"/>
      <c r="T369" s="438"/>
      <c r="U369" s="438"/>
      <c r="V369" s="438"/>
    </row>
    <row r="370" spans="2:22" ht="21" customHeight="1" x14ac:dyDescent="0.25">
      <c r="B370" s="562">
        <v>10.01</v>
      </c>
      <c r="C370" s="576" t="e">
        <f t="shared" si="216"/>
        <v>#REF!</v>
      </c>
      <c r="D370" s="502" t="s">
        <v>480</v>
      </c>
      <c r="E370" s="496"/>
      <c r="F370" s="497"/>
      <c r="G370" s="530" t="s">
        <v>11</v>
      </c>
      <c r="H370" s="553">
        <v>0.32</v>
      </c>
      <c r="I370" s="553"/>
      <c r="J370" s="553">
        <v>9</v>
      </c>
      <c r="K370" s="553">
        <f t="shared" ref="K370:K392" si="217">+ROUND($H370*J370,2)</f>
        <v>2.88</v>
      </c>
      <c r="L370" s="553">
        <f t="shared" ref="L370:L392" si="218">+L78</f>
        <v>33</v>
      </c>
      <c r="M370" s="553">
        <f t="shared" ref="M370:M389" si="219">+ROUND($H370*L370,2)</f>
        <v>10.56</v>
      </c>
      <c r="N370" s="553">
        <f t="shared" ref="N370:N389" si="220">+IF($L370-$J370&gt;=0,$L370-$J370,0)</f>
        <v>24</v>
      </c>
      <c r="O370" s="553">
        <f t="shared" ref="O370:O392" si="221">+ROUND($H370*N370,2)</f>
        <v>7.68</v>
      </c>
      <c r="P370" s="553"/>
      <c r="Q370" s="553">
        <f t="shared" ref="Q370:Q389" si="222">+ROUND($H370*P370,2)</f>
        <v>0</v>
      </c>
      <c r="R370" s="553">
        <f t="shared" ref="R370:R389" si="223">+IF($L370-$J370&lt;=0,-$L370+$J370,0)</f>
        <v>0</v>
      </c>
      <c r="S370" s="553">
        <f t="shared" ref="S370:S392" si="224">+ROUND($H370*R370,2)</f>
        <v>0</v>
      </c>
      <c r="T370" s="553"/>
      <c r="U370" s="553">
        <f t="shared" ref="U370:U392" si="225">+ROUND($H370*T370,2)</f>
        <v>0</v>
      </c>
      <c r="V370" s="553"/>
    </row>
    <row r="371" spans="2:22" ht="21" customHeight="1" x14ac:dyDescent="0.25">
      <c r="B371" s="562">
        <v>10.02</v>
      </c>
      <c r="C371" s="576" t="e">
        <f t="shared" si="216"/>
        <v>#REF!</v>
      </c>
      <c r="D371" s="502" t="s">
        <v>338</v>
      </c>
      <c r="E371" s="496"/>
      <c r="F371" s="497"/>
      <c r="G371" s="530" t="s">
        <v>11</v>
      </c>
      <c r="H371" s="553">
        <v>0.32</v>
      </c>
      <c r="I371" s="553"/>
      <c r="J371" s="553">
        <v>26</v>
      </c>
      <c r="K371" s="553">
        <f t="shared" si="217"/>
        <v>8.32</v>
      </c>
      <c r="L371" s="553">
        <f t="shared" si="218"/>
        <v>0</v>
      </c>
      <c r="M371" s="553">
        <f t="shared" si="219"/>
        <v>0</v>
      </c>
      <c r="N371" s="553">
        <f t="shared" si="220"/>
        <v>0</v>
      </c>
      <c r="O371" s="553">
        <f t="shared" si="221"/>
        <v>0</v>
      </c>
      <c r="P371" s="553"/>
      <c r="Q371" s="553">
        <f t="shared" si="222"/>
        <v>0</v>
      </c>
      <c r="R371" s="553">
        <f t="shared" si="223"/>
        <v>26</v>
      </c>
      <c r="S371" s="553">
        <f t="shared" si="224"/>
        <v>8.32</v>
      </c>
      <c r="T371" s="553">
        <f>+R371</f>
        <v>26</v>
      </c>
      <c r="U371" s="553">
        <f t="shared" si="225"/>
        <v>8.32</v>
      </c>
      <c r="V371" s="553" t="s">
        <v>834</v>
      </c>
    </row>
    <row r="372" spans="2:22" ht="21" customHeight="1" x14ac:dyDescent="0.25">
      <c r="B372" s="562">
        <v>10.029999999999999</v>
      </c>
      <c r="C372" s="576" t="e">
        <f t="shared" si="216"/>
        <v>#REF!</v>
      </c>
      <c r="D372" s="502" t="s">
        <v>339</v>
      </c>
      <c r="E372" s="496"/>
      <c r="F372" s="497"/>
      <c r="G372" s="530" t="s">
        <v>11</v>
      </c>
      <c r="H372" s="553">
        <v>0.32</v>
      </c>
      <c r="I372" s="553"/>
      <c r="J372" s="553">
        <v>7</v>
      </c>
      <c r="K372" s="553">
        <f t="shared" si="217"/>
        <v>2.2400000000000002</v>
      </c>
      <c r="L372" s="553">
        <f t="shared" si="218"/>
        <v>21</v>
      </c>
      <c r="M372" s="553">
        <f t="shared" si="219"/>
        <v>6.72</v>
      </c>
      <c r="N372" s="553">
        <f t="shared" si="220"/>
        <v>14</v>
      </c>
      <c r="O372" s="553">
        <f t="shared" si="221"/>
        <v>4.4800000000000004</v>
      </c>
      <c r="P372" s="553"/>
      <c r="Q372" s="553">
        <f t="shared" si="222"/>
        <v>0</v>
      </c>
      <c r="R372" s="553">
        <f t="shared" si="223"/>
        <v>0</v>
      </c>
      <c r="S372" s="553">
        <f t="shared" si="224"/>
        <v>0</v>
      </c>
      <c r="T372" s="553"/>
      <c r="U372" s="553">
        <f t="shared" si="225"/>
        <v>0</v>
      </c>
      <c r="V372" s="553"/>
    </row>
    <row r="373" spans="2:22" ht="21" customHeight="1" x14ac:dyDescent="0.25">
      <c r="B373" s="562">
        <v>10.039999999999999</v>
      </c>
      <c r="C373" s="576" t="e">
        <f t="shared" si="216"/>
        <v>#REF!</v>
      </c>
      <c r="D373" s="502" t="s">
        <v>479</v>
      </c>
      <c r="E373" s="496"/>
      <c r="F373" s="497"/>
      <c r="G373" s="530" t="s">
        <v>11</v>
      </c>
      <c r="H373" s="553">
        <v>0.31</v>
      </c>
      <c r="I373" s="553"/>
      <c r="J373" s="553">
        <v>18</v>
      </c>
      <c r="K373" s="553">
        <f t="shared" si="217"/>
        <v>5.58</v>
      </c>
      <c r="L373" s="553">
        <f t="shared" si="218"/>
        <v>172</v>
      </c>
      <c r="M373" s="553">
        <f t="shared" si="219"/>
        <v>53.32</v>
      </c>
      <c r="N373" s="553">
        <f t="shared" si="220"/>
        <v>154</v>
      </c>
      <c r="O373" s="553">
        <f t="shared" si="221"/>
        <v>47.74</v>
      </c>
      <c r="P373" s="553"/>
      <c r="Q373" s="553">
        <f t="shared" si="222"/>
        <v>0</v>
      </c>
      <c r="R373" s="553">
        <f t="shared" si="223"/>
        <v>0</v>
      </c>
      <c r="S373" s="553">
        <f t="shared" si="224"/>
        <v>0</v>
      </c>
      <c r="T373" s="553"/>
      <c r="U373" s="553">
        <f t="shared" si="225"/>
        <v>0</v>
      </c>
      <c r="V373" s="553"/>
    </row>
    <row r="374" spans="2:22" ht="21" customHeight="1" x14ac:dyDescent="0.25">
      <c r="B374" s="562">
        <v>10.049999999999999</v>
      </c>
      <c r="C374" s="576" t="e">
        <f t="shared" si="216"/>
        <v>#REF!</v>
      </c>
      <c r="D374" s="502" t="s">
        <v>478</v>
      </c>
      <c r="E374" s="496"/>
      <c r="F374" s="497"/>
      <c r="G374" s="530" t="s">
        <v>11</v>
      </c>
      <c r="H374" s="553">
        <v>0.34</v>
      </c>
      <c r="I374" s="553"/>
      <c r="J374" s="553">
        <v>18</v>
      </c>
      <c r="K374" s="553">
        <f t="shared" si="217"/>
        <v>6.12</v>
      </c>
      <c r="L374" s="553">
        <f t="shared" si="218"/>
        <v>14</v>
      </c>
      <c r="M374" s="553">
        <f t="shared" si="219"/>
        <v>4.76</v>
      </c>
      <c r="N374" s="553">
        <f t="shared" si="220"/>
        <v>0</v>
      </c>
      <c r="O374" s="553">
        <f t="shared" si="221"/>
        <v>0</v>
      </c>
      <c r="P374" s="553"/>
      <c r="Q374" s="553">
        <f t="shared" si="222"/>
        <v>0</v>
      </c>
      <c r="R374" s="553">
        <f t="shared" si="223"/>
        <v>4</v>
      </c>
      <c r="S374" s="553">
        <f t="shared" si="224"/>
        <v>1.36</v>
      </c>
      <c r="T374" s="553">
        <f>+R374</f>
        <v>4</v>
      </c>
      <c r="U374" s="553">
        <f t="shared" si="225"/>
        <v>1.36</v>
      </c>
      <c r="V374" s="553" t="s">
        <v>834</v>
      </c>
    </row>
    <row r="375" spans="2:22" ht="21" customHeight="1" x14ac:dyDescent="0.25">
      <c r="B375" s="562">
        <v>10.059999999999999</v>
      </c>
      <c r="C375" s="576" t="e">
        <f t="shared" si="216"/>
        <v>#REF!</v>
      </c>
      <c r="D375" s="502" t="s">
        <v>477</v>
      </c>
      <c r="E375" s="496"/>
      <c r="F375" s="497"/>
      <c r="G375" s="530" t="s">
        <v>11</v>
      </c>
      <c r="H375" s="553">
        <v>0.36</v>
      </c>
      <c r="I375" s="553"/>
      <c r="J375" s="553">
        <v>8</v>
      </c>
      <c r="K375" s="553">
        <f t="shared" si="217"/>
        <v>2.88</v>
      </c>
      <c r="L375" s="553">
        <f t="shared" si="218"/>
        <v>5</v>
      </c>
      <c r="M375" s="553">
        <f t="shared" si="219"/>
        <v>1.8</v>
      </c>
      <c r="N375" s="553">
        <f t="shared" si="220"/>
        <v>0</v>
      </c>
      <c r="O375" s="553">
        <f t="shared" si="221"/>
        <v>0</v>
      </c>
      <c r="P375" s="553"/>
      <c r="Q375" s="553">
        <f t="shared" si="222"/>
        <v>0</v>
      </c>
      <c r="R375" s="553">
        <f t="shared" si="223"/>
        <v>3</v>
      </c>
      <c r="S375" s="553">
        <f t="shared" si="224"/>
        <v>1.08</v>
      </c>
      <c r="T375" s="553">
        <f>+R375</f>
        <v>3</v>
      </c>
      <c r="U375" s="553">
        <f t="shared" si="225"/>
        <v>1.08</v>
      </c>
      <c r="V375" s="553" t="s">
        <v>834</v>
      </c>
    </row>
    <row r="376" spans="2:22" ht="21" customHeight="1" x14ac:dyDescent="0.25">
      <c r="B376" s="562">
        <v>10.069999999999999</v>
      </c>
      <c r="C376" s="576" t="e">
        <f t="shared" si="216"/>
        <v>#REF!</v>
      </c>
      <c r="D376" s="502" t="s">
        <v>476</v>
      </c>
      <c r="E376" s="496"/>
      <c r="F376" s="497"/>
      <c r="G376" s="530" t="s">
        <v>11</v>
      </c>
      <c r="H376" s="553">
        <v>0.46</v>
      </c>
      <c r="I376" s="553"/>
      <c r="J376" s="553">
        <v>3</v>
      </c>
      <c r="K376" s="553">
        <f t="shared" si="217"/>
        <v>1.38</v>
      </c>
      <c r="L376" s="553">
        <f t="shared" si="218"/>
        <v>104</v>
      </c>
      <c r="M376" s="553">
        <f t="shared" si="219"/>
        <v>47.84</v>
      </c>
      <c r="N376" s="553">
        <f t="shared" si="220"/>
        <v>101</v>
      </c>
      <c r="O376" s="553">
        <f t="shared" si="221"/>
        <v>46.46</v>
      </c>
      <c r="P376" s="553"/>
      <c r="Q376" s="553">
        <f t="shared" si="222"/>
        <v>0</v>
      </c>
      <c r="R376" s="553">
        <f t="shared" si="223"/>
        <v>0</v>
      </c>
      <c r="S376" s="553">
        <f t="shared" si="224"/>
        <v>0</v>
      </c>
      <c r="T376" s="553"/>
      <c r="U376" s="553">
        <f t="shared" si="225"/>
        <v>0</v>
      </c>
      <c r="V376" s="553"/>
    </row>
    <row r="377" spans="2:22" ht="21" customHeight="1" x14ac:dyDescent="0.25">
      <c r="B377" s="562">
        <v>10.079999999999998</v>
      </c>
      <c r="C377" s="576" t="e">
        <f t="shared" si="216"/>
        <v>#REF!</v>
      </c>
      <c r="D377" s="502" t="s">
        <v>475</v>
      </c>
      <c r="E377" s="496"/>
      <c r="F377" s="497"/>
      <c r="G377" s="530" t="s">
        <v>11</v>
      </c>
      <c r="H377" s="553">
        <v>0.41</v>
      </c>
      <c r="I377" s="553"/>
      <c r="J377" s="553">
        <v>380</v>
      </c>
      <c r="K377" s="553">
        <f t="shared" si="217"/>
        <v>155.80000000000001</v>
      </c>
      <c r="L377" s="553">
        <f t="shared" si="218"/>
        <v>107</v>
      </c>
      <c r="M377" s="553">
        <f t="shared" si="219"/>
        <v>43.87</v>
      </c>
      <c r="N377" s="553">
        <f t="shared" si="220"/>
        <v>0</v>
      </c>
      <c r="O377" s="553">
        <f t="shared" si="221"/>
        <v>0</v>
      </c>
      <c r="P377" s="553"/>
      <c r="Q377" s="553">
        <f t="shared" si="222"/>
        <v>0</v>
      </c>
      <c r="R377" s="553">
        <f t="shared" si="223"/>
        <v>273</v>
      </c>
      <c r="S377" s="553">
        <f t="shared" si="224"/>
        <v>111.93</v>
      </c>
      <c r="T377" s="553">
        <f>+N376</f>
        <v>101</v>
      </c>
      <c r="U377" s="553">
        <f t="shared" si="225"/>
        <v>41.41</v>
      </c>
      <c r="V377" s="553" t="s">
        <v>835</v>
      </c>
    </row>
    <row r="378" spans="2:22" ht="21" customHeight="1" x14ac:dyDescent="0.25">
      <c r="B378" s="562">
        <v>10.089999999999998</v>
      </c>
      <c r="C378" s="576" t="e">
        <f t="shared" si="216"/>
        <v>#REF!</v>
      </c>
      <c r="D378" s="502" t="s">
        <v>15</v>
      </c>
      <c r="E378" s="496"/>
      <c r="F378" s="497"/>
      <c r="G378" s="530" t="s">
        <v>11</v>
      </c>
      <c r="H378" s="553">
        <v>0.45</v>
      </c>
      <c r="I378" s="553"/>
      <c r="J378" s="553">
        <v>61</v>
      </c>
      <c r="K378" s="553">
        <f t="shared" si="217"/>
        <v>27.45</v>
      </c>
      <c r="L378" s="553">
        <f t="shared" si="218"/>
        <v>70</v>
      </c>
      <c r="M378" s="553">
        <f t="shared" si="219"/>
        <v>31.5</v>
      </c>
      <c r="N378" s="553">
        <f t="shared" si="220"/>
        <v>9</v>
      </c>
      <c r="O378" s="553">
        <f t="shared" si="221"/>
        <v>4.05</v>
      </c>
      <c r="P378" s="553"/>
      <c r="Q378" s="553">
        <f t="shared" si="222"/>
        <v>0</v>
      </c>
      <c r="R378" s="553">
        <f t="shared" si="223"/>
        <v>0</v>
      </c>
      <c r="S378" s="553">
        <f t="shared" si="224"/>
        <v>0</v>
      </c>
      <c r="T378" s="553"/>
      <c r="U378" s="553">
        <f t="shared" si="225"/>
        <v>0</v>
      </c>
      <c r="V378" s="553"/>
    </row>
    <row r="379" spans="2:22" ht="21" customHeight="1" x14ac:dyDescent="0.25">
      <c r="B379" s="562">
        <v>10.099999999999998</v>
      </c>
      <c r="C379" s="576" t="e">
        <f t="shared" si="216"/>
        <v>#REF!</v>
      </c>
      <c r="D379" s="502" t="s">
        <v>60</v>
      </c>
      <c r="E379" s="496"/>
      <c r="F379" s="497"/>
      <c r="G379" s="530" t="s">
        <v>11</v>
      </c>
      <c r="H379" s="553">
        <v>0.54</v>
      </c>
      <c r="I379" s="553"/>
      <c r="J379" s="553">
        <v>47</v>
      </c>
      <c r="K379" s="553">
        <f t="shared" si="217"/>
        <v>25.38</v>
      </c>
      <c r="L379" s="553">
        <f t="shared" si="218"/>
        <v>21</v>
      </c>
      <c r="M379" s="553">
        <f t="shared" si="219"/>
        <v>11.34</v>
      </c>
      <c r="N379" s="553">
        <f t="shared" si="220"/>
        <v>0</v>
      </c>
      <c r="O379" s="553">
        <f t="shared" si="221"/>
        <v>0</v>
      </c>
      <c r="P379" s="553"/>
      <c r="Q379" s="553">
        <f t="shared" si="222"/>
        <v>0</v>
      </c>
      <c r="R379" s="553">
        <f t="shared" si="223"/>
        <v>26</v>
      </c>
      <c r="S379" s="553">
        <f t="shared" si="224"/>
        <v>14.04</v>
      </c>
      <c r="T379" s="553"/>
      <c r="U379" s="553">
        <f t="shared" si="225"/>
        <v>0</v>
      </c>
      <c r="V379" s="553"/>
    </row>
    <row r="380" spans="2:22" ht="21" customHeight="1" x14ac:dyDescent="0.25">
      <c r="B380" s="562">
        <v>10.109999999999998</v>
      </c>
      <c r="C380" s="576" t="e">
        <f t="shared" si="216"/>
        <v>#REF!</v>
      </c>
      <c r="D380" s="502" t="s">
        <v>474</v>
      </c>
      <c r="E380" s="496"/>
      <c r="F380" s="497"/>
      <c r="G380" s="530" t="s">
        <v>11</v>
      </c>
      <c r="H380" s="553">
        <v>0.64</v>
      </c>
      <c r="I380" s="553"/>
      <c r="J380" s="553">
        <v>9</v>
      </c>
      <c r="K380" s="553">
        <f t="shared" si="217"/>
        <v>5.76</v>
      </c>
      <c r="L380" s="553">
        <f t="shared" si="218"/>
        <v>0</v>
      </c>
      <c r="M380" s="553">
        <f t="shared" si="219"/>
        <v>0</v>
      </c>
      <c r="N380" s="553">
        <f t="shared" si="220"/>
        <v>0</v>
      </c>
      <c r="O380" s="553">
        <f t="shared" si="221"/>
        <v>0</v>
      </c>
      <c r="P380" s="553"/>
      <c r="Q380" s="553">
        <f t="shared" si="222"/>
        <v>0</v>
      </c>
      <c r="R380" s="553">
        <f t="shared" si="223"/>
        <v>9</v>
      </c>
      <c r="S380" s="553">
        <f t="shared" si="224"/>
        <v>5.76</v>
      </c>
      <c r="T380" s="553">
        <f>+R380</f>
        <v>9</v>
      </c>
      <c r="U380" s="553">
        <f t="shared" si="225"/>
        <v>5.76</v>
      </c>
      <c r="V380" s="553" t="s">
        <v>836</v>
      </c>
    </row>
    <row r="381" spans="2:22" ht="21" customHeight="1" x14ac:dyDescent="0.25">
      <c r="B381" s="562">
        <v>10.119999999999997</v>
      </c>
      <c r="C381" s="576" t="e">
        <f>+C375+1</f>
        <v>#REF!</v>
      </c>
      <c r="D381" s="502" t="s">
        <v>16</v>
      </c>
      <c r="E381" s="496"/>
      <c r="F381" s="497"/>
      <c r="G381" s="530" t="s">
        <v>11</v>
      </c>
      <c r="H381" s="553">
        <v>0.48</v>
      </c>
      <c r="I381" s="553"/>
      <c r="J381" s="553">
        <v>38</v>
      </c>
      <c r="K381" s="553">
        <f t="shared" si="217"/>
        <v>18.239999999999998</v>
      </c>
      <c r="L381" s="553">
        <f t="shared" si="218"/>
        <v>112</v>
      </c>
      <c r="M381" s="553">
        <f t="shared" si="219"/>
        <v>53.76</v>
      </c>
      <c r="N381" s="553">
        <f t="shared" si="220"/>
        <v>74</v>
      </c>
      <c r="O381" s="553">
        <f t="shared" si="221"/>
        <v>35.520000000000003</v>
      </c>
      <c r="P381" s="553"/>
      <c r="Q381" s="553">
        <f t="shared" si="222"/>
        <v>0</v>
      </c>
      <c r="R381" s="553">
        <f t="shared" si="223"/>
        <v>0</v>
      </c>
      <c r="S381" s="553">
        <f t="shared" si="224"/>
        <v>0</v>
      </c>
      <c r="T381" s="553"/>
      <c r="U381" s="553">
        <f t="shared" si="225"/>
        <v>0</v>
      </c>
      <c r="V381" s="553"/>
    </row>
    <row r="382" spans="2:22" ht="21" customHeight="1" x14ac:dyDescent="0.25">
      <c r="B382" s="562">
        <v>10.129999999999997</v>
      </c>
      <c r="C382" s="576" t="e">
        <f t="shared" ref="C382:C388" si="226">+C381+1</f>
        <v>#REF!</v>
      </c>
      <c r="D382" s="502" t="s">
        <v>473</v>
      </c>
      <c r="E382" s="496"/>
      <c r="F382" s="497"/>
      <c r="G382" s="530" t="s">
        <v>11</v>
      </c>
      <c r="H382" s="553">
        <v>0.49</v>
      </c>
      <c r="I382" s="553"/>
      <c r="J382" s="553">
        <v>4</v>
      </c>
      <c r="K382" s="553">
        <f t="shared" si="217"/>
        <v>1.96</v>
      </c>
      <c r="L382" s="553">
        <f t="shared" si="218"/>
        <v>0</v>
      </c>
      <c r="M382" s="553">
        <f t="shared" si="219"/>
        <v>0</v>
      </c>
      <c r="N382" s="553">
        <f t="shared" si="220"/>
        <v>0</v>
      </c>
      <c r="O382" s="553">
        <f t="shared" si="221"/>
        <v>0</v>
      </c>
      <c r="P382" s="553"/>
      <c r="Q382" s="553">
        <f t="shared" si="222"/>
        <v>0</v>
      </c>
      <c r="R382" s="553">
        <f t="shared" si="223"/>
        <v>4</v>
      </c>
      <c r="S382" s="553">
        <f t="shared" si="224"/>
        <v>1.96</v>
      </c>
      <c r="T382" s="553">
        <f>+N372</f>
        <v>14</v>
      </c>
      <c r="U382" s="553">
        <f t="shared" si="225"/>
        <v>6.86</v>
      </c>
      <c r="V382" s="553" t="s">
        <v>837</v>
      </c>
    </row>
    <row r="383" spans="2:22" ht="21" customHeight="1" x14ac:dyDescent="0.25">
      <c r="B383" s="562">
        <v>10.139999999999997</v>
      </c>
      <c r="C383" s="576" t="e">
        <f t="shared" si="226"/>
        <v>#REF!</v>
      </c>
      <c r="D383" s="502" t="s">
        <v>472</v>
      </c>
      <c r="E383" s="496"/>
      <c r="F383" s="497"/>
      <c r="G383" s="530" t="s">
        <v>11</v>
      </c>
      <c r="H383" s="553">
        <v>1.33</v>
      </c>
      <c r="I383" s="553"/>
      <c r="J383" s="553">
        <v>13</v>
      </c>
      <c r="K383" s="553">
        <f t="shared" si="217"/>
        <v>17.29</v>
      </c>
      <c r="L383" s="553">
        <f t="shared" si="218"/>
        <v>33</v>
      </c>
      <c r="M383" s="553">
        <f t="shared" si="219"/>
        <v>43.89</v>
      </c>
      <c r="N383" s="553">
        <f t="shared" si="220"/>
        <v>20</v>
      </c>
      <c r="O383" s="553">
        <f t="shared" si="221"/>
        <v>26.6</v>
      </c>
      <c r="P383" s="553"/>
      <c r="Q383" s="553">
        <f t="shared" si="222"/>
        <v>0</v>
      </c>
      <c r="R383" s="553">
        <f t="shared" si="223"/>
        <v>0</v>
      </c>
      <c r="S383" s="553">
        <f t="shared" si="224"/>
        <v>0</v>
      </c>
      <c r="T383" s="553"/>
      <c r="U383" s="553">
        <f t="shared" si="225"/>
        <v>0</v>
      </c>
      <c r="V383" s="553"/>
    </row>
    <row r="384" spans="2:22" ht="21" customHeight="1" x14ac:dyDescent="0.25">
      <c r="B384" s="562">
        <v>10.149999999999997</v>
      </c>
      <c r="C384" s="576" t="e">
        <f t="shared" si="226"/>
        <v>#REF!</v>
      </c>
      <c r="D384" s="502" t="s">
        <v>460</v>
      </c>
      <c r="E384" s="496"/>
      <c r="F384" s="497"/>
      <c r="G384" s="530" t="s">
        <v>11</v>
      </c>
      <c r="H384" s="553">
        <v>0.09</v>
      </c>
      <c r="I384" s="553"/>
      <c r="J384" s="553">
        <v>618</v>
      </c>
      <c r="K384" s="553">
        <f t="shared" si="217"/>
        <v>55.62</v>
      </c>
      <c r="L384" s="553">
        <f t="shared" si="218"/>
        <v>518</v>
      </c>
      <c r="M384" s="553">
        <f t="shared" si="219"/>
        <v>46.62</v>
      </c>
      <c r="N384" s="553">
        <f t="shared" si="220"/>
        <v>0</v>
      </c>
      <c r="O384" s="553">
        <f t="shared" si="221"/>
        <v>0</v>
      </c>
      <c r="P384" s="553"/>
      <c r="Q384" s="553">
        <f t="shared" si="222"/>
        <v>0</v>
      </c>
      <c r="R384" s="553">
        <f t="shared" si="223"/>
        <v>100</v>
      </c>
      <c r="S384" s="553">
        <f t="shared" si="224"/>
        <v>9</v>
      </c>
      <c r="T384" s="553"/>
      <c r="U384" s="553">
        <f t="shared" si="225"/>
        <v>0</v>
      </c>
      <c r="V384" s="553"/>
    </row>
    <row r="385" spans="2:22" ht="21" customHeight="1" x14ac:dyDescent="0.25">
      <c r="B385" s="562">
        <v>10.159999999999997</v>
      </c>
      <c r="C385" s="576" t="e">
        <f t="shared" si="226"/>
        <v>#REF!</v>
      </c>
      <c r="D385" s="502" t="s">
        <v>471</v>
      </c>
      <c r="E385" s="496"/>
      <c r="F385" s="497"/>
      <c r="G385" s="530" t="s">
        <v>11</v>
      </c>
      <c r="H385" s="553">
        <v>0.09</v>
      </c>
      <c r="I385" s="553"/>
      <c r="J385" s="553">
        <v>979</v>
      </c>
      <c r="K385" s="553">
        <f t="shared" si="217"/>
        <v>88.11</v>
      </c>
      <c r="L385" s="553">
        <f t="shared" si="218"/>
        <v>772</v>
      </c>
      <c r="M385" s="553">
        <f t="shared" si="219"/>
        <v>69.48</v>
      </c>
      <c r="N385" s="553">
        <f t="shared" si="220"/>
        <v>0</v>
      </c>
      <c r="O385" s="553">
        <f t="shared" si="221"/>
        <v>0</v>
      </c>
      <c r="P385" s="553"/>
      <c r="Q385" s="553">
        <f t="shared" si="222"/>
        <v>0</v>
      </c>
      <c r="R385" s="553">
        <f t="shared" si="223"/>
        <v>207</v>
      </c>
      <c r="S385" s="553">
        <f t="shared" si="224"/>
        <v>18.63</v>
      </c>
      <c r="T385" s="553"/>
      <c r="U385" s="553">
        <f t="shared" si="225"/>
        <v>0</v>
      </c>
      <c r="V385" s="553"/>
    </row>
    <row r="386" spans="2:22" ht="21" customHeight="1" x14ac:dyDescent="0.25">
      <c r="B386" s="562">
        <v>10.169999999999996</v>
      </c>
      <c r="C386" s="576" t="e">
        <f t="shared" si="226"/>
        <v>#REF!</v>
      </c>
      <c r="D386" s="502" t="s">
        <v>17</v>
      </c>
      <c r="E386" s="496"/>
      <c r="F386" s="497"/>
      <c r="G386" s="530" t="s">
        <v>18</v>
      </c>
      <c r="H386" s="553">
        <v>0.22</v>
      </c>
      <c r="I386" s="553"/>
      <c r="J386" s="553">
        <v>21</v>
      </c>
      <c r="K386" s="553">
        <f t="shared" si="217"/>
        <v>4.62</v>
      </c>
      <c r="L386" s="553">
        <f t="shared" si="218"/>
        <v>22</v>
      </c>
      <c r="M386" s="553">
        <f t="shared" si="219"/>
        <v>4.84</v>
      </c>
      <c r="N386" s="553">
        <f t="shared" si="220"/>
        <v>1</v>
      </c>
      <c r="O386" s="553">
        <f t="shared" si="221"/>
        <v>0.22</v>
      </c>
      <c r="P386" s="553"/>
      <c r="Q386" s="553">
        <f t="shared" si="222"/>
        <v>0</v>
      </c>
      <c r="R386" s="553">
        <f t="shared" si="223"/>
        <v>0</v>
      </c>
      <c r="S386" s="553">
        <f t="shared" si="224"/>
        <v>0</v>
      </c>
      <c r="T386" s="553"/>
      <c r="U386" s="553">
        <f t="shared" si="225"/>
        <v>0</v>
      </c>
      <c r="V386" s="553"/>
    </row>
    <row r="387" spans="2:22" ht="21" customHeight="1" x14ac:dyDescent="0.25">
      <c r="B387" s="562">
        <v>10.179999999999996</v>
      </c>
      <c r="C387" s="576" t="e">
        <f t="shared" si="226"/>
        <v>#REF!</v>
      </c>
      <c r="D387" s="502" t="s">
        <v>470</v>
      </c>
      <c r="E387" s="496"/>
      <c r="F387" s="497"/>
      <c r="G387" s="530" t="s">
        <v>11</v>
      </c>
      <c r="H387" s="553">
        <v>0.12</v>
      </c>
      <c r="I387" s="553"/>
      <c r="J387" s="553">
        <v>9</v>
      </c>
      <c r="K387" s="553">
        <f t="shared" si="217"/>
        <v>1.08</v>
      </c>
      <c r="L387" s="553">
        <f t="shared" si="218"/>
        <v>0</v>
      </c>
      <c r="M387" s="553">
        <f t="shared" si="219"/>
        <v>0</v>
      </c>
      <c r="N387" s="553">
        <f t="shared" si="220"/>
        <v>0</v>
      </c>
      <c r="O387" s="553">
        <f t="shared" si="221"/>
        <v>0</v>
      </c>
      <c r="P387" s="553"/>
      <c r="Q387" s="553">
        <f t="shared" si="222"/>
        <v>0</v>
      </c>
      <c r="R387" s="553">
        <f t="shared" si="223"/>
        <v>9</v>
      </c>
      <c r="S387" s="553">
        <f t="shared" si="224"/>
        <v>1.08</v>
      </c>
      <c r="T387" s="553">
        <f>+N386</f>
        <v>1</v>
      </c>
      <c r="U387" s="553">
        <f t="shared" si="225"/>
        <v>0.12</v>
      </c>
      <c r="V387" s="553" t="s">
        <v>838</v>
      </c>
    </row>
    <row r="388" spans="2:22" ht="21" customHeight="1" x14ac:dyDescent="0.25">
      <c r="B388" s="562">
        <v>10.189999999999996</v>
      </c>
      <c r="C388" s="576" t="e">
        <f t="shared" si="226"/>
        <v>#REF!</v>
      </c>
      <c r="D388" s="502" t="s">
        <v>342</v>
      </c>
      <c r="E388" s="496"/>
      <c r="F388" s="497"/>
      <c r="G388" s="530" t="s">
        <v>11</v>
      </c>
      <c r="H388" s="553">
        <v>0.1</v>
      </c>
      <c r="I388" s="553"/>
      <c r="J388" s="553">
        <v>9</v>
      </c>
      <c r="K388" s="553">
        <f t="shared" si="217"/>
        <v>0.9</v>
      </c>
      <c r="L388" s="553">
        <f t="shared" si="218"/>
        <v>0</v>
      </c>
      <c r="M388" s="553">
        <f t="shared" si="219"/>
        <v>0</v>
      </c>
      <c r="N388" s="553">
        <f t="shared" si="220"/>
        <v>0</v>
      </c>
      <c r="O388" s="553">
        <f t="shared" si="221"/>
        <v>0</v>
      </c>
      <c r="P388" s="553"/>
      <c r="Q388" s="553">
        <f t="shared" si="222"/>
        <v>0</v>
      </c>
      <c r="R388" s="553">
        <f t="shared" si="223"/>
        <v>9</v>
      </c>
      <c r="S388" s="553">
        <f t="shared" si="224"/>
        <v>0.9</v>
      </c>
      <c r="T388" s="553">
        <f>+N386</f>
        <v>1</v>
      </c>
      <c r="U388" s="553">
        <f t="shared" si="225"/>
        <v>0.1</v>
      </c>
      <c r="V388" s="553" t="s">
        <v>838</v>
      </c>
    </row>
    <row r="389" spans="2:22" ht="21" customHeight="1" x14ac:dyDescent="0.25">
      <c r="B389" s="562">
        <v>10.199999999999996</v>
      </c>
      <c r="C389" s="576" t="e">
        <f>+C371+1</f>
        <v>#REF!</v>
      </c>
      <c r="D389" s="502" t="s">
        <v>469</v>
      </c>
      <c r="E389" s="496"/>
      <c r="F389" s="497"/>
      <c r="G389" s="530" t="s">
        <v>11</v>
      </c>
      <c r="H389" s="553">
        <v>7.0000000000000007E-2</v>
      </c>
      <c r="I389" s="553"/>
      <c r="J389" s="553">
        <v>9</v>
      </c>
      <c r="K389" s="553">
        <f t="shared" si="217"/>
        <v>0.63</v>
      </c>
      <c r="L389" s="553">
        <f t="shared" si="218"/>
        <v>0</v>
      </c>
      <c r="M389" s="553">
        <f t="shared" si="219"/>
        <v>0</v>
      </c>
      <c r="N389" s="553">
        <f t="shared" si="220"/>
        <v>0</v>
      </c>
      <c r="O389" s="553">
        <f t="shared" si="221"/>
        <v>0</v>
      </c>
      <c r="P389" s="553"/>
      <c r="Q389" s="553">
        <f t="shared" si="222"/>
        <v>0</v>
      </c>
      <c r="R389" s="553">
        <f t="shared" si="223"/>
        <v>9</v>
      </c>
      <c r="S389" s="553">
        <f t="shared" si="224"/>
        <v>0.63</v>
      </c>
      <c r="T389" s="553">
        <f>+N386</f>
        <v>1</v>
      </c>
      <c r="U389" s="553">
        <f t="shared" si="225"/>
        <v>7.0000000000000007E-2</v>
      </c>
      <c r="V389" s="553" t="s">
        <v>838</v>
      </c>
    </row>
    <row r="390" spans="2:22" s="547" customFormat="1" ht="21" customHeight="1" x14ac:dyDescent="0.25">
      <c r="B390" s="559">
        <v>10.209999999999996</v>
      </c>
      <c r="C390" s="575" t="e">
        <f>+#REF!+1</f>
        <v>#REF!</v>
      </c>
      <c r="D390" s="501" t="s">
        <v>770</v>
      </c>
      <c r="E390" s="545"/>
      <c r="F390" s="546"/>
      <c r="G390" s="531" t="s">
        <v>11</v>
      </c>
      <c r="H390" s="560"/>
      <c r="I390" s="560">
        <f>H378*0.8</f>
        <v>0.36000000000000004</v>
      </c>
      <c r="J390" s="560"/>
      <c r="K390" s="560">
        <f t="shared" si="217"/>
        <v>0</v>
      </c>
      <c r="L390" s="560">
        <f t="shared" si="218"/>
        <v>24</v>
      </c>
      <c r="M390" s="560">
        <f>+ROUND($I390*L390,2)</f>
        <v>8.64</v>
      </c>
      <c r="N390" s="560"/>
      <c r="O390" s="560">
        <f t="shared" si="221"/>
        <v>0</v>
      </c>
      <c r="P390" s="561">
        <f>+L390</f>
        <v>24</v>
      </c>
      <c r="Q390" s="560">
        <f>+ROUND($I390*P390,2)</f>
        <v>8.64</v>
      </c>
      <c r="R390" s="560"/>
      <c r="S390" s="560">
        <f t="shared" si="224"/>
        <v>0</v>
      </c>
      <c r="T390" s="560"/>
      <c r="U390" s="560">
        <f t="shared" si="225"/>
        <v>0</v>
      </c>
      <c r="V390" s="560"/>
    </row>
    <row r="391" spans="2:22" s="547" customFormat="1" ht="21" customHeight="1" x14ac:dyDescent="0.25">
      <c r="B391" s="559">
        <v>10.219999999999995</v>
      </c>
      <c r="C391" s="575" t="e">
        <f>+#REF!+1</f>
        <v>#REF!</v>
      </c>
      <c r="D391" s="501" t="s">
        <v>809</v>
      </c>
      <c r="E391" s="545"/>
      <c r="F391" s="546"/>
      <c r="G391" s="531" t="s">
        <v>11</v>
      </c>
      <c r="H391" s="560"/>
      <c r="I391" s="560">
        <f>H383</f>
        <v>1.33</v>
      </c>
      <c r="J391" s="560"/>
      <c r="K391" s="560">
        <f t="shared" si="217"/>
        <v>0</v>
      </c>
      <c r="L391" s="560">
        <f t="shared" si="218"/>
        <v>2</v>
      </c>
      <c r="M391" s="560">
        <f>+ROUND($I391*L391,2)</f>
        <v>2.66</v>
      </c>
      <c r="N391" s="560"/>
      <c r="O391" s="560">
        <f t="shared" si="221"/>
        <v>0</v>
      </c>
      <c r="P391" s="561">
        <f>+L391</f>
        <v>2</v>
      </c>
      <c r="Q391" s="560">
        <f>+ROUND($I391*P391,2)</f>
        <v>2.66</v>
      </c>
      <c r="R391" s="560"/>
      <c r="S391" s="560">
        <f t="shared" si="224"/>
        <v>0</v>
      </c>
      <c r="T391" s="560"/>
      <c r="U391" s="560">
        <f t="shared" si="225"/>
        <v>0</v>
      </c>
      <c r="V391" s="560"/>
    </row>
    <row r="392" spans="2:22" s="547" customFormat="1" ht="21" customHeight="1" x14ac:dyDescent="0.25">
      <c r="B392" s="559">
        <v>10.229999999999995</v>
      </c>
      <c r="C392" s="575" t="e">
        <f>+#REF!+1</f>
        <v>#REF!</v>
      </c>
      <c r="D392" s="501" t="s">
        <v>810</v>
      </c>
      <c r="E392" s="545"/>
      <c r="F392" s="546"/>
      <c r="G392" s="564" t="s">
        <v>11</v>
      </c>
      <c r="H392" s="633"/>
      <c r="I392" s="633">
        <v>1.33</v>
      </c>
      <c r="J392" s="633"/>
      <c r="K392" s="633">
        <f t="shared" si="217"/>
        <v>0</v>
      </c>
      <c r="L392" s="633">
        <f t="shared" si="218"/>
        <v>75</v>
      </c>
      <c r="M392" s="633">
        <f>+ROUND($I392*L392,2)</f>
        <v>99.75</v>
      </c>
      <c r="N392" s="633"/>
      <c r="O392" s="633">
        <f t="shared" si="221"/>
        <v>0</v>
      </c>
      <c r="P392" s="634">
        <f>+L392</f>
        <v>75</v>
      </c>
      <c r="Q392" s="633">
        <f>+ROUND($I392*P392,2)</f>
        <v>99.75</v>
      </c>
      <c r="R392" s="633"/>
      <c r="S392" s="633">
        <f t="shared" si="224"/>
        <v>0</v>
      </c>
      <c r="T392" s="767"/>
      <c r="U392" s="633">
        <f t="shared" si="225"/>
        <v>0</v>
      </c>
      <c r="V392" s="767"/>
    </row>
    <row r="393" spans="2:22" ht="21" customHeight="1" x14ac:dyDescent="0.25">
      <c r="B393" s="456"/>
      <c r="C393" s="483" t="e">
        <f>+#REF!+1</f>
        <v>#REF!</v>
      </c>
      <c r="D393" s="537"/>
      <c r="E393" s="538"/>
      <c r="F393" s="544" t="str">
        <f>+"SUB-TOTAL   "&amp;B369&amp;":  "</f>
        <v xml:space="preserve">SUB-TOTAL   10:  </v>
      </c>
      <c r="G393" s="440"/>
      <c r="H393" s="438"/>
      <c r="I393" s="438"/>
      <c r="J393" s="438"/>
      <c r="K393" s="548">
        <f>+SUM(K370:K392)</f>
        <v>432.23999999999995</v>
      </c>
      <c r="L393" s="438"/>
      <c r="M393" s="548">
        <f>+SUM(M370:M392)</f>
        <v>541.35</v>
      </c>
      <c r="N393" s="438"/>
      <c r="O393" s="548">
        <f>+SUM(O370:O392)</f>
        <v>172.75</v>
      </c>
      <c r="P393" s="438"/>
      <c r="Q393" s="548">
        <f>+SUM(Q370:Q392)</f>
        <v>111.05</v>
      </c>
      <c r="R393" s="438"/>
      <c r="S393" s="548">
        <f>+SUM(S370:S392)</f>
        <v>174.69000000000003</v>
      </c>
      <c r="T393" s="438"/>
      <c r="U393" s="548">
        <f>+SUM(U370:U392)</f>
        <v>65.079999999999984</v>
      </c>
      <c r="V393" s="438"/>
    </row>
    <row r="394" spans="2:22" ht="21" customHeight="1" x14ac:dyDescent="0.25">
      <c r="B394" s="452">
        <v>11</v>
      </c>
      <c r="C394" s="481" t="e">
        <f t="shared" ref="C394:C405" si="227">+C393+1</f>
        <v>#REF!</v>
      </c>
      <c r="D394" s="453" t="s">
        <v>20</v>
      </c>
      <c r="E394" s="445"/>
      <c r="F394" s="446"/>
      <c r="G394" s="527"/>
      <c r="H394" s="438"/>
      <c r="I394" s="438"/>
      <c r="J394" s="438"/>
      <c r="K394" s="438"/>
      <c r="L394" s="756"/>
      <c r="M394" s="438"/>
      <c r="N394" s="438"/>
      <c r="O394" s="438"/>
      <c r="P394" s="438"/>
      <c r="Q394" s="438"/>
      <c r="R394" s="438"/>
      <c r="S394" s="438"/>
      <c r="T394" s="438"/>
      <c r="U394" s="438"/>
      <c r="V394" s="438"/>
    </row>
    <row r="395" spans="2:22" ht="21" customHeight="1" x14ac:dyDescent="0.25">
      <c r="B395" s="562">
        <v>11.01</v>
      </c>
      <c r="C395" s="576" t="e">
        <f t="shared" si="227"/>
        <v>#REF!</v>
      </c>
      <c r="D395" s="502" t="s">
        <v>468</v>
      </c>
      <c r="E395" s="496"/>
      <c r="F395" s="497"/>
      <c r="G395" s="530" t="s">
        <v>13</v>
      </c>
      <c r="H395" s="553">
        <v>0.57999999999999996</v>
      </c>
      <c r="I395" s="553"/>
      <c r="J395" s="553">
        <v>881</v>
      </c>
      <c r="K395" s="553">
        <f t="shared" ref="K395:K407" si="228">+ROUND($H395*J395,2)</f>
        <v>510.98</v>
      </c>
      <c r="L395" s="553">
        <f t="shared" ref="L395:L408" si="229">+L103</f>
        <v>0</v>
      </c>
      <c r="M395" s="553">
        <f t="shared" ref="M395:M407" si="230">+ROUND($H395*L395,2)</f>
        <v>0</v>
      </c>
      <c r="N395" s="553">
        <f t="shared" ref="N395:N407" si="231">+IF($L395-$J395&gt;=0,$L395-$J395,0)</f>
        <v>0</v>
      </c>
      <c r="O395" s="553">
        <f t="shared" ref="O395:O407" si="232">+ROUND($H395*N395,2)</f>
        <v>0</v>
      </c>
      <c r="P395" s="553"/>
      <c r="Q395" s="553">
        <f t="shared" ref="Q395:Q407" si="233">+ROUND($H395*P395,2)</f>
        <v>0</v>
      </c>
      <c r="R395" s="553">
        <f t="shared" ref="R395:R408" si="234">+IF($L395-$J395&lt;=0,-$L395+$J395,0)</f>
        <v>881</v>
      </c>
      <c r="S395" s="553">
        <f t="shared" ref="S395:S407" si="235">+ROUND($H395*R395,2)</f>
        <v>510.98</v>
      </c>
      <c r="T395" s="553"/>
      <c r="U395" s="553">
        <f t="shared" ref="U395:U407" si="236">+ROUND($H395*T395,2)</f>
        <v>0</v>
      </c>
      <c r="V395" s="553"/>
    </row>
    <row r="396" spans="2:22" ht="21" customHeight="1" x14ac:dyDescent="0.25">
      <c r="B396" s="562">
        <v>11.02</v>
      </c>
      <c r="C396" s="576" t="e">
        <f t="shared" si="227"/>
        <v>#REF!</v>
      </c>
      <c r="D396" s="502" t="s">
        <v>21</v>
      </c>
      <c r="E396" s="496"/>
      <c r="F396" s="497"/>
      <c r="G396" s="530" t="s">
        <v>11</v>
      </c>
      <c r="H396" s="553">
        <v>2.37</v>
      </c>
      <c r="I396" s="553"/>
      <c r="J396" s="553">
        <v>66</v>
      </c>
      <c r="K396" s="553">
        <f t="shared" si="228"/>
        <v>156.41999999999999</v>
      </c>
      <c r="L396" s="553">
        <f t="shared" si="229"/>
        <v>83</v>
      </c>
      <c r="M396" s="553">
        <f t="shared" si="230"/>
        <v>196.71</v>
      </c>
      <c r="N396" s="553">
        <f t="shared" si="231"/>
        <v>17</v>
      </c>
      <c r="O396" s="553">
        <f t="shared" si="232"/>
        <v>40.29</v>
      </c>
      <c r="P396" s="553"/>
      <c r="Q396" s="553">
        <f t="shared" si="233"/>
        <v>0</v>
      </c>
      <c r="R396" s="553">
        <f t="shared" si="234"/>
        <v>0</v>
      </c>
      <c r="S396" s="553">
        <f t="shared" si="235"/>
        <v>0</v>
      </c>
      <c r="T396" s="553"/>
      <c r="U396" s="553">
        <f t="shared" si="236"/>
        <v>0</v>
      </c>
      <c r="V396" s="553"/>
    </row>
    <row r="397" spans="2:22" ht="21" customHeight="1" x14ac:dyDescent="0.25">
      <c r="B397" s="562">
        <v>11.03</v>
      </c>
      <c r="C397" s="576" t="e">
        <f t="shared" si="227"/>
        <v>#REF!</v>
      </c>
      <c r="D397" s="502" t="s">
        <v>22</v>
      </c>
      <c r="E397" s="496"/>
      <c r="F397" s="497"/>
      <c r="G397" s="530" t="s">
        <v>11</v>
      </c>
      <c r="H397" s="553">
        <v>0.85</v>
      </c>
      <c r="I397" s="553"/>
      <c r="J397" s="553">
        <v>208</v>
      </c>
      <c r="K397" s="553">
        <f t="shared" si="228"/>
        <v>176.8</v>
      </c>
      <c r="L397" s="553">
        <f t="shared" si="229"/>
        <v>166</v>
      </c>
      <c r="M397" s="553">
        <f t="shared" si="230"/>
        <v>141.1</v>
      </c>
      <c r="N397" s="553">
        <f t="shared" si="231"/>
        <v>0</v>
      </c>
      <c r="O397" s="553">
        <f t="shared" si="232"/>
        <v>0</v>
      </c>
      <c r="P397" s="553"/>
      <c r="Q397" s="553">
        <f t="shared" si="233"/>
        <v>0</v>
      </c>
      <c r="R397" s="553">
        <f t="shared" si="234"/>
        <v>42</v>
      </c>
      <c r="S397" s="553">
        <f t="shared" si="235"/>
        <v>35.700000000000003</v>
      </c>
      <c r="T397" s="553"/>
      <c r="U397" s="553">
        <f t="shared" si="236"/>
        <v>0</v>
      </c>
      <c r="V397" s="553"/>
    </row>
    <row r="398" spans="2:22" ht="21" customHeight="1" x14ac:dyDescent="0.25">
      <c r="B398" s="562">
        <v>11.04</v>
      </c>
      <c r="C398" s="576" t="e">
        <f t="shared" si="227"/>
        <v>#REF!</v>
      </c>
      <c r="D398" s="502" t="s">
        <v>467</v>
      </c>
      <c r="E398" s="496"/>
      <c r="F398" s="497"/>
      <c r="G398" s="530" t="s">
        <v>13</v>
      </c>
      <c r="H398" s="553">
        <v>0.02</v>
      </c>
      <c r="I398" s="553"/>
      <c r="J398" s="553">
        <v>312</v>
      </c>
      <c r="K398" s="553">
        <f t="shared" si="228"/>
        <v>6.24</v>
      </c>
      <c r="L398" s="553">
        <f t="shared" si="229"/>
        <v>124.5</v>
      </c>
      <c r="M398" s="553">
        <f t="shared" si="230"/>
        <v>2.4900000000000002</v>
      </c>
      <c r="N398" s="553">
        <f t="shared" si="231"/>
        <v>0</v>
      </c>
      <c r="O398" s="553">
        <f t="shared" si="232"/>
        <v>0</v>
      </c>
      <c r="P398" s="553"/>
      <c r="Q398" s="553">
        <f t="shared" si="233"/>
        <v>0</v>
      </c>
      <c r="R398" s="553">
        <f t="shared" si="234"/>
        <v>187.5</v>
      </c>
      <c r="S398" s="553">
        <f t="shared" si="235"/>
        <v>3.75</v>
      </c>
      <c r="T398" s="553"/>
      <c r="U398" s="553">
        <f t="shared" si="236"/>
        <v>0</v>
      </c>
      <c r="V398" s="553"/>
    </row>
    <row r="399" spans="2:22" ht="21" customHeight="1" x14ac:dyDescent="0.25">
      <c r="B399" s="562">
        <v>11.049999999999999</v>
      </c>
      <c r="C399" s="576" t="e">
        <f t="shared" si="227"/>
        <v>#REF!</v>
      </c>
      <c r="D399" s="502" t="s">
        <v>24</v>
      </c>
      <c r="E399" s="496"/>
      <c r="F399" s="497"/>
      <c r="G399" s="530" t="s">
        <v>11</v>
      </c>
      <c r="H399" s="553">
        <v>0.2</v>
      </c>
      <c r="I399" s="553"/>
      <c r="J399" s="553">
        <v>66</v>
      </c>
      <c r="K399" s="553">
        <f t="shared" si="228"/>
        <v>13.2</v>
      </c>
      <c r="L399" s="553">
        <f t="shared" si="229"/>
        <v>83</v>
      </c>
      <c r="M399" s="553">
        <f t="shared" si="230"/>
        <v>16.600000000000001</v>
      </c>
      <c r="N399" s="553">
        <f t="shared" si="231"/>
        <v>17</v>
      </c>
      <c r="O399" s="553">
        <f t="shared" si="232"/>
        <v>3.4</v>
      </c>
      <c r="P399" s="553"/>
      <c r="Q399" s="553">
        <f t="shared" si="233"/>
        <v>0</v>
      </c>
      <c r="R399" s="553">
        <f t="shared" si="234"/>
        <v>0</v>
      </c>
      <c r="S399" s="553">
        <f t="shared" si="235"/>
        <v>0</v>
      </c>
      <c r="T399" s="553"/>
      <c r="U399" s="553">
        <f t="shared" si="236"/>
        <v>0</v>
      </c>
      <c r="V399" s="553"/>
    </row>
    <row r="400" spans="2:22" ht="21" customHeight="1" x14ac:dyDescent="0.25">
      <c r="B400" s="562">
        <v>11.059999999999999</v>
      </c>
      <c r="C400" s="576" t="e">
        <f t="shared" si="227"/>
        <v>#REF!</v>
      </c>
      <c r="D400" s="502" t="s">
        <v>466</v>
      </c>
      <c r="E400" s="496"/>
      <c r="F400" s="497"/>
      <c r="G400" s="530" t="s">
        <v>11</v>
      </c>
      <c r="H400" s="553">
        <v>2.9</v>
      </c>
      <c r="I400" s="553"/>
      <c r="J400" s="553">
        <v>12</v>
      </c>
      <c r="K400" s="553">
        <f t="shared" si="228"/>
        <v>34.799999999999997</v>
      </c>
      <c r="L400" s="553">
        <f t="shared" si="229"/>
        <v>0</v>
      </c>
      <c r="M400" s="553">
        <f t="shared" si="230"/>
        <v>0</v>
      </c>
      <c r="N400" s="553">
        <f t="shared" si="231"/>
        <v>0</v>
      </c>
      <c r="O400" s="553">
        <f t="shared" si="232"/>
        <v>0</v>
      </c>
      <c r="P400" s="553"/>
      <c r="Q400" s="553">
        <f t="shared" si="233"/>
        <v>0</v>
      </c>
      <c r="R400" s="553">
        <f t="shared" si="234"/>
        <v>12</v>
      </c>
      <c r="S400" s="553">
        <f t="shared" si="235"/>
        <v>34.799999999999997</v>
      </c>
      <c r="T400" s="553"/>
      <c r="U400" s="553">
        <f t="shared" si="236"/>
        <v>0</v>
      </c>
      <c r="V400" s="553"/>
    </row>
    <row r="401" spans="2:22" ht="21" customHeight="1" x14ac:dyDescent="0.25">
      <c r="B401" s="562">
        <v>11.069999999999999</v>
      </c>
      <c r="C401" s="576" t="e">
        <f t="shared" si="227"/>
        <v>#REF!</v>
      </c>
      <c r="D401" s="502" t="s">
        <v>465</v>
      </c>
      <c r="E401" s="496"/>
      <c r="F401" s="497"/>
      <c r="G401" s="530" t="s">
        <v>11</v>
      </c>
      <c r="H401" s="553">
        <v>2.75</v>
      </c>
      <c r="I401" s="553"/>
      <c r="J401" s="553">
        <v>66</v>
      </c>
      <c r="K401" s="553">
        <f t="shared" si="228"/>
        <v>181.5</v>
      </c>
      <c r="L401" s="553">
        <f t="shared" si="229"/>
        <v>83</v>
      </c>
      <c r="M401" s="553">
        <f t="shared" si="230"/>
        <v>228.25</v>
      </c>
      <c r="N401" s="553">
        <f t="shared" si="231"/>
        <v>17</v>
      </c>
      <c r="O401" s="553">
        <f t="shared" si="232"/>
        <v>46.75</v>
      </c>
      <c r="P401" s="553"/>
      <c r="Q401" s="553">
        <f t="shared" si="233"/>
        <v>0</v>
      </c>
      <c r="R401" s="553">
        <f t="shared" si="234"/>
        <v>0</v>
      </c>
      <c r="S401" s="553">
        <f t="shared" si="235"/>
        <v>0</v>
      </c>
      <c r="T401" s="553"/>
      <c r="U401" s="553">
        <f t="shared" si="236"/>
        <v>0</v>
      </c>
      <c r="V401" s="553"/>
    </row>
    <row r="402" spans="2:22" ht="21" customHeight="1" x14ac:dyDescent="0.25">
      <c r="B402" s="562">
        <v>11.079999999999998</v>
      </c>
      <c r="C402" s="576" t="e">
        <f t="shared" si="227"/>
        <v>#REF!</v>
      </c>
      <c r="D402" s="502" t="s">
        <v>464</v>
      </c>
      <c r="E402" s="496"/>
      <c r="F402" s="497"/>
      <c r="G402" s="530" t="s">
        <v>11</v>
      </c>
      <c r="H402" s="553">
        <v>0.25</v>
      </c>
      <c r="I402" s="553"/>
      <c r="J402" s="553">
        <v>66</v>
      </c>
      <c r="K402" s="553">
        <f t="shared" si="228"/>
        <v>16.5</v>
      </c>
      <c r="L402" s="553">
        <f t="shared" si="229"/>
        <v>83</v>
      </c>
      <c r="M402" s="553">
        <f t="shared" si="230"/>
        <v>20.75</v>
      </c>
      <c r="N402" s="553">
        <f t="shared" si="231"/>
        <v>17</v>
      </c>
      <c r="O402" s="553">
        <f t="shared" si="232"/>
        <v>4.25</v>
      </c>
      <c r="P402" s="553"/>
      <c r="Q402" s="553">
        <f t="shared" si="233"/>
        <v>0</v>
      </c>
      <c r="R402" s="553">
        <f t="shared" si="234"/>
        <v>0</v>
      </c>
      <c r="S402" s="553">
        <f t="shared" si="235"/>
        <v>0</v>
      </c>
      <c r="T402" s="553"/>
      <c r="U402" s="553">
        <f t="shared" si="236"/>
        <v>0</v>
      </c>
      <c r="V402" s="553"/>
    </row>
    <row r="403" spans="2:22" ht="21" customHeight="1" x14ac:dyDescent="0.25">
      <c r="B403" s="562">
        <v>11.089999999999998</v>
      </c>
      <c r="C403" s="576" t="e">
        <f t="shared" si="227"/>
        <v>#REF!</v>
      </c>
      <c r="D403" s="502" t="s">
        <v>463</v>
      </c>
      <c r="E403" s="496"/>
      <c r="F403" s="497"/>
      <c r="G403" s="530" t="s">
        <v>11</v>
      </c>
      <c r="H403" s="553">
        <v>4.13</v>
      </c>
      <c r="I403" s="553"/>
      <c r="J403" s="553">
        <v>66</v>
      </c>
      <c r="K403" s="553">
        <f t="shared" si="228"/>
        <v>272.58</v>
      </c>
      <c r="L403" s="553">
        <f t="shared" si="229"/>
        <v>83</v>
      </c>
      <c r="M403" s="553">
        <f t="shared" si="230"/>
        <v>342.79</v>
      </c>
      <c r="N403" s="553">
        <f t="shared" si="231"/>
        <v>17</v>
      </c>
      <c r="O403" s="553">
        <f t="shared" si="232"/>
        <v>70.209999999999994</v>
      </c>
      <c r="P403" s="553"/>
      <c r="Q403" s="553">
        <f t="shared" si="233"/>
        <v>0</v>
      </c>
      <c r="R403" s="553">
        <f t="shared" si="234"/>
        <v>0</v>
      </c>
      <c r="S403" s="553">
        <f t="shared" si="235"/>
        <v>0</v>
      </c>
      <c r="T403" s="553"/>
      <c r="U403" s="553">
        <f t="shared" si="236"/>
        <v>0</v>
      </c>
      <c r="V403" s="553"/>
    </row>
    <row r="404" spans="2:22" ht="21" customHeight="1" x14ac:dyDescent="0.25">
      <c r="B404" s="562">
        <v>11.099999999999998</v>
      </c>
      <c r="C404" s="576" t="e">
        <f t="shared" si="227"/>
        <v>#REF!</v>
      </c>
      <c r="D404" s="502" t="s">
        <v>462</v>
      </c>
      <c r="E404" s="496"/>
      <c r="F404" s="497"/>
      <c r="G404" s="530" t="s">
        <v>11</v>
      </c>
      <c r="H404" s="553">
        <v>1.1499999999999999</v>
      </c>
      <c r="I404" s="553"/>
      <c r="J404" s="553">
        <v>85</v>
      </c>
      <c r="K404" s="553">
        <f t="shared" si="228"/>
        <v>97.75</v>
      </c>
      <c r="L404" s="553">
        <f t="shared" si="229"/>
        <v>83</v>
      </c>
      <c r="M404" s="553">
        <f t="shared" si="230"/>
        <v>95.45</v>
      </c>
      <c r="N404" s="553">
        <f t="shared" si="231"/>
        <v>0</v>
      </c>
      <c r="O404" s="553">
        <f t="shared" si="232"/>
        <v>0</v>
      </c>
      <c r="P404" s="553"/>
      <c r="Q404" s="553">
        <f t="shared" si="233"/>
        <v>0</v>
      </c>
      <c r="R404" s="553">
        <f t="shared" si="234"/>
        <v>2</v>
      </c>
      <c r="S404" s="553">
        <f t="shared" si="235"/>
        <v>2.2999999999999998</v>
      </c>
      <c r="T404" s="553"/>
      <c r="U404" s="553">
        <f t="shared" si="236"/>
        <v>0</v>
      </c>
      <c r="V404" s="553"/>
    </row>
    <row r="405" spans="2:22" ht="21" customHeight="1" x14ac:dyDescent="0.25">
      <c r="B405" s="562">
        <v>11.109999999999998</v>
      </c>
      <c r="C405" s="576" t="e">
        <f t="shared" si="227"/>
        <v>#REF!</v>
      </c>
      <c r="D405" s="502" t="s">
        <v>461</v>
      </c>
      <c r="E405" s="496"/>
      <c r="F405" s="497"/>
      <c r="G405" s="530" t="s">
        <v>11</v>
      </c>
      <c r="H405" s="553">
        <v>23.88</v>
      </c>
      <c r="I405" s="553"/>
      <c r="J405" s="553">
        <v>66</v>
      </c>
      <c r="K405" s="553">
        <f t="shared" si="228"/>
        <v>1576.08</v>
      </c>
      <c r="L405" s="553">
        <f t="shared" si="229"/>
        <v>83</v>
      </c>
      <c r="M405" s="553">
        <f t="shared" si="230"/>
        <v>1982.04</v>
      </c>
      <c r="N405" s="553">
        <f t="shared" si="231"/>
        <v>17</v>
      </c>
      <c r="O405" s="553">
        <f t="shared" si="232"/>
        <v>405.96</v>
      </c>
      <c r="P405" s="553"/>
      <c r="Q405" s="553">
        <f t="shared" si="233"/>
        <v>0</v>
      </c>
      <c r="R405" s="553">
        <f t="shared" si="234"/>
        <v>0</v>
      </c>
      <c r="S405" s="553">
        <f t="shared" si="235"/>
        <v>0</v>
      </c>
      <c r="T405" s="553"/>
      <c r="U405" s="553">
        <f t="shared" si="236"/>
        <v>0</v>
      </c>
      <c r="V405" s="553"/>
    </row>
    <row r="406" spans="2:22" ht="21" customHeight="1" x14ac:dyDescent="0.25">
      <c r="B406" s="562">
        <v>11.119999999999997</v>
      </c>
      <c r="C406" s="576" t="e">
        <f>+C400+1</f>
        <v>#REF!</v>
      </c>
      <c r="D406" s="502" t="s">
        <v>16</v>
      </c>
      <c r="E406" s="496"/>
      <c r="F406" s="497"/>
      <c r="G406" s="530" t="s">
        <v>11</v>
      </c>
      <c r="H406" s="553">
        <v>0.48</v>
      </c>
      <c r="I406" s="553"/>
      <c r="J406" s="553">
        <v>22</v>
      </c>
      <c r="K406" s="553">
        <f t="shared" si="228"/>
        <v>10.56</v>
      </c>
      <c r="L406" s="553">
        <f t="shared" si="229"/>
        <v>0</v>
      </c>
      <c r="M406" s="553">
        <f t="shared" si="230"/>
        <v>0</v>
      </c>
      <c r="N406" s="553">
        <f t="shared" si="231"/>
        <v>0</v>
      </c>
      <c r="O406" s="553">
        <f t="shared" si="232"/>
        <v>0</v>
      </c>
      <c r="P406" s="553"/>
      <c r="Q406" s="553">
        <f t="shared" si="233"/>
        <v>0</v>
      </c>
      <c r="R406" s="553">
        <f t="shared" si="234"/>
        <v>22</v>
      </c>
      <c r="S406" s="553">
        <f t="shared" si="235"/>
        <v>10.56</v>
      </c>
      <c r="T406" s="553"/>
      <c r="U406" s="553">
        <f t="shared" si="236"/>
        <v>0</v>
      </c>
      <c r="V406" s="553"/>
    </row>
    <row r="407" spans="2:22" ht="21" customHeight="1" x14ac:dyDescent="0.25">
      <c r="B407" s="562">
        <v>11.129999999999997</v>
      </c>
      <c r="C407" s="576" t="e">
        <f>+C396+1</f>
        <v>#REF!</v>
      </c>
      <c r="D407" s="502" t="s">
        <v>460</v>
      </c>
      <c r="E407" s="496"/>
      <c r="F407" s="497"/>
      <c r="G407" s="539" t="s">
        <v>11</v>
      </c>
      <c r="H407" s="579">
        <v>0.09</v>
      </c>
      <c r="I407" s="579"/>
      <c r="J407" s="579">
        <v>39</v>
      </c>
      <c r="K407" s="579">
        <f t="shared" si="228"/>
        <v>3.51</v>
      </c>
      <c r="L407" s="579">
        <f t="shared" si="229"/>
        <v>0</v>
      </c>
      <c r="M407" s="579">
        <f t="shared" si="230"/>
        <v>0</v>
      </c>
      <c r="N407" s="579">
        <f t="shared" si="231"/>
        <v>0</v>
      </c>
      <c r="O407" s="579">
        <f t="shared" si="232"/>
        <v>0</v>
      </c>
      <c r="P407" s="579"/>
      <c r="Q407" s="579">
        <f t="shared" si="233"/>
        <v>0</v>
      </c>
      <c r="R407" s="579">
        <f t="shared" si="234"/>
        <v>39</v>
      </c>
      <c r="S407" s="579">
        <f t="shared" si="235"/>
        <v>3.51</v>
      </c>
      <c r="T407" s="579"/>
      <c r="U407" s="579">
        <f t="shared" si="236"/>
        <v>0</v>
      </c>
      <c r="V407" s="579"/>
    </row>
    <row r="408" spans="2:22" s="547" customFormat="1" ht="21" customHeight="1" x14ac:dyDescent="0.25">
      <c r="B408" s="559">
        <v>11.14</v>
      </c>
      <c r="C408" s="577" t="e">
        <f t="shared" ref="C408" si="237">+C407+1</f>
        <v>#REF!</v>
      </c>
      <c r="D408" s="501" t="s">
        <v>1018</v>
      </c>
      <c r="E408" s="545"/>
      <c r="F408" s="546"/>
      <c r="G408" s="564" t="s">
        <v>13</v>
      </c>
      <c r="H408" s="633"/>
      <c r="I408" s="633">
        <f>+H395</f>
        <v>0.57999999999999996</v>
      </c>
      <c r="J408" s="633"/>
      <c r="K408" s="633">
        <f t="shared" ref="K408" si="238">+ROUND($H408*J408,2)</f>
        <v>0</v>
      </c>
      <c r="L408" s="633">
        <f t="shared" si="229"/>
        <v>1162</v>
      </c>
      <c r="M408" s="633">
        <f>+ROUND($I408*L408,2)</f>
        <v>673.96</v>
      </c>
      <c r="N408" s="633"/>
      <c r="O408" s="633">
        <f t="shared" ref="O408" si="239">+ROUND($H408*N408,2)</f>
        <v>0</v>
      </c>
      <c r="P408" s="633">
        <f>+L408</f>
        <v>1162</v>
      </c>
      <c r="Q408" s="633">
        <f>+ROUND($I408*P408,2)</f>
        <v>673.96</v>
      </c>
      <c r="R408" s="633">
        <f t="shared" si="234"/>
        <v>0</v>
      </c>
      <c r="S408" s="633">
        <f t="shared" ref="S408" si="240">+ROUND($H408*R408,2)</f>
        <v>0</v>
      </c>
      <c r="T408" s="633"/>
      <c r="U408" s="633">
        <f t="shared" ref="U408" si="241">+ROUND($H408*T408,2)</f>
        <v>0</v>
      </c>
      <c r="V408" s="633"/>
    </row>
    <row r="409" spans="2:22" ht="21" customHeight="1" x14ac:dyDescent="0.25">
      <c r="B409" s="456"/>
      <c r="C409" s="483" t="e">
        <f>+#REF!+1</f>
        <v>#REF!</v>
      </c>
      <c r="D409" s="537"/>
      <c r="E409" s="538"/>
      <c r="F409" s="544" t="str">
        <f>+"SUB-TOTAL   "&amp;B394&amp;":  "</f>
        <v xml:space="preserve">SUB-TOTAL   11:  </v>
      </c>
      <c r="G409" s="440"/>
      <c r="H409" s="438"/>
      <c r="I409" s="438"/>
      <c r="J409" s="438"/>
      <c r="K409" s="548">
        <f>+SUM(K395:K407)</f>
        <v>3056.92</v>
      </c>
      <c r="L409" s="438"/>
      <c r="M409" s="548">
        <f>+SUM(M395:M408)</f>
        <v>3700.1400000000003</v>
      </c>
      <c r="N409" s="438"/>
      <c r="O409" s="548">
        <f>+SUM(O395:O408)</f>
        <v>570.8599999999999</v>
      </c>
      <c r="P409" s="438"/>
      <c r="Q409" s="548">
        <f>+SUM(Q395:Q408)</f>
        <v>673.96</v>
      </c>
      <c r="R409" s="438"/>
      <c r="S409" s="548">
        <f>+SUM(S395:S408)</f>
        <v>601.59999999999991</v>
      </c>
      <c r="T409" s="438"/>
      <c r="U409" s="548">
        <f>+SUM(U395:U408)</f>
        <v>0</v>
      </c>
      <c r="V409" s="438"/>
    </row>
    <row r="410" spans="2:22" ht="21" customHeight="1" x14ac:dyDescent="0.25">
      <c r="B410" s="452">
        <v>12</v>
      </c>
      <c r="C410" s="481" t="e">
        <f t="shared" ref="C410:C419" si="242">+C409+1</f>
        <v>#REF!</v>
      </c>
      <c r="D410" s="453" t="s">
        <v>459</v>
      </c>
      <c r="E410" s="445"/>
      <c r="F410" s="446"/>
      <c r="G410" s="527"/>
      <c r="H410" s="438"/>
      <c r="I410" s="438"/>
      <c r="J410" s="438"/>
      <c r="K410" s="438"/>
      <c r="L410" s="756"/>
      <c r="M410" s="438"/>
      <c r="N410" s="438"/>
      <c r="O410" s="438"/>
      <c r="P410" s="438"/>
      <c r="Q410" s="438"/>
      <c r="R410" s="438"/>
      <c r="S410" s="438"/>
      <c r="T410" s="438"/>
      <c r="U410" s="438"/>
      <c r="V410" s="438"/>
    </row>
    <row r="411" spans="2:22" ht="21" customHeight="1" x14ac:dyDescent="0.25">
      <c r="B411" s="562">
        <v>12.01</v>
      </c>
      <c r="C411" s="576" t="e">
        <f t="shared" si="242"/>
        <v>#REF!</v>
      </c>
      <c r="D411" s="502" t="s">
        <v>25</v>
      </c>
      <c r="E411" s="496"/>
      <c r="F411" s="497"/>
      <c r="G411" s="530" t="s">
        <v>11</v>
      </c>
      <c r="H411" s="553">
        <v>2.59</v>
      </c>
      <c r="I411" s="553"/>
      <c r="J411" s="553">
        <v>15</v>
      </c>
      <c r="K411" s="553">
        <f t="shared" ref="K411:K420" si="243">+ROUND($H411*J411,2)</f>
        <v>38.85</v>
      </c>
      <c r="L411" s="553">
        <f t="shared" ref="L411:L420" si="244">+L119</f>
        <v>16</v>
      </c>
      <c r="M411" s="553">
        <f t="shared" ref="M411:M419" si="245">+ROUND($H411*L411,2)</f>
        <v>41.44</v>
      </c>
      <c r="N411" s="553">
        <f t="shared" ref="N411:N419" si="246">+IF($L411-$J411&gt;=0,$L411-$J411,0)</f>
        <v>1</v>
      </c>
      <c r="O411" s="553">
        <f t="shared" ref="O411:O420" si="247">+ROUND($H411*N411,2)</f>
        <v>2.59</v>
      </c>
      <c r="P411" s="553"/>
      <c r="Q411" s="553">
        <f t="shared" ref="Q411:Q419" si="248">+ROUND($H411*P411,2)</f>
        <v>0</v>
      </c>
      <c r="R411" s="553">
        <f t="shared" ref="R411:R419" si="249">+IF($L411-$J411&lt;=0,-$L411+$J411,0)</f>
        <v>0</v>
      </c>
      <c r="S411" s="553">
        <f t="shared" ref="S411:S420" si="250">+ROUND($H411*R411,2)</f>
        <v>0</v>
      </c>
      <c r="T411" s="553"/>
      <c r="U411" s="553">
        <f t="shared" ref="U411:U420" si="251">+ROUND($H411*T411,2)</f>
        <v>0</v>
      </c>
      <c r="V411" s="553"/>
    </row>
    <row r="412" spans="2:22" ht="21" customHeight="1" x14ac:dyDescent="0.25">
      <c r="B412" s="562">
        <v>12.02</v>
      </c>
      <c r="C412" s="576" t="e">
        <f t="shared" si="242"/>
        <v>#REF!</v>
      </c>
      <c r="D412" s="502" t="s">
        <v>458</v>
      </c>
      <c r="E412" s="496"/>
      <c r="F412" s="497"/>
      <c r="G412" s="530" t="s">
        <v>11</v>
      </c>
      <c r="H412" s="553">
        <v>7.0000000000000007E-2</v>
      </c>
      <c r="I412" s="553"/>
      <c r="J412" s="553">
        <v>518</v>
      </c>
      <c r="K412" s="553">
        <f t="shared" si="243"/>
        <v>36.26</v>
      </c>
      <c r="L412" s="553">
        <f t="shared" si="244"/>
        <v>450</v>
      </c>
      <c r="M412" s="553">
        <f t="shared" si="245"/>
        <v>31.5</v>
      </c>
      <c r="N412" s="553">
        <f t="shared" si="246"/>
        <v>0</v>
      </c>
      <c r="O412" s="553">
        <f t="shared" si="247"/>
        <v>0</v>
      </c>
      <c r="P412" s="553"/>
      <c r="Q412" s="553">
        <f t="shared" si="248"/>
        <v>0</v>
      </c>
      <c r="R412" s="553">
        <f t="shared" si="249"/>
        <v>68</v>
      </c>
      <c r="S412" s="553">
        <f t="shared" si="250"/>
        <v>4.76</v>
      </c>
      <c r="T412" s="553"/>
      <c r="U412" s="553">
        <f t="shared" si="251"/>
        <v>0</v>
      </c>
      <c r="V412" s="553"/>
    </row>
    <row r="413" spans="2:22" ht="21" customHeight="1" x14ac:dyDescent="0.25">
      <c r="B413" s="562">
        <v>12.03</v>
      </c>
      <c r="C413" s="576" t="e">
        <f t="shared" si="242"/>
        <v>#REF!</v>
      </c>
      <c r="D413" s="502" t="s">
        <v>457</v>
      </c>
      <c r="E413" s="496"/>
      <c r="F413" s="497"/>
      <c r="G413" s="530" t="s">
        <v>11</v>
      </c>
      <c r="H413" s="553">
        <v>0.24</v>
      </c>
      <c r="I413" s="553"/>
      <c r="J413" s="553">
        <v>15</v>
      </c>
      <c r="K413" s="553">
        <f t="shared" si="243"/>
        <v>3.6</v>
      </c>
      <c r="L413" s="553">
        <f t="shared" si="244"/>
        <v>100</v>
      </c>
      <c r="M413" s="553">
        <f t="shared" si="245"/>
        <v>24</v>
      </c>
      <c r="N413" s="553">
        <f t="shared" si="246"/>
        <v>85</v>
      </c>
      <c r="O413" s="553">
        <f t="shared" si="247"/>
        <v>20.399999999999999</v>
      </c>
      <c r="P413" s="553"/>
      <c r="Q413" s="553">
        <f t="shared" si="248"/>
        <v>0</v>
      </c>
      <c r="R413" s="553">
        <f t="shared" si="249"/>
        <v>0</v>
      </c>
      <c r="S413" s="553">
        <f t="shared" si="250"/>
        <v>0</v>
      </c>
      <c r="T413" s="553"/>
      <c r="U413" s="553">
        <f t="shared" si="251"/>
        <v>0</v>
      </c>
      <c r="V413" s="553"/>
    </row>
    <row r="414" spans="2:22" ht="21" customHeight="1" x14ac:dyDescent="0.25">
      <c r="B414" s="562">
        <v>12.04</v>
      </c>
      <c r="C414" s="576" t="e">
        <f t="shared" si="242"/>
        <v>#REF!</v>
      </c>
      <c r="D414" s="502" t="s">
        <v>456</v>
      </c>
      <c r="E414" s="496"/>
      <c r="F414" s="497"/>
      <c r="G414" s="530" t="s">
        <v>11</v>
      </c>
      <c r="H414" s="553">
        <v>0.16</v>
      </c>
      <c r="I414" s="553"/>
      <c r="J414" s="553">
        <v>428</v>
      </c>
      <c r="K414" s="553">
        <f t="shared" si="243"/>
        <v>68.48</v>
      </c>
      <c r="L414" s="553">
        <f t="shared" si="244"/>
        <v>262</v>
      </c>
      <c r="M414" s="553">
        <f t="shared" si="245"/>
        <v>41.92</v>
      </c>
      <c r="N414" s="553">
        <f t="shared" si="246"/>
        <v>0</v>
      </c>
      <c r="O414" s="553">
        <f t="shared" si="247"/>
        <v>0</v>
      </c>
      <c r="P414" s="553"/>
      <c r="Q414" s="553">
        <f t="shared" si="248"/>
        <v>0</v>
      </c>
      <c r="R414" s="553">
        <f t="shared" si="249"/>
        <v>166</v>
      </c>
      <c r="S414" s="553">
        <f t="shared" si="250"/>
        <v>26.56</v>
      </c>
      <c r="T414" s="553"/>
      <c r="U414" s="553">
        <f t="shared" si="251"/>
        <v>0</v>
      </c>
      <c r="V414" s="553"/>
    </row>
    <row r="415" spans="2:22" ht="21" customHeight="1" x14ac:dyDescent="0.25">
      <c r="B415" s="562">
        <v>12.049999999999999</v>
      </c>
      <c r="C415" s="576" t="e">
        <f t="shared" si="242"/>
        <v>#REF!</v>
      </c>
      <c r="D415" s="502" t="s">
        <v>455</v>
      </c>
      <c r="E415" s="496"/>
      <c r="F415" s="497"/>
      <c r="G415" s="530" t="s">
        <v>11</v>
      </c>
      <c r="H415" s="553">
        <v>23.88</v>
      </c>
      <c r="I415" s="553"/>
      <c r="J415" s="553">
        <v>15</v>
      </c>
      <c r="K415" s="553">
        <f t="shared" si="243"/>
        <v>358.2</v>
      </c>
      <c r="L415" s="553">
        <f t="shared" si="244"/>
        <v>16</v>
      </c>
      <c r="M415" s="553">
        <f t="shared" si="245"/>
        <v>382.08</v>
      </c>
      <c r="N415" s="553">
        <f t="shared" si="246"/>
        <v>1</v>
      </c>
      <c r="O415" s="553">
        <f t="shared" si="247"/>
        <v>23.88</v>
      </c>
      <c r="P415" s="553"/>
      <c r="Q415" s="553">
        <f t="shared" si="248"/>
        <v>0</v>
      </c>
      <c r="R415" s="553">
        <f t="shared" si="249"/>
        <v>0</v>
      </c>
      <c r="S415" s="553">
        <f t="shared" si="250"/>
        <v>0</v>
      </c>
      <c r="T415" s="553"/>
      <c r="U415" s="553">
        <f t="shared" si="251"/>
        <v>0</v>
      </c>
      <c r="V415" s="553"/>
    </row>
    <row r="416" spans="2:22" ht="21" customHeight="1" x14ac:dyDescent="0.25">
      <c r="B416" s="562">
        <v>12.059999999999999</v>
      </c>
      <c r="C416" s="576" t="e">
        <f t="shared" si="242"/>
        <v>#REF!</v>
      </c>
      <c r="D416" s="502" t="s">
        <v>454</v>
      </c>
      <c r="E416" s="496"/>
      <c r="F416" s="497"/>
      <c r="G416" s="530" t="s">
        <v>11</v>
      </c>
      <c r="H416" s="553">
        <v>0.05</v>
      </c>
      <c r="I416" s="553"/>
      <c r="J416" s="553">
        <v>204</v>
      </c>
      <c r="K416" s="553">
        <f t="shared" si="243"/>
        <v>10.199999999999999</v>
      </c>
      <c r="L416" s="553">
        <f t="shared" si="244"/>
        <v>171</v>
      </c>
      <c r="M416" s="553">
        <f t="shared" si="245"/>
        <v>8.5500000000000007</v>
      </c>
      <c r="N416" s="553">
        <f t="shared" si="246"/>
        <v>0</v>
      </c>
      <c r="O416" s="553">
        <f t="shared" si="247"/>
        <v>0</v>
      </c>
      <c r="P416" s="553"/>
      <c r="Q416" s="553">
        <f t="shared" si="248"/>
        <v>0</v>
      </c>
      <c r="R416" s="553">
        <f t="shared" si="249"/>
        <v>33</v>
      </c>
      <c r="S416" s="553">
        <f t="shared" si="250"/>
        <v>1.65</v>
      </c>
      <c r="T416" s="553"/>
      <c r="U416" s="553">
        <f t="shared" si="251"/>
        <v>0</v>
      </c>
      <c r="V416" s="553"/>
    </row>
    <row r="417" spans="2:22" ht="21" customHeight="1" x14ac:dyDescent="0.25">
      <c r="B417" s="562">
        <v>12.069999999999999</v>
      </c>
      <c r="C417" s="576" t="e">
        <f t="shared" si="242"/>
        <v>#REF!</v>
      </c>
      <c r="D417" s="502" t="s">
        <v>453</v>
      </c>
      <c r="E417" s="496"/>
      <c r="F417" s="497"/>
      <c r="G417" s="530" t="s">
        <v>11</v>
      </c>
      <c r="H417" s="553">
        <v>0.16</v>
      </c>
      <c r="I417" s="553"/>
      <c r="J417" s="553">
        <v>2</v>
      </c>
      <c r="K417" s="553">
        <f t="shared" si="243"/>
        <v>0.32</v>
      </c>
      <c r="L417" s="553">
        <f t="shared" si="244"/>
        <v>0</v>
      </c>
      <c r="M417" s="553">
        <f t="shared" si="245"/>
        <v>0</v>
      </c>
      <c r="N417" s="553">
        <f t="shared" si="246"/>
        <v>0</v>
      </c>
      <c r="O417" s="553">
        <f t="shared" si="247"/>
        <v>0</v>
      </c>
      <c r="P417" s="553"/>
      <c r="Q417" s="553">
        <f t="shared" si="248"/>
        <v>0</v>
      </c>
      <c r="R417" s="553">
        <f t="shared" si="249"/>
        <v>2</v>
      </c>
      <c r="S417" s="553">
        <f t="shared" si="250"/>
        <v>0.32</v>
      </c>
      <c r="T417" s="553">
        <f>+R417</f>
        <v>2</v>
      </c>
      <c r="U417" s="553">
        <f t="shared" si="251"/>
        <v>0.32</v>
      </c>
      <c r="V417" s="553" t="s">
        <v>839</v>
      </c>
    </row>
    <row r="418" spans="2:22" ht="21" customHeight="1" x14ac:dyDescent="0.25">
      <c r="B418" s="562">
        <v>12.079999999999998</v>
      </c>
      <c r="C418" s="576" t="e">
        <f t="shared" si="242"/>
        <v>#REF!</v>
      </c>
      <c r="D418" s="502" t="s">
        <v>26</v>
      </c>
      <c r="E418" s="496"/>
      <c r="F418" s="497"/>
      <c r="G418" s="530" t="s">
        <v>11</v>
      </c>
      <c r="H418" s="553">
        <v>0.12</v>
      </c>
      <c r="I418" s="553"/>
      <c r="J418" s="553">
        <v>6</v>
      </c>
      <c r="K418" s="553">
        <f t="shared" si="243"/>
        <v>0.72</v>
      </c>
      <c r="L418" s="553">
        <f t="shared" si="244"/>
        <v>15</v>
      </c>
      <c r="M418" s="553">
        <f t="shared" si="245"/>
        <v>1.8</v>
      </c>
      <c r="N418" s="553">
        <f t="shared" si="246"/>
        <v>9</v>
      </c>
      <c r="O418" s="553">
        <f t="shared" si="247"/>
        <v>1.08</v>
      </c>
      <c r="P418" s="553"/>
      <c r="Q418" s="553">
        <f t="shared" si="248"/>
        <v>0</v>
      </c>
      <c r="R418" s="553">
        <f t="shared" si="249"/>
        <v>0</v>
      </c>
      <c r="S418" s="553">
        <f t="shared" si="250"/>
        <v>0</v>
      </c>
      <c r="T418" s="553"/>
      <c r="U418" s="553">
        <f t="shared" si="251"/>
        <v>0</v>
      </c>
      <c r="V418" s="553"/>
    </row>
    <row r="419" spans="2:22" ht="21" customHeight="1" x14ac:dyDescent="0.25">
      <c r="B419" s="562">
        <v>12.089999999999998</v>
      </c>
      <c r="C419" s="576" t="e">
        <f t="shared" si="242"/>
        <v>#REF!</v>
      </c>
      <c r="D419" s="502" t="s">
        <v>349</v>
      </c>
      <c r="E419" s="496"/>
      <c r="F419" s="497"/>
      <c r="G419" s="530" t="s">
        <v>11</v>
      </c>
      <c r="H419" s="553">
        <v>0.12</v>
      </c>
      <c r="I419" s="553"/>
      <c r="J419" s="553">
        <v>180</v>
      </c>
      <c r="K419" s="553">
        <f t="shared" si="243"/>
        <v>21.6</v>
      </c>
      <c r="L419" s="553">
        <f t="shared" si="244"/>
        <v>156</v>
      </c>
      <c r="M419" s="553">
        <f t="shared" si="245"/>
        <v>18.72</v>
      </c>
      <c r="N419" s="553">
        <f t="shared" si="246"/>
        <v>0</v>
      </c>
      <c r="O419" s="553">
        <f t="shared" si="247"/>
        <v>0</v>
      </c>
      <c r="P419" s="553"/>
      <c r="Q419" s="553">
        <f t="shared" si="248"/>
        <v>0</v>
      </c>
      <c r="R419" s="553">
        <f t="shared" si="249"/>
        <v>24</v>
      </c>
      <c r="S419" s="553">
        <f t="shared" si="250"/>
        <v>2.88</v>
      </c>
      <c r="T419" s="553"/>
      <c r="U419" s="553">
        <f t="shared" si="251"/>
        <v>0</v>
      </c>
      <c r="V419" s="553"/>
    </row>
    <row r="420" spans="2:22" s="547" customFormat="1" ht="21" customHeight="1" x14ac:dyDescent="0.25">
      <c r="B420" s="559">
        <v>12.1</v>
      </c>
      <c r="C420" s="575" t="e">
        <f>+#REF!+1</f>
        <v>#REF!</v>
      </c>
      <c r="D420" s="501" t="s">
        <v>350</v>
      </c>
      <c r="E420" s="545"/>
      <c r="F420" s="546"/>
      <c r="G420" s="564" t="s">
        <v>11</v>
      </c>
      <c r="H420" s="633"/>
      <c r="I420" s="633">
        <v>11.94</v>
      </c>
      <c r="J420" s="633"/>
      <c r="K420" s="633">
        <f t="shared" si="243"/>
        <v>0</v>
      </c>
      <c r="L420" s="633">
        <f t="shared" si="244"/>
        <v>48</v>
      </c>
      <c r="M420" s="633">
        <f>+ROUND($I420*L420,2)</f>
        <v>573.12</v>
      </c>
      <c r="N420" s="633"/>
      <c r="O420" s="633">
        <f t="shared" si="247"/>
        <v>0</v>
      </c>
      <c r="P420" s="634">
        <f>+L420</f>
        <v>48</v>
      </c>
      <c r="Q420" s="633">
        <f>+ROUND($I420*P420,2)</f>
        <v>573.12</v>
      </c>
      <c r="R420" s="633"/>
      <c r="S420" s="633">
        <f t="shared" si="250"/>
        <v>0</v>
      </c>
      <c r="T420" s="633"/>
      <c r="U420" s="633">
        <f t="shared" si="251"/>
        <v>0</v>
      </c>
      <c r="V420" s="633"/>
    </row>
    <row r="421" spans="2:22" ht="21" customHeight="1" x14ac:dyDescent="0.25">
      <c r="B421" s="456"/>
      <c r="C421" s="483" t="e">
        <f>+#REF!+1</f>
        <v>#REF!</v>
      </c>
      <c r="D421" s="537"/>
      <c r="E421" s="538"/>
      <c r="F421" s="544" t="str">
        <f>+"SUB-TOTAL   "&amp;B410&amp;":  "</f>
        <v xml:space="preserve">SUB-TOTAL   12:  </v>
      </c>
      <c r="G421" s="440"/>
      <c r="H421" s="438"/>
      <c r="I421" s="438"/>
      <c r="J421" s="438"/>
      <c r="K421" s="548">
        <f>+SUM(K411:K420)</f>
        <v>538.23000000000013</v>
      </c>
      <c r="L421" s="438"/>
      <c r="M421" s="548">
        <f>+SUM(M411:M420)</f>
        <v>1123.1300000000001</v>
      </c>
      <c r="N421" s="438"/>
      <c r="O421" s="548">
        <f>+SUM(O411:O420)</f>
        <v>47.949999999999996</v>
      </c>
      <c r="P421" s="438"/>
      <c r="Q421" s="548">
        <f>+SUM(Q411:Q420)</f>
        <v>573.12</v>
      </c>
      <c r="R421" s="438"/>
      <c r="S421" s="548">
        <f>+SUM(S411:S420)</f>
        <v>36.17</v>
      </c>
      <c r="T421" s="438"/>
      <c r="U421" s="548">
        <f>+SUM(U411:U420)</f>
        <v>0.32</v>
      </c>
      <c r="V421" s="438"/>
    </row>
    <row r="422" spans="2:22" ht="21" customHeight="1" x14ac:dyDescent="0.25">
      <c r="B422" s="452">
        <v>13</v>
      </c>
      <c r="C422" s="481" t="e">
        <f t="shared" ref="C422:C425" si="252">+C421+1</f>
        <v>#REF!</v>
      </c>
      <c r="D422" s="453" t="s">
        <v>452</v>
      </c>
      <c r="E422" s="445"/>
      <c r="F422" s="446"/>
      <c r="G422" s="527"/>
      <c r="H422" s="438"/>
      <c r="I422" s="438"/>
      <c r="J422" s="438"/>
      <c r="K422" s="438"/>
      <c r="L422" s="756"/>
      <c r="M422" s="438"/>
      <c r="N422" s="438"/>
      <c r="O422" s="438"/>
      <c r="P422" s="438"/>
      <c r="Q422" s="438"/>
      <c r="R422" s="438"/>
      <c r="S422" s="438"/>
      <c r="T422" s="438"/>
      <c r="U422" s="438"/>
      <c r="V422" s="438"/>
    </row>
    <row r="423" spans="2:22" ht="21" customHeight="1" x14ac:dyDescent="0.25">
      <c r="B423" s="562">
        <v>13.01</v>
      </c>
      <c r="C423" s="576" t="e">
        <f t="shared" si="252"/>
        <v>#REF!</v>
      </c>
      <c r="D423" s="502" t="s">
        <v>451</v>
      </c>
      <c r="E423" s="496"/>
      <c r="F423" s="497"/>
      <c r="G423" s="530" t="s">
        <v>11</v>
      </c>
      <c r="H423" s="553">
        <v>8.4700000000000006</v>
      </c>
      <c r="I423" s="553"/>
      <c r="J423" s="553">
        <v>15</v>
      </c>
      <c r="K423" s="553">
        <f t="shared" ref="K423:K427" si="253">+ROUND($H423*J423,2)</f>
        <v>127.05</v>
      </c>
      <c r="L423" s="553">
        <f>+L131</f>
        <v>13</v>
      </c>
      <c r="M423" s="553">
        <f>+ROUND($H423*L423,2)</f>
        <v>110.11</v>
      </c>
      <c r="N423" s="553">
        <f>+IF($L423-$J423&gt;=0,$L423-$J423,0)</f>
        <v>0</v>
      </c>
      <c r="O423" s="553">
        <f t="shared" ref="O423:O427" si="254">+ROUND($H423*N423,2)</f>
        <v>0</v>
      </c>
      <c r="P423" s="553"/>
      <c r="Q423" s="553">
        <f>+ROUND($H423*P423,2)</f>
        <v>0</v>
      </c>
      <c r="R423" s="553">
        <f>+IF($L423-$J423&lt;=0,-$L423+$J423,0)</f>
        <v>2</v>
      </c>
      <c r="S423" s="553">
        <f t="shared" ref="S423:S427" si="255">+ROUND($H423*R423,2)</f>
        <v>16.940000000000001</v>
      </c>
      <c r="T423" s="553"/>
      <c r="U423" s="553">
        <f t="shared" ref="U423:U427" si="256">+ROUND($H423*T423,2)</f>
        <v>0</v>
      </c>
      <c r="V423" s="553"/>
    </row>
    <row r="424" spans="2:22" ht="21" customHeight="1" x14ac:dyDescent="0.25">
      <c r="B424" s="562">
        <v>13.02</v>
      </c>
      <c r="C424" s="576" t="e">
        <f t="shared" si="252"/>
        <v>#REF!</v>
      </c>
      <c r="D424" s="502" t="s">
        <v>450</v>
      </c>
      <c r="E424" s="496"/>
      <c r="F424" s="497"/>
      <c r="G424" s="530" t="s">
        <v>11</v>
      </c>
      <c r="H424" s="553">
        <v>0.12</v>
      </c>
      <c r="I424" s="553"/>
      <c r="J424" s="553">
        <v>12</v>
      </c>
      <c r="K424" s="553">
        <f t="shared" si="253"/>
        <v>1.44</v>
      </c>
      <c r="L424" s="553">
        <f>+L132</f>
        <v>7</v>
      </c>
      <c r="M424" s="553">
        <f>+ROUND($H424*L424,2)</f>
        <v>0.84</v>
      </c>
      <c r="N424" s="553">
        <f>+IF($L424-$J424&gt;=0,$L424-$J424,0)</f>
        <v>0</v>
      </c>
      <c r="O424" s="553">
        <f t="shared" si="254"/>
        <v>0</v>
      </c>
      <c r="P424" s="553"/>
      <c r="Q424" s="553">
        <f>+ROUND($H424*P424,2)</f>
        <v>0</v>
      </c>
      <c r="R424" s="553">
        <f>+IF($L424-$J424&lt;=0,-$L424+$J424,0)</f>
        <v>5</v>
      </c>
      <c r="S424" s="553">
        <f t="shared" si="255"/>
        <v>0.6</v>
      </c>
      <c r="T424" s="553">
        <f>+N425</f>
        <v>3</v>
      </c>
      <c r="U424" s="553">
        <f t="shared" si="256"/>
        <v>0.36</v>
      </c>
      <c r="V424" s="553" t="s">
        <v>840</v>
      </c>
    </row>
    <row r="425" spans="2:22" ht="21" customHeight="1" x14ac:dyDescent="0.25">
      <c r="B425" s="562">
        <v>13.03</v>
      </c>
      <c r="C425" s="576" t="e">
        <f t="shared" si="252"/>
        <v>#REF!</v>
      </c>
      <c r="D425" s="502" t="s">
        <v>449</v>
      </c>
      <c r="E425" s="496"/>
      <c r="F425" s="497"/>
      <c r="G425" s="530" t="s">
        <v>11</v>
      </c>
      <c r="H425" s="553">
        <v>0.12</v>
      </c>
      <c r="I425" s="553"/>
      <c r="J425" s="553">
        <v>3</v>
      </c>
      <c r="K425" s="553">
        <f t="shared" si="253"/>
        <v>0.36</v>
      </c>
      <c r="L425" s="553">
        <f>+L133</f>
        <v>6</v>
      </c>
      <c r="M425" s="553">
        <f>+ROUND($H425*L425,2)</f>
        <v>0.72</v>
      </c>
      <c r="N425" s="553">
        <f>+IF($L425-$J425&gt;=0,$L425-$J425,0)</f>
        <v>3</v>
      </c>
      <c r="O425" s="553">
        <f t="shared" si="254"/>
        <v>0.36</v>
      </c>
      <c r="P425" s="553"/>
      <c r="Q425" s="553">
        <f>+ROUND($H425*P425,2)</f>
        <v>0</v>
      </c>
      <c r="R425" s="553">
        <f>+IF($L425-$J425&lt;=0,-$L425+$J425,0)</f>
        <v>0</v>
      </c>
      <c r="S425" s="553">
        <f t="shared" si="255"/>
        <v>0</v>
      </c>
      <c r="T425" s="553"/>
      <c r="U425" s="553">
        <f t="shared" si="256"/>
        <v>0</v>
      </c>
      <c r="V425" s="553"/>
    </row>
    <row r="426" spans="2:22" ht="21" customHeight="1" x14ac:dyDescent="0.25">
      <c r="B426" s="562">
        <v>13.04</v>
      </c>
      <c r="C426" s="576" t="e">
        <f>+C425+1</f>
        <v>#REF!</v>
      </c>
      <c r="D426" s="502" t="s">
        <v>448</v>
      </c>
      <c r="E426" s="496"/>
      <c r="F426" s="497"/>
      <c r="G426" s="530" t="s">
        <v>11</v>
      </c>
      <c r="H426" s="553">
        <v>3.18</v>
      </c>
      <c r="I426" s="553"/>
      <c r="J426" s="553">
        <v>15</v>
      </c>
      <c r="K426" s="553">
        <f t="shared" si="253"/>
        <v>47.7</v>
      </c>
      <c r="L426" s="553">
        <f>+L134</f>
        <v>5</v>
      </c>
      <c r="M426" s="553">
        <f>+ROUND($H426*L426,2)</f>
        <v>15.9</v>
      </c>
      <c r="N426" s="553">
        <f>+IF($L426-$J426&gt;=0,$L426-$J426,0)</f>
        <v>0</v>
      </c>
      <c r="O426" s="553">
        <f t="shared" si="254"/>
        <v>0</v>
      </c>
      <c r="P426" s="553"/>
      <c r="Q426" s="553">
        <f>+ROUND($H426*P426,2)</f>
        <v>0</v>
      </c>
      <c r="R426" s="553">
        <f>+IF($L426-$J426&lt;=0,-$L426+$J426,0)</f>
        <v>10</v>
      </c>
      <c r="S426" s="553">
        <f t="shared" si="255"/>
        <v>31.8</v>
      </c>
      <c r="T426" s="553">
        <f>+P427</f>
        <v>28</v>
      </c>
      <c r="U426" s="553">
        <f t="shared" si="256"/>
        <v>89.04</v>
      </c>
      <c r="V426" s="553" t="s">
        <v>841</v>
      </c>
    </row>
    <row r="427" spans="2:22" s="547" customFormat="1" ht="21" customHeight="1" x14ac:dyDescent="0.25">
      <c r="B427" s="775">
        <v>13.05</v>
      </c>
      <c r="C427" s="575" t="e">
        <f>+#REF!+1</f>
        <v>#REF!</v>
      </c>
      <c r="D427" s="501" t="s">
        <v>827</v>
      </c>
      <c r="E427" s="545"/>
      <c r="F427" s="546"/>
      <c r="G427" s="766" t="s">
        <v>11</v>
      </c>
      <c r="H427" s="767"/>
      <c r="I427" s="783">
        <v>3.18</v>
      </c>
      <c r="J427" s="767"/>
      <c r="K427" s="767">
        <f t="shared" si="253"/>
        <v>0</v>
      </c>
      <c r="L427" s="767">
        <f>+L135</f>
        <v>28</v>
      </c>
      <c r="M427" s="767">
        <f>+ROUND($I427*L427,2)</f>
        <v>89.04</v>
      </c>
      <c r="N427" s="767"/>
      <c r="O427" s="767">
        <f t="shared" si="254"/>
        <v>0</v>
      </c>
      <c r="P427" s="768">
        <f>+L427</f>
        <v>28</v>
      </c>
      <c r="Q427" s="767">
        <f>+ROUND($I427*P427,2)</f>
        <v>89.04</v>
      </c>
      <c r="R427" s="767"/>
      <c r="S427" s="767">
        <f t="shared" si="255"/>
        <v>0</v>
      </c>
      <c r="T427" s="633"/>
      <c r="U427" s="767">
        <f t="shared" si="256"/>
        <v>0</v>
      </c>
      <c r="V427" s="633"/>
    </row>
    <row r="428" spans="2:22" ht="21" customHeight="1" x14ac:dyDescent="0.25">
      <c r="B428" s="456"/>
      <c r="C428" s="483" t="e">
        <f>+#REF!+1</f>
        <v>#REF!</v>
      </c>
      <c r="D428" s="537"/>
      <c r="E428" s="538"/>
      <c r="F428" s="544" t="str">
        <f>+"SUB-TOTAL   "&amp;B422&amp;":  "</f>
        <v xml:space="preserve">SUB-TOTAL   13:  </v>
      </c>
      <c r="G428" s="440"/>
      <c r="H428" s="438"/>
      <c r="I428" s="438"/>
      <c r="J428" s="438"/>
      <c r="K428" s="548">
        <f>+SUM(K423:K427)</f>
        <v>176.55</v>
      </c>
      <c r="L428" s="438"/>
      <c r="M428" s="548">
        <f>+SUM(M423:M427)</f>
        <v>216.61</v>
      </c>
      <c r="N428" s="438"/>
      <c r="O428" s="548">
        <f>+SUM(O423:O427)</f>
        <v>0.36</v>
      </c>
      <c r="P428" s="438"/>
      <c r="Q428" s="548">
        <f>+SUM(Q423:Q427)</f>
        <v>89.04</v>
      </c>
      <c r="R428" s="438"/>
      <c r="S428" s="548">
        <f>+SUM(S423:S427)</f>
        <v>49.34</v>
      </c>
      <c r="T428" s="438"/>
      <c r="U428" s="548">
        <f>+SUM(U423:U427)</f>
        <v>89.4</v>
      </c>
      <c r="V428" s="438"/>
    </row>
    <row r="429" spans="2:22" ht="21" customHeight="1" x14ac:dyDescent="0.25">
      <c r="B429" s="452">
        <v>14</v>
      </c>
      <c r="C429" s="481" t="e">
        <f t="shared" ref="C429:C439" si="257">+C428+1</f>
        <v>#REF!</v>
      </c>
      <c r="D429" s="453" t="s">
        <v>447</v>
      </c>
      <c r="E429" s="445"/>
      <c r="F429" s="446"/>
      <c r="G429" s="527"/>
      <c r="H429" s="438"/>
      <c r="I429" s="438"/>
      <c r="J429" s="438"/>
      <c r="K429" s="438"/>
      <c r="L429" s="756"/>
      <c r="M429" s="438"/>
      <c r="N429" s="438"/>
      <c r="O429" s="438"/>
      <c r="P429" s="438"/>
      <c r="Q429" s="438"/>
      <c r="R429" s="438"/>
      <c r="S429" s="438"/>
      <c r="T429" s="438"/>
      <c r="U429" s="438"/>
      <c r="V429" s="438"/>
    </row>
    <row r="430" spans="2:22" ht="21" customHeight="1" x14ac:dyDescent="0.25">
      <c r="B430" s="562">
        <v>14.01</v>
      </c>
      <c r="C430" s="576" t="e">
        <f t="shared" si="257"/>
        <v>#REF!</v>
      </c>
      <c r="D430" s="502" t="s">
        <v>446</v>
      </c>
      <c r="E430" s="496"/>
      <c r="F430" s="497"/>
      <c r="G430" s="530" t="s">
        <v>11</v>
      </c>
      <c r="H430" s="553">
        <v>0.64</v>
      </c>
      <c r="I430" s="553"/>
      <c r="J430" s="553">
        <v>24</v>
      </c>
      <c r="K430" s="553">
        <f t="shared" ref="K430:K444" si="258">+ROUND($H430*J430,2)</f>
        <v>15.36</v>
      </c>
      <c r="L430" s="553">
        <f t="shared" ref="L430:L444" si="259">+L138</f>
        <v>37</v>
      </c>
      <c r="M430" s="553">
        <f t="shared" ref="M430:M439" si="260">+ROUND($H430*L430,2)</f>
        <v>23.68</v>
      </c>
      <c r="N430" s="553">
        <f t="shared" ref="N430:N439" si="261">+IF($L430-$J430&gt;=0,$L430-$J430,0)</f>
        <v>13</v>
      </c>
      <c r="O430" s="553">
        <f t="shared" ref="O430:O444" si="262">+ROUND($H430*N430,2)</f>
        <v>8.32</v>
      </c>
      <c r="P430" s="553"/>
      <c r="Q430" s="553">
        <f t="shared" ref="Q430:Q439" si="263">+ROUND($H430*P430,2)</f>
        <v>0</v>
      </c>
      <c r="R430" s="553">
        <f t="shared" ref="R430:R439" si="264">+IF($L430-$J430&lt;=0,-$L430+$J430,0)</f>
        <v>0</v>
      </c>
      <c r="S430" s="553">
        <f t="shared" ref="S430:S444" si="265">+ROUND($H430*R430,2)</f>
        <v>0</v>
      </c>
      <c r="T430" s="553"/>
      <c r="U430" s="553">
        <f t="shared" ref="U430:U444" si="266">+ROUND($H430*T430,2)</f>
        <v>0</v>
      </c>
      <c r="V430" s="553"/>
    </row>
    <row r="431" spans="2:22" ht="21" customHeight="1" x14ac:dyDescent="0.25">
      <c r="B431" s="562">
        <v>14.02</v>
      </c>
      <c r="C431" s="576" t="e">
        <f t="shared" si="257"/>
        <v>#REF!</v>
      </c>
      <c r="D431" s="502" t="s">
        <v>445</v>
      </c>
      <c r="E431" s="496"/>
      <c r="F431" s="497"/>
      <c r="G431" s="530" t="s">
        <v>11</v>
      </c>
      <c r="H431" s="553">
        <v>4.03</v>
      </c>
      <c r="I431" s="553"/>
      <c r="J431" s="553">
        <v>30</v>
      </c>
      <c r="K431" s="553">
        <f t="shared" si="258"/>
        <v>120.9</v>
      </c>
      <c r="L431" s="553">
        <f t="shared" si="259"/>
        <v>36</v>
      </c>
      <c r="M431" s="553">
        <f t="shared" si="260"/>
        <v>145.08000000000001</v>
      </c>
      <c r="N431" s="553">
        <f t="shared" si="261"/>
        <v>6</v>
      </c>
      <c r="O431" s="553">
        <f t="shared" si="262"/>
        <v>24.18</v>
      </c>
      <c r="P431" s="553"/>
      <c r="Q431" s="553">
        <f t="shared" si="263"/>
        <v>0</v>
      </c>
      <c r="R431" s="553">
        <f t="shared" si="264"/>
        <v>0</v>
      </c>
      <c r="S431" s="553">
        <f t="shared" si="265"/>
        <v>0</v>
      </c>
      <c r="T431" s="553"/>
      <c r="U431" s="553">
        <f t="shared" si="266"/>
        <v>0</v>
      </c>
      <c r="V431" s="553"/>
    </row>
    <row r="432" spans="2:22" ht="21" customHeight="1" x14ac:dyDescent="0.25">
      <c r="B432" s="562">
        <v>14.03</v>
      </c>
      <c r="C432" s="576" t="e">
        <f t="shared" si="257"/>
        <v>#REF!</v>
      </c>
      <c r="D432" s="502" t="s">
        <v>444</v>
      </c>
      <c r="E432" s="496"/>
      <c r="F432" s="497"/>
      <c r="G432" s="530" t="s">
        <v>13</v>
      </c>
      <c r="H432" s="553">
        <v>4.5599999999999996</v>
      </c>
      <c r="I432" s="553"/>
      <c r="J432" s="553">
        <v>673.12</v>
      </c>
      <c r="K432" s="553">
        <f t="shared" si="258"/>
        <v>3069.43</v>
      </c>
      <c r="L432" s="553">
        <f t="shared" si="259"/>
        <v>1174.7511499999998</v>
      </c>
      <c r="M432" s="553">
        <f t="shared" si="260"/>
        <v>5356.87</v>
      </c>
      <c r="N432" s="553">
        <f t="shared" si="261"/>
        <v>501.63114999999982</v>
      </c>
      <c r="O432" s="553">
        <f t="shared" si="262"/>
        <v>2287.44</v>
      </c>
      <c r="P432" s="553"/>
      <c r="Q432" s="553">
        <f t="shared" si="263"/>
        <v>0</v>
      </c>
      <c r="R432" s="553">
        <f t="shared" si="264"/>
        <v>0</v>
      </c>
      <c r="S432" s="553">
        <f t="shared" si="265"/>
        <v>0</v>
      </c>
      <c r="T432" s="553"/>
      <c r="U432" s="553">
        <f t="shared" si="266"/>
        <v>0</v>
      </c>
      <c r="V432" s="553"/>
    </row>
    <row r="433" spans="2:22" ht="21" customHeight="1" x14ac:dyDescent="0.25">
      <c r="B433" s="562">
        <v>14.04</v>
      </c>
      <c r="C433" s="576" t="e">
        <f t="shared" si="257"/>
        <v>#REF!</v>
      </c>
      <c r="D433" s="502" t="s">
        <v>443</v>
      </c>
      <c r="E433" s="496"/>
      <c r="F433" s="497"/>
      <c r="G433" s="530" t="s">
        <v>11</v>
      </c>
      <c r="H433" s="553">
        <v>1.8</v>
      </c>
      <c r="I433" s="553"/>
      <c r="J433" s="553">
        <v>12</v>
      </c>
      <c r="K433" s="553">
        <f t="shared" si="258"/>
        <v>21.6</v>
      </c>
      <c r="L433" s="553">
        <f t="shared" si="259"/>
        <v>10</v>
      </c>
      <c r="M433" s="553">
        <f t="shared" si="260"/>
        <v>18</v>
      </c>
      <c r="N433" s="553">
        <f t="shared" si="261"/>
        <v>0</v>
      </c>
      <c r="O433" s="553">
        <f t="shared" si="262"/>
        <v>0</v>
      </c>
      <c r="P433" s="553"/>
      <c r="Q433" s="553">
        <f t="shared" si="263"/>
        <v>0</v>
      </c>
      <c r="R433" s="553">
        <f t="shared" si="264"/>
        <v>2</v>
      </c>
      <c r="S433" s="553">
        <f t="shared" si="265"/>
        <v>3.6</v>
      </c>
      <c r="T433" s="553">
        <f>+P444</f>
        <v>0</v>
      </c>
      <c r="U433" s="553">
        <f t="shared" si="266"/>
        <v>0</v>
      </c>
      <c r="V433" s="553" t="s">
        <v>842</v>
      </c>
    </row>
    <row r="434" spans="2:22" ht="21" customHeight="1" x14ac:dyDescent="0.25">
      <c r="B434" s="562">
        <v>14.049999999999999</v>
      </c>
      <c r="C434" s="576" t="e">
        <f t="shared" si="257"/>
        <v>#REF!</v>
      </c>
      <c r="D434" s="502" t="s">
        <v>442</v>
      </c>
      <c r="E434" s="496"/>
      <c r="F434" s="497"/>
      <c r="G434" s="530" t="s">
        <v>11</v>
      </c>
      <c r="H434" s="553">
        <v>0.26</v>
      </c>
      <c r="I434" s="553"/>
      <c r="J434" s="553">
        <v>25</v>
      </c>
      <c r="K434" s="553">
        <f t="shared" si="258"/>
        <v>6.5</v>
      </c>
      <c r="L434" s="553">
        <f t="shared" si="259"/>
        <v>32</v>
      </c>
      <c r="M434" s="553">
        <f t="shared" si="260"/>
        <v>8.32</v>
      </c>
      <c r="N434" s="553">
        <f t="shared" si="261"/>
        <v>7</v>
      </c>
      <c r="O434" s="553">
        <f t="shared" si="262"/>
        <v>1.82</v>
      </c>
      <c r="P434" s="553"/>
      <c r="Q434" s="553">
        <f t="shared" si="263"/>
        <v>0</v>
      </c>
      <c r="R434" s="553">
        <f t="shared" si="264"/>
        <v>0</v>
      </c>
      <c r="S434" s="553">
        <f t="shared" si="265"/>
        <v>0</v>
      </c>
      <c r="T434" s="553"/>
      <c r="U434" s="553">
        <f t="shared" si="266"/>
        <v>0</v>
      </c>
      <c r="V434" s="553"/>
    </row>
    <row r="435" spans="2:22" ht="21" customHeight="1" x14ac:dyDescent="0.25">
      <c r="B435" s="562">
        <v>14.059999999999999</v>
      </c>
      <c r="C435" s="576" t="e">
        <f t="shared" si="257"/>
        <v>#REF!</v>
      </c>
      <c r="D435" s="502" t="s">
        <v>441</v>
      </c>
      <c r="E435" s="496"/>
      <c r="F435" s="497"/>
      <c r="G435" s="530" t="s">
        <v>11</v>
      </c>
      <c r="H435" s="553">
        <v>0.32</v>
      </c>
      <c r="I435" s="553"/>
      <c r="J435" s="553">
        <v>23</v>
      </c>
      <c r="K435" s="553">
        <f t="shared" si="258"/>
        <v>7.36</v>
      </c>
      <c r="L435" s="553">
        <f t="shared" si="259"/>
        <v>32</v>
      </c>
      <c r="M435" s="553">
        <f t="shared" si="260"/>
        <v>10.24</v>
      </c>
      <c r="N435" s="553">
        <f t="shared" si="261"/>
        <v>9</v>
      </c>
      <c r="O435" s="553">
        <f t="shared" si="262"/>
        <v>2.88</v>
      </c>
      <c r="P435" s="553"/>
      <c r="Q435" s="553">
        <f t="shared" si="263"/>
        <v>0</v>
      </c>
      <c r="R435" s="553">
        <f t="shared" si="264"/>
        <v>0</v>
      </c>
      <c r="S435" s="553">
        <f t="shared" si="265"/>
        <v>0</v>
      </c>
      <c r="T435" s="553"/>
      <c r="U435" s="553">
        <f t="shared" si="266"/>
        <v>0</v>
      </c>
      <c r="V435" s="553"/>
    </row>
    <row r="436" spans="2:22" ht="21" customHeight="1" x14ac:dyDescent="0.25">
      <c r="B436" s="562">
        <v>14.069999999999999</v>
      </c>
      <c r="C436" s="576" t="e">
        <f t="shared" si="257"/>
        <v>#REF!</v>
      </c>
      <c r="D436" s="502" t="s">
        <v>440</v>
      </c>
      <c r="E436" s="496"/>
      <c r="F436" s="497"/>
      <c r="G436" s="530" t="s">
        <v>11</v>
      </c>
      <c r="H436" s="553">
        <v>0.64</v>
      </c>
      <c r="I436" s="553"/>
      <c r="J436" s="553">
        <v>32</v>
      </c>
      <c r="K436" s="553">
        <f t="shared" si="258"/>
        <v>20.48</v>
      </c>
      <c r="L436" s="553">
        <f t="shared" si="259"/>
        <v>64</v>
      </c>
      <c r="M436" s="553">
        <f t="shared" si="260"/>
        <v>40.96</v>
      </c>
      <c r="N436" s="553">
        <f t="shared" si="261"/>
        <v>32</v>
      </c>
      <c r="O436" s="553">
        <f t="shared" si="262"/>
        <v>20.48</v>
      </c>
      <c r="P436" s="553"/>
      <c r="Q436" s="553">
        <f t="shared" si="263"/>
        <v>0</v>
      </c>
      <c r="R436" s="553">
        <f t="shared" si="264"/>
        <v>0</v>
      </c>
      <c r="S436" s="553">
        <f t="shared" si="265"/>
        <v>0</v>
      </c>
      <c r="T436" s="553"/>
      <c r="U436" s="553">
        <f t="shared" si="266"/>
        <v>0</v>
      </c>
      <c r="V436" s="553"/>
    </row>
    <row r="437" spans="2:22" ht="21" customHeight="1" x14ac:dyDescent="0.25">
      <c r="B437" s="562">
        <v>14.079999999999998</v>
      </c>
      <c r="C437" s="576" t="e">
        <f t="shared" si="257"/>
        <v>#REF!</v>
      </c>
      <c r="D437" s="502" t="s">
        <v>439</v>
      </c>
      <c r="E437" s="496"/>
      <c r="F437" s="497"/>
      <c r="G437" s="530" t="s">
        <v>13</v>
      </c>
      <c r="H437" s="553">
        <v>0.16</v>
      </c>
      <c r="I437" s="553"/>
      <c r="J437" s="553">
        <v>53</v>
      </c>
      <c r="K437" s="553">
        <f t="shared" si="258"/>
        <v>8.48</v>
      </c>
      <c r="L437" s="553">
        <f t="shared" si="259"/>
        <v>55</v>
      </c>
      <c r="M437" s="553">
        <f t="shared" si="260"/>
        <v>8.8000000000000007</v>
      </c>
      <c r="N437" s="553">
        <f t="shared" si="261"/>
        <v>2</v>
      </c>
      <c r="O437" s="553">
        <f t="shared" si="262"/>
        <v>0.32</v>
      </c>
      <c r="P437" s="553"/>
      <c r="Q437" s="553">
        <f t="shared" si="263"/>
        <v>0</v>
      </c>
      <c r="R437" s="553">
        <f t="shared" si="264"/>
        <v>0</v>
      </c>
      <c r="S437" s="553">
        <f t="shared" si="265"/>
        <v>0</v>
      </c>
      <c r="T437" s="553"/>
      <c r="U437" s="553">
        <f t="shared" si="266"/>
        <v>0</v>
      </c>
      <c r="V437" s="553"/>
    </row>
    <row r="438" spans="2:22" ht="21" customHeight="1" x14ac:dyDescent="0.25">
      <c r="B438" s="562">
        <v>14.089999999999998</v>
      </c>
      <c r="C438" s="576" t="e">
        <f t="shared" si="257"/>
        <v>#REF!</v>
      </c>
      <c r="D438" s="502" t="s">
        <v>438</v>
      </c>
      <c r="E438" s="496"/>
      <c r="F438" s="497"/>
      <c r="G438" s="530" t="s">
        <v>11</v>
      </c>
      <c r="H438" s="553">
        <v>21.16</v>
      </c>
      <c r="I438" s="553"/>
      <c r="J438" s="553">
        <v>10</v>
      </c>
      <c r="K438" s="553">
        <f t="shared" si="258"/>
        <v>211.6</v>
      </c>
      <c r="L438" s="553">
        <f t="shared" si="259"/>
        <v>10</v>
      </c>
      <c r="M438" s="553">
        <f t="shared" si="260"/>
        <v>211.6</v>
      </c>
      <c r="N438" s="553">
        <f t="shared" si="261"/>
        <v>0</v>
      </c>
      <c r="O438" s="553">
        <f t="shared" si="262"/>
        <v>0</v>
      </c>
      <c r="P438" s="553"/>
      <c r="Q438" s="553">
        <f t="shared" si="263"/>
        <v>0</v>
      </c>
      <c r="R438" s="553">
        <f t="shared" si="264"/>
        <v>0</v>
      </c>
      <c r="S438" s="553">
        <f t="shared" si="265"/>
        <v>0</v>
      </c>
      <c r="T438" s="553">
        <f>+R438</f>
        <v>0</v>
      </c>
      <c r="U438" s="553">
        <f t="shared" si="266"/>
        <v>0</v>
      </c>
      <c r="V438" s="553" t="s">
        <v>842</v>
      </c>
    </row>
    <row r="439" spans="2:22" ht="21" customHeight="1" x14ac:dyDescent="0.25">
      <c r="B439" s="562">
        <v>14.099999999999998</v>
      </c>
      <c r="C439" s="576" t="e">
        <f t="shared" si="257"/>
        <v>#REF!</v>
      </c>
      <c r="D439" s="502" t="s">
        <v>437</v>
      </c>
      <c r="E439" s="496"/>
      <c r="F439" s="497"/>
      <c r="G439" s="530" t="s">
        <v>11</v>
      </c>
      <c r="H439" s="553">
        <v>6.62</v>
      </c>
      <c r="I439" s="553"/>
      <c r="J439" s="553">
        <v>60</v>
      </c>
      <c r="K439" s="553">
        <f t="shared" si="258"/>
        <v>397.2</v>
      </c>
      <c r="L439" s="553">
        <f t="shared" si="259"/>
        <v>0</v>
      </c>
      <c r="M439" s="553">
        <f t="shared" si="260"/>
        <v>0</v>
      </c>
      <c r="N439" s="553">
        <f t="shared" si="261"/>
        <v>0</v>
      </c>
      <c r="O439" s="553">
        <f t="shared" si="262"/>
        <v>0</v>
      </c>
      <c r="P439" s="553"/>
      <c r="Q439" s="553">
        <f t="shared" si="263"/>
        <v>0</v>
      </c>
      <c r="R439" s="553">
        <f t="shared" si="264"/>
        <v>60</v>
      </c>
      <c r="S439" s="553">
        <f t="shared" si="265"/>
        <v>397.2</v>
      </c>
      <c r="T439" s="553">
        <f>+R439</f>
        <v>60</v>
      </c>
      <c r="U439" s="553">
        <f t="shared" si="266"/>
        <v>397.2</v>
      </c>
      <c r="V439" s="553" t="s">
        <v>843</v>
      </c>
    </row>
    <row r="440" spans="2:22" s="547" customFormat="1" ht="21" customHeight="1" x14ac:dyDescent="0.25">
      <c r="B440" s="559">
        <v>14.11</v>
      </c>
      <c r="C440" s="577" t="e">
        <f>+#REF!+1</f>
        <v>#REF!</v>
      </c>
      <c r="D440" s="501" t="s">
        <v>761</v>
      </c>
      <c r="E440" s="545"/>
      <c r="F440" s="546"/>
      <c r="G440" s="531" t="s">
        <v>11</v>
      </c>
      <c r="H440" s="560"/>
      <c r="I440" s="560">
        <f>H439*1.5</f>
        <v>9.93</v>
      </c>
      <c r="J440" s="560"/>
      <c r="K440" s="560">
        <f t="shared" si="258"/>
        <v>0</v>
      </c>
      <c r="L440" s="560">
        <f t="shared" si="259"/>
        <v>76</v>
      </c>
      <c r="M440" s="560">
        <f t="shared" ref="M440:M444" si="267">+ROUND($I440*L440,2)</f>
        <v>754.68</v>
      </c>
      <c r="N440" s="560"/>
      <c r="O440" s="560">
        <f t="shared" si="262"/>
        <v>0</v>
      </c>
      <c r="P440" s="561">
        <f t="shared" ref="P440:P444" si="268">+L440</f>
        <v>76</v>
      </c>
      <c r="Q440" s="560">
        <f t="shared" ref="Q440:Q444" si="269">+ROUND($I440*P440,2)</f>
        <v>754.68</v>
      </c>
      <c r="R440" s="560"/>
      <c r="S440" s="560">
        <f t="shared" si="265"/>
        <v>0</v>
      </c>
      <c r="T440" s="560"/>
      <c r="U440" s="560">
        <f t="shared" si="266"/>
        <v>0</v>
      </c>
      <c r="V440" s="560"/>
    </row>
    <row r="441" spans="2:22" s="547" customFormat="1" ht="21" customHeight="1" x14ac:dyDescent="0.25">
      <c r="B441" s="559">
        <v>14.13</v>
      </c>
      <c r="C441" s="577" t="e">
        <f>+#REF!+1</f>
        <v>#REF!</v>
      </c>
      <c r="D441" s="501" t="s">
        <v>763</v>
      </c>
      <c r="E441" s="545"/>
      <c r="F441" s="546"/>
      <c r="G441" s="531" t="s">
        <v>11</v>
      </c>
      <c r="H441" s="560"/>
      <c r="I441" s="560">
        <v>0.3</v>
      </c>
      <c r="J441" s="560"/>
      <c r="K441" s="560">
        <f t="shared" si="258"/>
        <v>0</v>
      </c>
      <c r="L441" s="560">
        <f t="shared" si="259"/>
        <v>2031</v>
      </c>
      <c r="M441" s="560">
        <f t="shared" si="267"/>
        <v>609.29999999999995</v>
      </c>
      <c r="N441" s="560"/>
      <c r="O441" s="560">
        <f t="shared" si="262"/>
        <v>0</v>
      </c>
      <c r="P441" s="561">
        <f t="shared" si="268"/>
        <v>2031</v>
      </c>
      <c r="Q441" s="560">
        <f t="shared" si="269"/>
        <v>609.29999999999995</v>
      </c>
      <c r="R441" s="560"/>
      <c r="S441" s="560">
        <f t="shared" si="265"/>
        <v>0</v>
      </c>
      <c r="T441" s="560"/>
      <c r="U441" s="560">
        <f t="shared" si="266"/>
        <v>0</v>
      </c>
      <c r="V441" s="560"/>
    </row>
    <row r="442" spans="2:22" s="547" customFormat="1" ht="21" customHeight="1" x14ac:dyDescent="0.25">
      <c r="B442" s="559">
        <v>14.14</v>
      </c>
      <c r="C442" s="577" t="e">
        <f>+#REF!+1</f>
        <v>#REF!</v>
      </c>
      <c r="D442" s="501" t="s">
        <v>764</v>
      </c>
      <c r="E442" s="545"/>
      <c r="F442" s="546"/>
      <c r="G442" s="531" t="s">
        <v>11</v>
      </c>
      <c r="H442" s="560"/>
      <c r="I442" s="771">
        <v>2.5000000000000001E-2</v>
      </c>
      <c r="J442" s="560"/>
      <c r="K442" s="560">
        <f t="shared" si="258"/>
        <v>0</v>
      </c>
      <c r="L442" s="560">
        <f t="shared" si="259"/>
        <v>309</v>
      </c>
      <c r="M442" s="560">
        <f t="shared" si="267"/>
        <v>7.73</v>
      </c>
      <c r="N442" s="560"/>
      <c r="O442" s="560">
        <f t="shared" si="262"/>
        <v>0</v>
      </c>
      <c r="P442" s="561">
        <f t="shared" si="268"/>
        <v>309</v>
      </c>
      <c r="Q442" s="560">
        <f t="shared" si="269"/>
        <v>7.73</v>
      </c>
      <c r="R442" s="560"/>
      <c r="S442" s="560">
        <f t="shared" si="265"/>
        <v>0</v>
      </c>
      <c r="T442" s="560"/>
      <c r="U442" s="560">
        <f t="shared" si="266"/>
        <v>0</v>
      </c>
      <c r="V442" s="560"/>
    </row>
    <row r="443" spans="2:22" s="547" customFormat="1" ht="21" customHeight="1" x14ac:dyDescent="0.25">
      <c r="B443" s="559">
        <v>14.15</v>
      </c>
      <c r="C443" s="577" t="e">
        <f>+#REF!+1</f>
        <v>#REF!</v>
      </c>
      <c r="D443" s="501" t="s">
        <v>1017</v>
      </c>
      <c r="E443" s="545"/>
      <c r="F443" s="546"/>
      <c r="G443" s="531" t="s">
        <v>11</v>
      </c>
      <c r="H443" s="560"/>
      <c r="I443" s="560">
        <v>0.5</v>
      </c>
      <c r="J443" s="560"/>
      <c r="K443" s="560">
        <f t="shared" si="258"/>
        <v>0</v>
      </c>
      <c r="L443" s="560">
        <f t="shared" si="259"/>
        <v>15</v>
      </c>
      <c r="M443" s="560">
        <f t="shared" si="267"/>
        <v>7.5</v>
      </c>
      <c r="N443" s="560"/>
      <c r="O443" s="560">
        <f t="shared" si="262"/>
        <v>0</v>
      </c>
      <c r="P443" s="561">
        <f t="shared" si="268"/>
        <v>15</v>
      </c>
      <c r="Q443" s="560">
        <f t="shared" si="269"/>
        <v>7.5</v>
      </c>
      <c r="R443" s="560"/>
      <c r="S443" s="560">
        <f t="shared" si="265"/>
        <v>0</v>
      </c>
      <c r="T443" s="560"/>
      <c r="U443" s="560">
        <f t="shared" si="266"/>
        <v>0</v>
      </c>
      <c r="V443" s="560"/>
    </row>
    <row r="444" spans="2:22" s="547" customFormat="1" ht="21" hidden="1" customHeight="1" x14ac:dyDescent="0.25">
      <c r="B444" s="559">
        <v>14.16</v>
      </c>
      <c r="C444" s="575" t="e">
        <f>+C440+1</f>
        <v>#REF!</v>
      </c>
      <c r="D444" s="501" t="s">
        <v>765</v>
      </c>
      <c r="E444" s="545"/>
      <c r="F444" s="546"/>
      <c r="G444" s="564" t="s">
        <v>11</v>
      </c>
      <c r="H444" s="633"/>
      <c r="I444" s="633">
        <v>3.6</v>
      </c>
      <c r="J444" s="633"/>
      <c r="K444" s="633">
        <f t="shared" si="258"/>
        <v>0</v>
      </c>
      <c r="L444" s="633">
        <f t="shared" si="259"/>
        <v>0</v>
      </c>
      <c r="M444" s="633">
        <f t="shared" si="267"/>
        <v>0</v>
      </c>
      <c r="N444" s="633"/>
      <c r="O444" s="633">
        <f t="shared" si="262"/>
        <v>0</v>
      </c>
      <c r="P444" s="634">
        <f t="shared" si="268"/>
        <v>0</v>
      </c>
      <c r="Q444" s="633">
        <f t="shared" si="269"/>
        <v>0</v>
      </c>
      <c r="R444" s="633"/>
      <c r="S444" s="633">
        <f t="shared" si="265"/>
        <v>0</v>
      </c>
      <c r="T444" s="633"/>
      <c r="U444" s="633">
        <f t="shared" si="266"/>
        <v>0</v>
      </c>
      <c r="V444" s="633"/>
    </row>
    <row r="445" spans="2:22" ht="21" customHeight="1" x14ac:dyDescent="0.25">
      <c r="B445" s="456"/>
      <c r="C445" s="483" t="e">
        <f>+#REF!+1</f>
        <v>#REF!</v>
      </c>
      <c r="D445" s="537"/>
      <c r="E445" s="538"/>
      <c r="F445" s="544" t="str">
        <f>+"SUB-TOTAL   "&amp;B429&amp;":  "</f>
        <v xml:space="preserve">SUB-TOTAL   14:  </v>
      </c>
      <c r="G445" s="440"/>
      <c r="H445" s="438"/>
      <c r="I445" s="438"/>
      <c r="J445" s="438"/>
      <c r="K445" s="548">
        <f>+SUM(K430:K444)</f>
        <v>3878.9099999999994</v>
      </c>
      <c r="L445" s="438"/>
      <c r="M445" s="548">
        <f>+SUM(M430:M444)</f>
        <v>7202.76</v>
      </c>
      <c r="N445" s="438"/>
      <c r="O445" s="548">
        <f>+SUM(O430:O444)</f>
        <v>2345.4400000000005</v>
      </c>
      <c r="P445" s="438"/>
      <c r="Q445" s="548">
        <f>+SUM(Q430:Q444)</f>
        <v>1379.21</v>
      </c>
      <c r="R445" s="438"/>
      <c r="S445" s="548">
        <f>+SUM(S430:S444)</f>
        <v>400.8</v>
      </c>
      <c r="T445" s="438"/>
      <c r="U445" s="548">
        <f>+SUM(U430:U444)</f>
        <v>397.2</v>
      </c>
      <c r="V445" s="438"/>
    </row>
    <row r="446" spans="2:22" s="630" customFormat="1" ht="45.75" customHeight="1" x14ac:dyDescent="0.3">
      <c r="B446" s="623"/>
      <c r="C446" s="624" t="e">
        <f>+#REF!+1</f>
        <v>#REF!</v>
      </c>
      <c r="D446" s="625" t="s">
        <v>35</v>
      </c>
      <c r="E446" s="626"/>
      <c r="F446" s="627"/>
      <c r="G446" s="628"/>
      <c r="H446" s="629"/>
      <c r="I446" s="629"/>
      <c r="J446" s="629"/>
      <c r="K446" s="629">
        <f>+K445+K428+K421+K409+K393+K368+K365+K348+K340+K334+K328+K324+K321+K314+K344</f>
        <v>60052.800000000003</v>
      </c>
      <c r="L446" s="629"/>
      <c r="M446" s="629">
        <f>+M445+M428+M421+M409+M393+M368+M365+M348+M340+M334+M328+M324+M321+M314+M344</f>
        <v>59272.43</v>
      </c>
      <c r="N446" s="629"/>
      <c r="O446" s="629">
        <f>+O445+O428+O421+O409+O393+O368+O365+O348+O340+O334+O328+O324+O321+O314+O344</f>
        <v>9755.130000000001</v>
      </c>
      <c r="P446" s="629"/>
      <c r="Q446" s="629">
        <f>+Q445+Q428+Q421+Q409+Q393+Q368+Q365+Q348+Q340+Q334+Q328+Q324+Q321+Q314+Q344</f>
        <v>6567.64</v>
      </c>
      <c r="R446" s="629"/>
      <c r="S446" s="629">
        <f>+S445+S428+S421+S409+S393+S368+S365+S348+S340+S334+S328+S324+S321+S314+S344</f>
        <v>17103.14</v>
      </c>
      <c r="T446" s="629"/>
      <c r="U446" s="629">
        <f>+U445+U428+U421+U409+U393+U368+U365+U348+U340+U334+U328+U324+U321+U314+U344</f>
        <v>11389.32</v>
      </c>
      <c r="V446" s="629"/>
    </row>
    <row r="447" spans="2:22" ht="21" customHeight="1" x14ac:dyDescent="0.25"/>
    <row r="448" spans="2:22" ht="21" customHeight="1" x14ac:dyDescent="0.25"/>
  </sheetData>
  <mergeCells count="34">
    <mergeCell ref="B46:B47"/>
    <mergeCell ref="G46:G47"/>
    <mergeCell ref="B338:B339"/>
    <mergeCell ref="G338:G339"/>
    <mergeCell ref="K13:K14"/>
    <mergeCell ref="H46:H47"/>
    <mergeCell ref="J46:J47"/>
    <mergeCell ref="K46:K47"/>
    <mergeCell ref="H338:H339"/>
    <mergeCell ref="L338:L339"/>
    <mergeCell ref="M338:M339"/>
    <mergeCell ref="F8:V8"/>
    <mergeCell ref="L13:L14"/>
    <mergeCell ref="M13:M14"/>
    <mergeCell ref="L46:L47"/>
    <mergeCell ref="M46:M47"/>
    <mergeCell ref="J338:J339"/>
    <mergeCell ref="K338:K339"/>
    <mergeCell ref="B6:V7"/>
    <mergeCell ref="G12:G15"/>
    <mergeCell ref="H12:H14"/>
    <mergeCell ref="I12:I14"/>
    <mergeCell ref="V12:V15"/>
    <mergeCell ref="B12:B15"/>
    <mergeCell ref="C12:F15"/>
    <mergeCell ref="L12:M12"/>
    <mergeCell ref="N12:Q12"/>
    <mergeCell ref="N13:O13"/>
    <mergeCell ref="P13:Q13"/>
    <mergeCell ref="R13:S13"/>
    <mergeCell ref="T13:U13"/>
    <mergeCell ref="R12:U12"/>
    <mergeCell ref="J12:K12"/>
    <mergeCell ref="J13:J14"/>
  </mergeCells>
  <printOptions horizontalCentered="1" verticalCentered="1"/>
  <pageMargins left="0.39370078740157483" right="0.39370078740157483" top="0.23622047244094491" bottom="0.23622047244094491" header="0" footer="0"/>
  <pageSetup paperSize="9" scale="55" pageOrder="overThenDown" orientation="landscape" r:id="rId1"/>
  <headerFooter>
    <oddFooter>&amp;R&amp;P/&amp;N</oddFooter>
  </headerFooter>
  <rowBreaks count="14" manualBreakCount="14">
    <brk id="42" min="1" max="21" man="1"/>
    <brk id="73" min="1" max="21" man="1"/>
    <brk id="101" min="1" max="21" man="1"/>
    <brk id="129" min="1" max="21" man="1"/>
    <brk id="154" min="1" max="21" man="1"/>
    <brk id="181" min="1" max="21" man="1"/>
    <brk id="210" min="1" max="21" man="1"/>
    <brk id="238" min="1" max="21" man="1"/>
    <brk id="269" min="1" max="21" man="1"/>
    <brk id="307" min="1" max="21" man="1"/>
    <brk id="334" min="1" max="21" man="1"/>
    <brk id="365" min="1" max="21" man="1"/>
    <brk id="393" min="1" max="21" man="1"/>
    <brk id="421" min="1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28BB-002F-4ECE-9E2C-5F2C31018C10}">
  <dimension ref="B1:N47"/>
  <sheetViews>
    <sheetView showGridLines="0" view="pageBreakPreview" topLeftCell="A11" zoomScale="60" zoomScaleNormal="85" workbookViewId="0">
      <selection activeCell="I31" sqref="I31"/>
    </sheetView>
  </sheetViews>
  <sheetFormatPr baseColWidth="10" defaultColWidth="13.33203125" defaultRowHeight="13.2" x14ac:dyDescent="0.25"/>
  <cols>
    <col min="1" max="1" width="2.44140625" style="789" customWidth="1"/>
    <col min="2" max="2" width="6.44140625" style="789" customWidth="1"/>
    <col min="3" max="3" width="68" style="789" customWidth="1"/>
    <col min="4" max="10" width="19.6640625" style="789" customWidth="1"/>
    <col min="11" max="11" width="14.44140625" style="789" customWidth="1"/>
    <col min="12" max="12" width="26.33203125" style="789" customWidth="1"/>
    <col min="13" max="13" width="8.109375" style="789" bestFit="1" customWidth="1"/>
    <col min="14" max="16384" width="13.33203125" style="789"/>
  </cols>
  <sheetData>
    <row r="1" spans="2:14" ht="6.75" customHeight="1" thickBot="1" x14ac:dyDescent="0.3"/>
    <row r="2" spans="2:14" x14ac:dyDescent="0.25">
      <c r="B2" s="850"/>
      <c r="C2" s="851"/>
      <c r="D2" s="851"/>
      <c r="E2" s="851"/>
      <c r="F2" s="851"/>
      <c r="G2" s="851"/>
      <c r="H2" s="851"/>
      <c r="I2" s="851"/>
      <c r="J2" s="852"/>
    </row>
    <row r="3" spans="2:14" ht="24.6" x14ac:dyDescent="0.25">
      <c r="B3" s="853" t="s">
        <v>921</v>
      </c>
      <c r="C3" s="854"/>
      <c r="D3" s="854"/>
      <c r="E3" s="854"/>
      <c r="F3" s="854"/>
      <c r="G3" s="854"/>
      <c r="H3" s="854"/>
      <c r="I3" s="854"/>
      <c r="J3" s="855"/>
    </row>
    <row r="4" spans="2:14" ht="21.6" thickBot="1" x14ac:dyDescent="0.3">
      <c r="B4" s="856"/>
      <c r="C4" s="857"/>
      <c r="D4" s="857"/>
      <c r="E4" s="857"/>
      <c r="F4" s="857"/>
      <c r="G4" s="857"/>
      <c r="H4" s="857"/>
      <c r="I4" s="857"/>
      <c r="J4" s="858"/>
    </row>
    <row r="5" spans="2:14" x14ac:dyDescent="0.25">
      <c r="B5" s="859"/>
      <c r="J5" s="860"/>
    </row>
    <row r="6" spans="2:14" ht="17.399999999999999" x14ac:dyDescent="0.25">
      <c r="B6" s="859"/>
      <c r="C6" s="861" t="s">
        <v>922</v>
      </c>
      <c r="D6" s="862"/>
      <c r="E6" s="862"/>
      <c r="F6" s="862"/>
      <c r="G6" s="862"/>
      <c r="H6" s="862"/>
      <c r="I6" s="862"/>
      <c r="J6" s="863"/>
    </row>
    <row r="7" spans="2:14" ht="63" customHeight="1" x14ac:dyDescent="0.25">
      <c r="B7" s="859"/>
      <c r="C7" s="1256" t="s">
        <v>923</v>
      </c>
      <c r="D7" s="1256"/>
      <c r="E7" s="1256"/>
      <c r="F7" s="1256"/>
      <c r="G7" s="1256"/>
      <c r="H7" s="1256"/>
      <c r="I7" s="1256"/>
      <c r="J7" s="1257"/>
    </row>
    <row r="8" spans="2:14" ht="18" customHeight="1" x14ac:dyDescent="0.25">
      <c r="B8" s="859"/>
      <c r="C8" s="864"/>
      <c r="J8" s="860"/>
    </row>
    <row r="9" spans="2:14" ht="17.399999999999999" x14ac:dyDescent="0.25">
      <c r="B9" s="859"/>
      <c r="C9" s="865" t="s">
        <v>85</v>
      </c>
      <c r="J9" s="860"/>
    </row>
    <row r="10" spans="2:14" ht="17.399999999999999" x14ac:dyDescent="0.25">
      <c r="B10" s="859"/>
      <c r="C10" s="865" t="s">
        <v>924</v>
      </c>
      <c r="D10" s="866">
        <f>+'RES-LP'!H18</f>
        <v>1465769.7599999998</v>
      </c>
      <c r="G10" s="867"/>
      <c r="H10" s="867"/>
      <c r="J10" s="868"/>
      <c r="K10" s="869" t="b">
        <f>D10=SUM(G13:G27)</f>
        <v>1</v>
      </c>
      <c r="L10" s="869"/>
      <c r="M10" s="870"/>
    </row>
    <row r="11" spans="2:14" ht="13.8" thickBot="1" x14ac:dyDescent="0.3">
      <c r="B11" s="859"/>
      <c r="J11" s="860"/>
    </row>
    <row r="12" spans="2:14" ht="28.2" thickBot="1" x14ac:dyDescent="0.3">
      <c r="B12" s="871" t="s">
        <v>925</v>
      </c>
      <c r="C12" s="872" t="s">
        <v>926</v>
      </c>
      <c r="D12" s="873" t="s">
        <v>927</v>
      </c>
      <c r="E12" s="872" t="s">
        <v>928</v>
      </c>
      <c r="F12" s="874" t="s">
        <v>929</v>
      </c>
      <c r="G12" s="872" t="s">
        <v>930</v>
      </c>
      <c r="H12" s="872" t="s">
        <v>931</v>
      </c>
      <c r="I12" s="872" t="s">
        <v>932</v>
      </c>
      <c r="J12" s="875" t="s">
        <v>933</v>
      </c>
    </row>
    <row r="13" spans="2:14" ht="19.5" customHeight="1" x14ac:dyDescent="0.25">
      <c r="B13" s="876">
        <v>1</v>
      </c>
      <c r="C13" s="877" t="s">
        <v>296</v>
      </c>
      <c r="D13" s="878" t="s">
        <v>934</v>
      </c>
      <c r="E13" s="879" t="s">
        <v>935</v>
      </c>
      <c r="F13" s="1258" t="s">
        <v>936</v>
      </c>
      <c r="G13" s="880">
        <f>+'Mtdo-Ppto LP'!M32</f>
        <v>0</v>
      </c>
      <c r="H13" s="881">
        <f>ROUND(G13/$D$10,3)</f>
        <v>0</v>
      </c>
      <c r="I13" s="882">
        <f>ROUND(G13/SUM($G$13:$G$16),4)</f>
        <v>0</v>
      </c>
      <c r="J13" s="883">
        <f>ROUND(SUM(H13:H16),3)</f>
        <v>0.17599999999999999</v>
      </c>
      <c r="K13" s="884"/>
      <c r="L13" s="885"/>
      <c r="M13" s="886"/>
      <c r="N13" s="887"/>
    </row>
    <row r="14" spans="2:14" ht="19.5" customHeight="1" x14ac:dyDescent="0.25">
      <c r="B14" s="876"/>
      <c r="C14" s="877" t="s">
        <v>937</v>
      </c>
      <c r="D14" s="878" t="s">
        <v>938</v>
      </c>
      <c r="E14" s="879" t="s">
        <v>939</v>
      </c>
      <c r="F14" s="1259"/>
      <c r="G14" s="880">
        <f>+'Mtdo-Ppto LP'!M22</f>
        <v>3578</v>
      </c>
      <c r="H14" s="881">
        <f t="shared" ref="H14" si="0">ROUND(G14/$D$10,3)</f>
        <v>2E-3</v>
      </c>
      <c r="I14" s="888">
        <f>ROUND(G14/SUM($G$13:$G$16),4)</f>
        <v>1.3899999999999999E-2</v>
      </c>
      <c r="J14" s="889"/>
      <c r="K14" s="884"/>
      <c r="L14" s="885"/>
      <c r="M14" s="886"/>
      <c r="N14" s="887"/>
    </row>
    <row r="15" spans="2:14" ht="19.5" customHeight="1" x14ac:dyDescent="0.25">
      <c r="B15" s="876"/>
      <c r="C15" s="877" t="s">
        <v>940</v>
      </c>
      <c r="D15" s="878" t="s">
        <v>941</v>
      </c>
      <c r="E15" s="879" t="s">
        <v>936</v>
      </c>
      <c r="F15" s="1259"/>
      <c r="G15" s="880">
        <f>+'Mtdo-Ppto LP'!M29+'Mtdo-Ppto LP'!M36</f>
        <v>218234.23999999999</v>
      </c>
      <c r="H15" s="881">
        <f>ROUND(G15/$D$10,3-0.1)</f>
        <v>0.15</v>
      </c>
      <c r="I15" s="888">
        <f>ROUND(G15/SUM($G$13:$G$16),4)</f>
        <v>0.84809999999999997</v>
      </c>
      <c r="J15" s="889"/>
      <c r="K15" s="884"/>
      <c r="L15" s="885"/>
      <c r="M15" s="886"/>
      <c r="N15" s="887"/>
    </row>
    <row r="16" spans="2:14" ht="19.5" customHeight="1" x14ac:dyDescent="0.25">
      <c r="B16" s="876"/>
      <c r="C16" s="890" t="s">
        <v>509</v>
      </c>
      <c r="D16" s="878" t="s">
        <v>941</v>
      </c>
      <c r="E16" s="891" t="s">
        <v>942</v>
      </c>
      <c r="F16" s="1259"/>
      <c r="G16" s="880">
        <f>+'Mtdo-Ppto LP'!M42</f>
        <v>35519.199999999997</v>
      </c>
      <c r="H16" s="892">
        <f>ROUND(G16/$D$10,3)</f>
        <v>2.4E-2</v>
      </c>
      <c r="I16" s="893">
        <f>ROUND(G16/SUM($G$13:$G$16),4)</f>
        <v>0.13800000000000001</v>
      </c>
      <c r="J16" s="894"/>
      <c r="K16" s="884"/>
      <c r="L16" s="885"/>
      <c r="M16" s="886"/>
      <c r="N16" s="887"/>
    </row>
    <row r="17" spans="2:14" ht="19.5" customHeight="1" x14ac:dyDescent="0.25">
      <c r="B17" s="895">
        <v>2</v>
      </c>
      <c r="C17" s="896" t="s">
        <v>943</v>
      </c>
      <c r="D17" s="897" t="s">
        <v>944</v>
      </c>
      <c r="E17" s="898" t="s">
        <v>945</v>
      </c>
      <c r="F17" s="1260" t="s">
        <v>945</v>
      </c>
      <c r="G17" s="899">
        <f>+'Mtdo-Ppto LP'!M56+'Mtdo-Ppto LP'!M73</f>
        <v>133692.72</v>
      </c>
      <c r="H17" s="881">
        <f t="shared" ref="H17:H24" si="1">ROUND(G17/$D$10,3)</f>
        <v>9.0999999999999998E-2</v>
      </c>
      <c r="I17" s="888">
        <f>ROUND(G17/SUM($G$17:$G$18),4)</f>
        <v>0.90680000000000005</v>
      </c>
      <c r="J17" s="889">
        <f>ROUND(SUM(H17:H18),3)</f>
        <v>0.1</v>
      </c>
      <c r="K17" s="884"/>
      <c r="L17" s="885"/>
      <c r="M17" s="886"/>
      <c r="N17" s="887"/>
    </row>
    <row r="18" spans="2:14" ht="19.5" customHeight="1" x14ac:dyDescent="0.25">
      <c r="B18" s="900"/>
      <c r="C18" s="901" t="s">
        <v>946</v>
      </c>
      <c r="D18" s="902" t="s">
        <v>947</v>
      </c>
      <c r="E18" s="903" t="s">
        <v>948</v>
      </c>
      <c r="F18" s="1261"/>
      <c r="G18" s="904">
        <f>+'Mtdo-Ppto LP'!M136</f>
        <v>13745.66</v>
      </c>
      <c r="H18" s="892">
        <f t="shared" si="1"/>
        <v>8.9999999999999993E-3</v>
      </c>
      <c r="I18" s="888">
        <f>ROUND(G18/SUM($G$17:$G$18),4)</f>
        <v>9.3200000000000005E-2</v>
      </c>
      <c r="J18" s="905"/>
      <c r="K18" s="884"/>
      <c r="L18" s="885"/>
    </row>
    <row r="19" spans="2:14" ht="19.5" customHeight="1" x14ac:dyDescent="0.25">
      <c r="B19" s="895">
        <v>3</v>
      </c>
      <c r="C19" s="896" t="s">
        <v>505</v>
      </c>
      <c r="D19" s="906" t="s">
        <v>947</v>
      </c>
      <c r="E19" s="898" t="s">
        <v>949</v>
      </c>
      <c r="F19" s="1262" t="s">
        <v>949</v>
      </c>
      <c r="G19" s="907">
        <f>+'Mtdo-Ppto LP'!M48+'Mtdo-Ppto LP'!M52</f>
        <v>93781.25</v>
      </c>
      <c r="H19" s="908">
        <f t="shared" si="1"/>
        <v>6.4000000000000001E-2</v>
      </c>
      <c r="I19" s="882">
        <f t="shared" ref="I19:I24" si="2">ROUND(G19/SUM($G$19:$G$24),4)</f>
        <v>0.3362</v>
      </c>
      <c r="J19" s="883">
        <f>ROUND(SUM(H19:H24),3)</f>
        <v>0.191</v>
      </c>
      <c r="K19" s="884"/>
    </row>
    <row r="20" spans="2:14" ht="19.5" customHeight="1" x14ac:dyDescent="0.25">
      <c r="B20" s="876"/>
      <c r="C20" s="890" t="s">
        <v>20</v>
      </c>
      <c r="D20" s="909" t="s">
        <v>950</v>
      </c>
      <c r="E20" s="891" t="s">
        <v>951</v>
      </c>
      <c r="F20" s="1263"/>
      <c r="G20" s="880">
        <f>+'Mtdo-Ppto LP'!M117</f>
        <v>31585.24</v>
      </c>
      <c r="H20" s="881">
        <f>ROUND(G20/$D$10,3)</f>
        <v>2.1999999999999999E-2</v>
      </c>
      <c r="I20" s="888">
        <f t="shared" si="2"/>
        <v>0.1132</v>
      </c>
      <c r="J20" s="910"/>
      <c r="K20" s="884"/>
      <c r="L20" s="911"/>
    </row>
    <row r="21" spans="2:14" ht="19.5" customHeight="1" x14ac:dyDescent="0.25">
      <c r="B21" s="876"/>
      <c r="C21" s="890" t="s">
        <v>952</v>
      </c>
      <c r="D21" s="909" t="s">
        <v>950</v>
      </c>
      <c r="E21" s="891" t="s">
        <v>953</v>
      </c>
      <c r="F21" s="1263"/>
      <c r="G21" s="880">
        <f>+'Mtdo-Ppto LP'!M101</f>
        <v>15148.54</v>
      </c>
      <c r="H21" s="881">
        <f>ROUND(G21/$D$10,3)</f>
        <v>0.01</v>
      </c>
      <c r="I21" s="888">
        <f t="shared" si="2"/>
        <v>5.4300000000000001E-2</v>
      </c>
      <c r="J21" s="910"/>
      <c r="K21" s="884"/>
      <c r="L21" s="911"/>
    </row>
    <row r="22" spans="2:14" ht="19.5" customHeight="1" x14ac:dyDescent="0.25">
      <c r="B22" s="876"/>
      <c r="C22" s="890" t="s">
        <v>482</v>
      </c>
      <c r="D22" s="909" t="s">
        <v>954</v>
      </c>
      <c r="E22" s="891" t="s">
        <v>955</v>
      </c>
      <c r="F22" s="1263"/>
      <c r="G22" s="880">
        <f>+'Mtdo-Ppto LP'!M76</f>
        <v>40485.120000000003</v>
      </c>
      <c r="H22" s="881">
        <f t="shared" si="1"/>
        <v>2.8000000000000001E-2</v>
      </c>
      <c r="I22" s="888">
        <f>ROUND(G22/SUM($G$19:$G$24),4)</f>
        <v>0.14510000000000001</v>
      </c>
      <c r="J22" s="910"/>
      <c r="K22" s="884"/>
      <c r="L22" s="911"/>
    </row>
    <row r="23" spans="2:14" ht="19.5" customHeight="1" x14ac:dyDescent="0.25">
      <c r="B23" s="876"/>
      <c r="C23" s="890" t="s">
        <v>459</v>
      </c>
      <c r="D23" s="909" t="s">
        <v>954</v>
      </c>
      <c r="E23" s="891" t="s">
        <v>956</v>
      </c>
      <c r="F23" s="1263"/>
      <c r="G23" s="880">
        <f>+'Mtdo-Ppto LP'!M129</f>
        <v>11437.240000000002</v>
      </c>
      <c r="H23" s="881">
        <f t="shared" si="1"/>
        <v>8.0000000000000002E-3</v>
      </c>
      <c r="I23" s="888">
        <f t="shared" si="2"/>
        <v>4.1000000000000002E-2</v>
      </c>
      <c r="J23" s="889"/>
      <c r="K23" s="884"/>
      <c r="L23" s="911"/>
    </row>
    <row r="24" spans="2:14" ht="19.5" customHeight="1" x14ac:dyDescent="0.25">
      <c r="B24" s="876"/>
      <c r="C24" s="890" t="s">
        <v>447</v>
      </c>
      <c r="D24" s="912" t="s">
        <v>954</v>
      </c>
      <c r="E24" s="891" t="s">
        <v>957</v>
      </c>
      <c r="F24" s="1264"/>
      <c r="G24" s="880">
        <f>+'Mtdo-Ppto LP'!M153</f>
        <v>86522.98</v>
      </c>
      <c r="H24" s="892">
        <f t="shared" si="1"/>
        <v>5.8999999999999997E-2</v>
      </c>
      <c r="I24" s="893">
        <f t="shared" si="2"/>
        <v>0.31019999999999998</v>
      </c>
      <c r="J24" s="894"/>
      <c r="K24" s="884"/>
      <c r="L24" s="885"/>
    </row>
    <row r="25" spans="2:14" ht="19.5" customHeight="1" x14ac:dyDescent="0.25">
      <c r="B25" s="895">
        <v>4</v>
      </c>
      <c r="C25" s="896" t="s">
        <v>89</v>
      </c>
      <c r="D25" s="897" t="s">
        <v>958</v>
      </c>
      <c r="E25" s="898" t="s">
        <v>959</v>
      </c>
      <c r="F25" s="1262" t="s">
        <v>959</v>
      </c>
      <c r="G25" s="899">
        <f>+'Mtdo-Ppto LP'!M307</f>
        <v>552762.73</v>
      </c>
      <c r="H25" s="881">
        <f>ROUND(G25/$D$10,3)</f>
        <v>0.377</v>
      </c>
      <c r="I25" s="888">
        <f>ROUND(G25/($G$25+$G$26),4)</f>
        <v>0.9032</v>
      </c>
      <c r="J25" s="883">
        <f>ROUND(SUM(H25:H26),3)</f>
        <v>0.41699999999999998</v>
      </c>
      <c r="K25" s="884"/>
      <c r="L25" s="913"/>
    </row>
    <row r="26" spans="2:14" ht="19.5" customHeight="1" x14ac:dyDescent="0.25">
      <c r="B26" s="900"/>
      <c r="C26" s="901" t="s">
        <v>960</v>
      </c>
      <c r="D26" s="914" t="s">
        <v>961</v>
      </c>
      <c r="E26" s="903" t="s">
        <v>962</v>
      </c>
      <c r="F26" s="1264"/>
      <c r="G26" s="904">
        <f>+'Mtdo-Ppto LP'!M446</f>
        <v>59272.43</v>
      </c>
      <c r="H26" s="892">
        <f>ROUND(G26/$D$10,3)</f>
        <v>0.04</v>
      </c>
      <c r="I26" s="893">
        <f>ROUND(G26/($G$25+$G$26),4)</f>
        <v>9.6799999999999997E-2</v>
      </c>
      <c r="J26" s="894"/>
      <c r="K26" s="884"/>
    </row>
    <row r="27" spans="2:14" ht="19.5" customHeight="1" thickBot="1" x14ac:dyDescent="0.3">
      <c r="B27" s="915">
        <v>5</v>
      </c>
      <c r="C27" s="916" t="s">
        <v>963</v>
      </c>
      <c r="D27" s="917" t="s">
        <v>964</v>
      </c>
      <c r="E27" s="918" t="s">
        <v>965</v>
      </c>
      <c r="F27" s="918" t="s">
        <v>966</v>
      </c>
      <c r="G27" s="919">
        <f>+'RES-LP'!H16+'RES-LP'!H17</f>
        <v>170004.41</v>
      </c>
      <c r="H27" s="920">
        <f>ROUND(G27/$D$10,3)</f>
        <v>0.11600000000000001</v>
      </c>
      <c r="I27" s="921">
        <f>+G27/G27</f>
        <v>1</v>
      </c>
      <c r="J27" s="922">
        <f>ROUND(SUM(H27),3)</f>
        <v>0.11600000000000001</v>
      </c>
      <c r="K27" s="884"/>
      <c r="L27" s="923"/>
      <c r="M27" s="923"/>
    </row>
    <row r="28" spans="2:14" ht="15" x14ac:dyDescent="0.25">
      <c r="B28" s="924"/>
      <c r="C28" s="812"/>
      <c r="D28" s="812"/>
      <c r="E28" s="812"/>
      <c r="F28" s="812"/>
      <c r="G28" s="813"/>
      <c r="H28" s="813"/>
      <c r="I28" s="812"/>
      <c r="J28" s="925"/>
      <c r="L28" s="926"/>
    </row>
    <row r="29" spans="2:14" ht="17.399999999999999" x14ac:dyDescent="0.25">
      <c r="B29" s="927" t="s">
        <v>967</v>
      </c>
      <c r="C29" s="928" t="str">
        <f>J13&amp;" PCr/PCo + "&amp;J17&amp;" DIr/DIo + "&amp;J19&amp;" AE2r/AE2o+ "&amp;J25&amp;" Jr/Jo + "&amp;J27&amp;" GUr/GUo"</f>
        <v>0.176 PCr/PCo + 0.1 DIr/DIo + 0.191 AE2r/AE2o+ 0.417 Jr/Jo + 0.116 GUr/GUo</v>
      </c>
      <c r="D29" s="929"/>
      <c r="E29" s="929"/>
      <c r="G29" s="867"/>
      <c r="H29" s="867"/>
      <c r="I29" s="930"/>
      <c r="J29" s="931"/>
    </row>
    <row r="30" spans="2:14" ht="13.8" thickBot="1" x14ac:dyDescent="0.3">
      <c r="B30" s="932"/>
      <c r="C30" s="933"/>
      <c r="D30" s="933"/>
      <c r="E30" s="933"/>
      <c r="F30" s="933"/>
      <c r="G30" s="933"/>
      <c r="H30" s="933"/>
      <c r="I30" s="933"/>
      <c r="J30" s="934"/>
    </row>
    <row r="31" spans="2:14" x14ac:dyDescent="0.25">
      <c r="B31" s="859"/>
      <c r="J31" s="860"/>
    </row>
    <row r="32" spans="2:14" x14ac:dyDescent="0.25">
      <c r="B32" s="859" t="s">
        <v>232</v>
      </c>
      <c r="J32" s="860"/>
    </row>
    <row r="33" spans="2:10" x14ac:dyDescent="0.25">
      <c r="B33" s="859"/>
      <c r="J33" s="860"/>
    </row>
    <row r="34" spans="2:10" ht="13.8" x14ac:dyDescent="0.25">
      <c r="B34" s="935" t="s">
        <v>968</v>
      </c>
      <c r="C34" s="936" t="s">
        <v>969</v>
      </c>
      <c r="J34" s="860"/>
    </row>
    <row r="35" spans="2:10" ht="13.8" x14ac:dyDescent="0.25">
      <c r="B35" s="935"/>
      <c r="C35" s="936" t="s">
        <v>970</v>
      </c>
      <c r="J35" s="860"/>
    </row>
    <row r="36" spans="2:10" ht="13.8" x14ac:dyDescent="0.25">
      <c r="B36" s="935"/>
      <c r="C36" s="936" t="s">
        <v>971</v>
      </c>
      <c r="J36" s="860"/>
    </row>
    <row r="37" spans="2:10" ht="13.8" x14ac:dyDescent="0.25">
      <c r="B37" s="935" t="s">
        <v>972</v>
      </c>
      <c r="C37" s="936" t="s">
        <v>973</v>
      </c>
      <c r="J37" s="860"/>
    </row>
    <row r="38" spans="2:10" ht="13.8" x14ac:dyDescent="0.25">
      <c r="B38" s="935"/>
      <c r="C38" s="936" t="s">
        <v>974</v>
      </c>
      <c r="J38" s="860"/>
    </row>
    <row r="39" spans="2:10" ht="14.4" thickBot="1" x14ac:dyDescent="0.3">
      <c r="B39" s="937" t="s">
        <v>975</v>
      </c>
      <c r="C39" s="938" t="s">
        <v>976</v>
      </c>
      <c r="D39" s="933"/>
      <c r="E39" s="933"/>
      <c r="F39" s="933"/>
      <c r="G39" s="933"/>
      <c r="H39" s="933"/>
      <c r="I39" s="933"/>
      <c r="J39" s="934"/>
    </row>
    <row r="41" spans="2:10" x14ac:dyDescent="0.25">
      <c r="G41" s="939"/>
      <c r="H41" s="940"/>
      <c r="I41" s="940"/>
      <c r="J41" s="940"/>
    </row>
    <row r="42" spans="2:10" x14ac:dyDescent="0.25">
      <c r="G42" s="941"/>
    </row>
    <row r="43" spans="2:10" x14ac:dyDescent="0.25">
      <c r="G43" s="942"/>
    </row>
    <row r="44" spans="2:10" x14ac:dyDescent="0.25">
      <c r="G44" s="941"/>
    </row>
    <row r="45" spans="2:10" x14ac:dyDescent="0.25">
      <c r="G45" s="941"/>
      <c r="H45" s="943"/>
      <c r="I45" s="943"/>
      <c r="J45" s="943"/>
    </row>
    <row r="46" spans="2:10" x14ac:dyDescent="0.25">
      <c r="H46" s="944" t="str">
        <f>+IF(SUM(H13:H27)=1,"OK","X")</f>
        <v>OK</v>
      </c>
      <c r="I46" s="944" t="str">
        <f>+IF(SUM(I13:I27)=5,"OK","X")</f>
        <v>OK</v>
      </c>
      <c r="J46" s="944" t="str">
        <f t="shared" ref="J46" si="3">+IF(SUM(J13:J27)=1,"OK","X")</f>
        <v>OK</v>
      </c>
    </row>
    <row r="47" spans="2:10" x14ac:dyDescent="0.25">
      <c r="H47" s="945"/>
      <c r="I47" s="945"/>
      <c r="J47" s="945"/>
    </row>
  </sheetData>
  <mergeCells count="5">
    <mergeCell ref="C7:J7"/>
    <mergeCell ref="F13:F16"/>
    <mergeCell ref="F17:F18"/>
    <mergeCell ref="F19:F24"/>
    <mergeCell ref="F25:F26"/>
  </mergeCells>
  <printOptions horizontalCentered="1" verticalCentered="1"/>
  <pageMargins left="0.39370078740157483" right="0.39370078740157483" top="0" bottom="0" header="0" footer="0"/>
  <pageSetup paperSize="9" scale="6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B2E4-5966-459A-B8E2-EC7D77C3F5A9}">
  <sheetPr codeName="Hoja7"/>
  <dimension ref="B1:Q25"/>
  <sheetViews>
    <sheetView showGridLines="0" view="pageBreakPreview" zoomScale="85" zoomScaleNormal="100" zoomScaleSheetLayoutView="85" workbookViewId="0">
      <selection activeCell="G8" sqref="G8"/>
    </sheetView>
  </sheetViews>
  <sheetFormatPr baseColWidth="10" defaultColWidth="11.44140625" defaultRowHeight="13.2" x14ac:dyDescent="0.25"/>
  <cols>
    <col min="1" max="1" width="1.88671875" style="3" customWidth="1"/>
    <col min="2" max="2" width="11.33203125" style="7" customWidth="1"/>
    <col min="3" max="3" width="2.5546875" style="7" customWidth="1"/>
    <col min="4" max="4" width="6.109375" style="7" customWidth="1"/>
    <col min="5" max="5" width="7.44140625" style="7" customWidth="1"/>
    <col min="6" max="6" width="35.88671875" style="7" customWidth="1"/>
    <col min="7" max="8" width="19.44140625" style="7" customWidth="1"/>
    <col min="9" max="12" width="15.88671875" style="7" hidden="1" customWidth="1"/>
    <col min="13" max="14" width="11.88671875" style="3" customWidth="1"/>
    <col min="15" max="16384" width="11.44140625" style="3"/>
  </cols>
  <sheetData>
    <row r="1" spans="2:17" ht="8.25" customHeight="1" x14ac:dyDescent="0.25">
      <c r="B1" s="5"/>
      <c r="C1" s="6"/>
      <c r="D1" s="6"/>
      <c r="E1" s="6"/>
      <c r="F1" s="6"/>
      <c r="G1" s="6"/>
      <c r="H1" s="6"/>
      <c r="I1" s="6"/>
      <c r="J1" s="6"/>
      <c r="K1" s="6"/>
    </row>
    <row r="2" spans="2:17" ht="15" customHeight="1" x14ac:dyDescent="0.25">
      <c r="B2" s="728" t="s">
        <v>1026</v>
      </c>
      <c r="C2" s="8"/>
      <c r="D2" s="8"/>
      <c r="E2" s="8"/>
      <c r="F2" s="8"/>
      <c r="G2" s="8"/>
      <c r="H2" s="8"/>
      <c r="I2" s="8"/>
      <c r="J2" s="8"/>
      <c r="K2" s="8"/>
      <c r="L2" s="727"/>
    </row>
    <row r="3" spans="2:17" ht="12" customHeight="1" x14ac:dyDescent="0.25">
      <c r="B3" s="726"/>
      <c r="C3" s="8"/>
      <c r="D3" s="8"/>
      <c r="E3" s="8"/>
      <c r="F3" s="8"/>
      <c r="G3" s="8"/>
      <c r="H3" s="8"/>
      <c r="I3" s="8"/>
      <c r="J3" s="8"/>
      <c r="K3" s="8"/>
    </row>
    <row r="4" spans="2:17" ht="42.75" customHeight="1" x14ac:dyDescent="0.25">
      <c r="B4" s="1221" t="s">
        <v>298</v>
      </c>
      <c r="C4" s="1221"/>
      <c r="D4" s="1221"/>
      <c r="E4" s="1221"/>
      <c r="F4" s="1221"/>
      <c r="G4" s="1221"/>
      <c r="H4" s="1221"/>
      <c r="I4" s="1221"/>
      <c r="J4" s="1221"/>
      <c r="K4" s="1221"/>
      <c r="L4" s="1221"/>
    </row>
    <row r="5" spans="2:17" ht="15" customHeight="1" x14ac:dyDescent="0.25">
      <c r="B5" s="725"/>
      <c r="C5" s="9"/>
      <c r="D5" s="9"/>
      <c r="E5" s="9"/>
      <c r="F5" s="9"/>
      <c r="G5" s="9"/>
      <c r="H5" s="9"/>
      <c r="I5" s="9"/>
      <c r="J5" s="9"/>
      <c r="K5" s="9"/>
    </row>
    <row r="6" spans="2:17" ht="18" customHeight="1" x14ac:dyDescent="0.25">
      <c r="B6" s="724" t="s">
        <v>0</v>
      </c>
      <c r="C6" s="10" t="s">
        <v>1</v>
      </c>
      <c r="D6" s="11" t="s">
        <v>299</v>
      </c>
      <c r="E6" s="11"/>
      <c r="G6" s="11"/>
      <c r="H6" s="11"/>
      <c r="I6" s="11"/>
      <c r="J6" s="11"/>
      <c r="K6" s="11"/>
    </row>
    <row r="7" spans="2:17" ht="18" customHeight="1" x14ac:dyDescent="0.25">
      <c r="B7" s="13" t="s">
        <v>616</v>
      </c>
      <c r="C7" s="12" t="s">
        <v>1</v>
      </c>
      <c r="D7" s="13" t="s">
        <v>36</v>
      </c>
      <c r="E7" s="13"/>
      <c r="G7" s="13"/>
      <c r="H7" s="779" t="s">
        <v>300</v>
      </c>
      <c r="I7" s="13"/>
      <c r="J7" s="13"/>
      <c r="K7" s="13"/>
    </row>
    <row r="8" spans="2:17" ht="18" customHeight="1" x14ac:dyDescent="0.25">
      <c r="B8" s="723"/>
      <c r="C8" s="722"/>
      <c r="D8" s="721"/>
      <c r="E8" s="721"/>
      <c r="F8" s="721"/>
      <c r="G8" s="721"/>
      <c r="H8" s="1130" t="s">
        <v>83</v>
      </c>
      <c r="I8" s="721"/>
      <c r="J8" s="721"/>
      <c r="K8" s="721"/>
      <c r="L8" s="1129"/>
    </row>
    <row r="9" spans="2:17" ht="20.25" customHeight="1" x14ac:dyDescent="0.25">
      <c r="B9" s="1222" t="s">
        <v>3</v>
      </c>
      <c r="C9" s="1224" t="s">
        <v>84</v>
      </c>
      <c r="D9" s="1225"/>
      <c r="E9" s="1225"/>
      <c r="F9" s="1226"/>
      <c r="G9" s="1189" t="s">
        <v>106</v>
      </c>
      <c r="H9" s="1189" t="s">
        <v>436</v>
      </c>
      <c r="I9" s="1199" t="s">
        <v>433</v>
      </c>
      <c r="J9" s="1200"/>
      <c r="K9" s="1201" t="s">
        <v>294</v>
      </c>
      <c r="L9" s="1201"/>
    </row>
    <row r="10" spans="2:17" ht="33" customHeight="1" x14ac:dyDescent="0.25">
      <c r="B10" s="1223"/>
      <c r="C10" s="1227"/>
      <c r="D10" s="1228"/>
      <c r="E10" s="1228"/>
      <c r="F10" s="1229"/>
      <c r="G10" s="1190"/>
      <c r="H10" s="1190"/>
      <c r="I10" s="691" t="s">
        <v>114</v>
      </c>
      <c r="J10" s="691" t="s">
        <v>434</v>
      </c>
      <c r="K10" s="675" t="s">
        <v>297</v>
      </c>
      <c r="L10" s="675" t="s">
        <v>115</v>
      </c>
    </row>
    <row r="11" spans="2:17" ht="21.75" customHeight="1" x14ac:dyDescent="0.25">
      <c r="B11" s="661"/>
      <c r="C11" s="665"/>
      <c r="D11" s="666"/>
      <c r="E11" s="666"/>
      <c r="F11" s="667"/>
      <c r="G11" s="674"/>
      <c r="H11" s="674"/>
      <c r="I11" s="674"/>
      <c r="J11" s="674"/>
      <c r="K11" s="674"/>
      <c r="L11" s="674"/>
    </row>
    <row r="12" spans="2:17" ht="21.75" customHeight="1" x14ac:dyDescent="0.25">
      <c r="B12" s="662" t="s">
        <v>86</v>
      </c>
      <c r="C12" s="668"/>
      <c r="D12" s="669" t="s">
        <v>99</v>
      </c>
      <c r="E12" s="669"/>
      <c r="F12" s="670"/>
      <c r="G12" s="663">
        <f>+'Mtdo-Ppto RP'!K136</f>
        <v>202256.75</v>
      </c>
      <c r="H12" s="663">
        <f>+'Mtdo-Ppto RP'!M136</f>
        <v>223205.59</v>
      </c>
      <c r="I12" s="663">
        <f>+'Mtdo-Ppto RP'!O136</f>
        <v>17268.84</v>
      </c>
      <c r="J12" s="663">
        <f>+'Mtdo-Ppto RP'!Q136</f>
        <v>55879.659999999996</v>
      </c>
      <c r="K12" s="663">
        <f>+'Mtdo-Ppto RP'!S136</f>
        <v>52199.659999999996</v>
      </c>
      <c r="L12" s="663">
        <f>+'Mtdo-Ppto RP'!U136</f>
        <v>29858.15</v>
      </c>
      <c r="M12" s="17"/>
      <c r="N12" s="18"/>
      <c r="P12" s="16"/>
      <c r="Q12" s="17"/>
    </row>
    <row r="13" spans="2:17" ht="21.75" customHeight="1" x14ac:dyDescent="0.25">
      <c r="B13" s="662" t="s">
        <v>88</v>
      </c>
      <c r="C13" s="671"/>
      <c r="D13" s="15" t="s">
        <v>89</v>
      </c>
      <c r="E13" s="15"/>
      <c r="F13" s="672"/>
      <c r="G13" s="663">
        <f>+'Mtdo-Ppto RP'!K235</f>
        <v>85459.51999999999</v>
      </c>
      <c r="H13" s="663">
        <f>+'Mtdo-Ppto RP'!M235</f>
        <v>84855.489999999991</v>
      </c>
      <c r="I13" s="663">
        <f>+'Mtdo-Ppto RP'!O235</f>
        <v>13835.11</v>
      </c>
      <c r="J13" s="663">
        <f>+'Mtdo-Ppto RP'!Q235</f>
        <v>4104.22</v>
      </c>
      <c r="K13" s="663">
        <f>+'Mtdo-Ppto RP'!S235</f>
        <v>18543.39</v>
      </c>
      <c r="L13" s="663">
        <f>+'Mtdo-Ppto RP'!U235</f>
        <v>8920.98</v>
      </c>
      <c r="M13" s="17"/>
      <c r="N13" s="18"/>
      <c r="P13" s="16"/>
      <c r="Q13" s="17"/>
    </row>
    <row r="14" spans="2:17" ht="21.75" customHeight="1" x14ac:dyDescent="0.25">
      <c r="B14" s="662" t="s">
        <v>90</v>
      </c>
      <c r="C14" s="671"/>
      <c r="D14" s="15" t="s">
        <v>100</v>
      </c>
      <c r="E14" s="15"/>
      <c r="F14" s="672"/>
      <c r="G14" s="663">
        <f>+'Mtdo-Ppto RP'!K356</f>
        <v>16212.189999999999</v>
      </c>
      <c r="H14" s="663">
        <f>+'Mtdo-Ppto RP'!M356</f>
        <v>19115.259999999998</v>
      </c>
      <c r="I14" s="663">
        <f>+'Mtdo-Ppto RP'!O356</f>
        <v>2169.3000000000002</v>
      </c>
      <c r="J14" s="663">
        <f>+'Mtdo-Ppto RP'!Q356</f>
        <v>4146.01</v>
      </c>
      <c r="K14" s="663">
        <f>+'Mtdo-Ppto RP'!S356</f>
        <v>3412.24</v>
      </c>
      <c r="L14" s="663">
        <f>+'Mtdo-Ppto RP'!U356</f>
        <v>2082.23</v>
      </c>
      <c r="M14" s="17"/>
      <c r="N14" s="18"/>
      <c r="P14" s="16"/>
      <c r="Q14" s="17"/>
    </row>
    <row r="15" spans="2:17" s="689" customFormat="1" ht="36.75" customHeight="1" x14ac:dyDescent="0.25">
      <c r="B15" s="686" t="s">
        <v>92</v>
      </c>
      <c r="C15" s="676"/>
      <c r="D15" s="677" t="s">
        <v>101</v>
      </c>
      <c r="E15" s="677"/>
      <c r="F15" s="678"/>
      <c r="G15" s="679">
        <f t="shared" ref="G15:L15" si="0">+SUM(G12:G14)</f>
        <v>303928.46000000002</v>
      </c>
      <c r="H15" s="679">
        <f t="shared" si="0"/>
        <v>327176.33999999997</v>
      </c>
      <c r="I15" s="679">
        <f t="shared" si="0"/>
        <v>33273.25</v>
      </c>
      <c r="J15" s="679">
        <f t="shared" si="0"/>
        <v>64129.89</v>
      </c>
      <c r="K15" s="679">
        <f t="shared" si="0"/>
        <v>74155.289999999994</v>
      </c>
      <c r="L15" s="679">
        <f t="shared" si="0"/>
        <v>40861.360000000008</v>
      </c>
      <c r="M15" s="688"/>
      <c r="N15" s="594"/>
      <c r="P15" s="690"/>
      <c r="Q15" s="688"/>
    </row>
    <row r="16" spans="2:17" ht="24.75" customHeight="1" x14ac:dyDescent="0.25">
      <c r="B16" s="664" t="s">
        <v>94</v>
      </c>
      <c r="C16" s="665"/>
      <c r="D16" s="680" t="s">
        <v>807</v>
      </c>
      <c r="E16" s="680"/>
      <c r="F16" s="673"/>
      <c r="G16" s="663">
        <f t="shared" ref="G16:L16" si="1">ROUND(G15*10.12%,2)</f>
        <v>30757.56</v>
      </c>
      <c r="H16" s="663">
        <f t="shared" si="1"/>
        <v>33110.25</v>
      </c>
      <c r="I16" s="663">
        <f t="shared" si="1"/>
        <v>3367.25</v>
      </c>
      <c r="J16" s="663">
        <f t="shared" si="1"/>
        <v>6489.94</v>
      </c>
      <c r="K16" s="663">
        <f t="shared" si="1"/>
        <v>7504.52</v>
      </c>
      <c r="L16" s="663">
        <f t="shared" si="1"/>
        <v>4135.17</v>
      </c>
      <c r="M16" s="17"/>
      <c r="N16" s="19"/>
      <c r="P16" s="16"/>
      <c r="Q16" s="17"/>
    </row>
    <row r="17" spans="2:17" ht="24.75" customHeight="1" x14ac:dyDescent="0.25">
      <c r="B17" s="664" t="s">
        <v>95</v>
      </c>
      <c r="C17" s="665"/>
      <c r="D17" s="14" t="s">
        <v>808</v>
      </c>
      <c r="E17" s="14"/>
      <c r="F17" s="673"/>
      <c r="G17" s="663">
        <f t="shared" ref="G17:L17" si="2">ROUND(G15*3%,2)</f>
        <v>9117.85</v>
      </c>
      <c r="H17" s="663">
        <f t="shared" si="2"/>
        <v>9815.2900000000009</v>
      </c>
      <c r="I17" s="663">
        <f t="shared" si="2"/>
        <v>998.2</v>
      </c>
      <c r="J17" s="663">
        <f t="shared" si="2"/>
        <v>1923.9</v>
      </c>
      <c r="K17" s="663">
        <f t="shared" si="2"/>
        <v>2224.66</v>
      </c>
      <c r="L17" s="663">
        <f t="shared" si="2"/>
        <v>1225.8399999999999</v>
      </c>
      <c r="M17" s="17"/>
      <c r="N17" s="19"/>
      <c r="P17" s="16"/>
      <c r="Q17" s="17"/>
    </row>
    <row r="18" spans="2:17" s="689" customFormat="1" ht="36.75" customHeight="1" x14ac:dyDescent="0.25">
      <c r="B18" s="686" t="s">
        <v>113</v>
      </c>
      <c r="C18" s="676"/>
      <c r="D18" s="677" t="s">
        <v>102</v>
      </c>
      <c r="E18" s="677"/>
      <c r="F18" s="678"/>
      <c r="G18" s="687">
        <f t="shared" ref="G18:L18" si="3">G17+G16+G15</f>
        <v>343803.87</v>
      </c>
      <c r="H18" s="687">
        <f t="shared" si="3"/>
        <v>370101.87999999995</v>
      </c>
      <c r="I18" s="687">
        <f t="shared" si="3"/>
        <v>37638.699999999997</v>
      </c>
      <c r="J18" s="687">
        <f t="shared" si="3"/>
        <v>72543.73</v>
      </c>
      <c r="K18" s="687">
        <f t="shared" si="3"/>
        <v>83884.47</v>
      </c>
      <c r="L18" s="687">
        <f t="shared" si="3"/>
        <v>46222.37000000001</v>
      </c>
      <c r="M18" s="690">
        <f>+H18-G18</f>
        <v>26298.009999999951</v>
      </c>
      <c r="N18" s="594"/>
      <c r="P18" s="690"/>
      <c r="Q18" s="688"/>
    </row>
    <row r="19" spans="2:17" s="689" customFormat="1" ht="6.75" customHeight="1" x14ac:dyDescent="0.25">
      <c r="B19" s="1137"/>
      <c r="C19" s="1138"/>
      <c r="D19" s="677"/>
      <c r="E19" s="677"/>
      <c r="F19" s="677"/>
      <c r="G19" s="1139"/>
      <c r="H19" s="1139"/>
      <c r="I19" s="1136"/>
      <c r="J19" s="1135"/>
      <c r="K19" s="1135"/>
      <c r="L19" s="1135"/>
      <c r="M19" s="690"/>
      <c r="N19" s="594"/>
      <c r="P19" s="690"/>
      <c r="Q19" s="688"/>
    </row>
    <row r="20" spans="2:17" ht="38.25" customHeight="1" x14ac:dyDescent="0.25">
      <c r="B20" s="681"/>
      <c r="C20" s="682"/>
      <c r="D20" s="683" t="s">
        <v>112</v>
      </c>
      <c r="E20" s="683"/>
      <c r="F20" s="684"/>
      <c r="G20" s="685">
        <f>+G18/G18</f>
        <v>1</v>
      </c>
      <c r="H20" s="685">
        <f>+H18/$G$18</f>
        <v>1.0764913146556494</v>
      </c>
      <c r="I20" s="685">
        <f>+I18/$G$18</f>
        <v>0.10947724352259326</v>
      </c>
      <c r="J20" s="685">
        <f t="shared" ref="J20" si="4">+J18/$G$18</f>
        <v>0.21100323856156708</v>
      </c>
      <c r="K20" s="685">
        <f>+K18/$G$18</f>
        <v>0.24398931286026537</v>
      </c>
      <c r="L20" s="685">
        <f>+L18/$G$18</f>
        <v>0.13444400727659062</v>
      </c>
      <c r="M20" s="17"/>
    </row>
    <row r="21" spans="2:17" x14ac:dyDescent="0.25">
      <c r="L21" s="20"/>
    </row>
    <row r="22" spans="2:17" ht="13.8" x14ac:dyDescent="0.25">
      <c r="H22" s="63">
        <f>+H18-I18+K18-J18</f>
        <v>343803.91999999993</v>
      </c>
      <c r="I22" s="63"/>
      <c r="J22" s="63"/>
      <c r="K22" s="20">
        <f>+G12-H12+I12+J12-K12</f>
        <v>0</v>
      </c>
    </row>
    <row r="23" spans="2:17" ht="13.8" x14ac:dyDescent="0.25">
      <c r="H23" s="63">
        <f>+G18-H22</f>
        <v>-4.9999999930150807E-2</v>
      </c>
      <c r="I23" s="63"/>
      <c r="J23" s="63"/>
      <c r="K23" s="20">
        <f>+G13-H13+I13+J13-K13</f>
        <v>-2.9999999998835847E-2</v>
      </c>
    </row>
    <row r="24" spans="2:17" x14ac:dyDescent="0.25">
      <c r="K24" s="20">
        <f>+G14-H14+I14+J14-K14</f>
        <v>0</v>
      </c>
    </row>
    <row r="25" spans="2:17" x14ac:dyDescent="0.25">
      <c r="K25" s="20">
        <f>+G15-H15+I15+J15-K15</f>
        <v>-2.9999999940628186E-2</v>
      </c>
    </row>
  </sheetData>
  <mergeCells count="7">
    <mergeCell ref="B4:L4"/>
    <mergeCell ref="B9:B10"/>
    <mergeCell ref="C9:F10"/>
    <mergeCell ref="G9:G10"/>
    <mergeCell ref="H9:H10"/>
    <mergeCell ref="I9:J9"/>
    <mergeCell ref="K9:L9"/>
  </mergeCells>
  <printOptions horizontalCentered="1" verticalCentered="1"/>
  <pageMargins left="0" right="0" top="0" bottom="0" header="0" footer="0"/>
  <pageSetup paperSize="9" scale="75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5F98-4133-47D8-BC36-CD19C6837FD7}">
  <sheetPr codeName="Hoja8"/>
  <dimension ref="B1:AA358"/>
  <sheetViews>
    <sheetView showGridLines="0" view="pageBreakPreview" topLeftCell="A336" zoomScale="80" zoomScaleNormal="100" zoomScaleSheetLayoutView="80" workbookViewId="0">
      <selection activeCell="G98" sqref="G98"/>
    </sheetView>
  </sheetViews>
  <sheetFormatPr baseColWidth="10" defaultColWidth="11.44140625" defaultRowHeight="13.8" x14ac:dyDescent="0.25"/>
  <cols>
    <col min="1" max="1" width="4.44140625" style="414" customWidth="1"/>
    <col min="2" max="2" width="9.33203125" style="414" customWidth="1"/>
    <col min="3" max="3" width="3.88671875" style="414" hidden="1" customWidth="1"/>
    <col min="4" max="4" width="10.88671875" style="414" customWidth="1"/>
    <col min="5" max="5" width="3.109375" style="415" customWidth="1"/>
    <col min="6" max="6" width="74.6640625" style="414" customWidth="1"/>
    <col min="7" max="7" width="8.6640625" style="414" customWidth="1"/>
    <col min="8" max="8" width="12.33203125" style="414" customWidth="1"/>
    <col min="9" max="9" width="13.109375" style="414" customWidth="1"/>
    <col min="10" max="10" width="13.88671875" style="416" customWidth="1"/>
    <col min="11" max="11" width="17.44140625" style="417" customWidth="1"/>
    <col min="12" max="12" width="13.88671875" style="414" customWidth="1"/>
    <col min="13" max="13" width="17.44140625" style="414" customWidth="1"/>
    <col min="14" max="14" width="13.88671875" style="414" hidden="1" customWidth="1"/>
    <col min="15" max="15" width="17.44140625" style="414" hidden="1" customWidth="1"/>
    <col min="16" max="16" width="13.88671875" style="414" hidden="1" customWidth="1"/>
    <col min="17" max="17" width="17.44140625" style="414" hidden="1" customWidth="1"/>
    <col min="18" max="18" width="13.88671875" style="414" hidden="1" customWidth="1"/>
    <col min="19" max="19" width="17.44140625" style="414" hidden="1" customWidth="1"/>
    <col min="20" max="20" width="13.88671875" style="414" hidden="1" customWidth="1"/>
    <col min="21" max="21" width="17.44140625" style="414" hidden="1" customWidth="1"/>
    <col min="22" max="22" width="34.33203125" style="414" hidden="1" customWidth="1"/>
    <col min="23" max="23" width="12.88671875" style="414" customWidth="1"/>
    <col min="24" max="16384" width="11.44140625" style="414"/>
  </cols>
  <sheetData>
    <row r="1" spans="2:22" hidden="1" x14ac:dyDescent="0.25"/>
    <row r="2" spans="2:22" ht="15" hidden="1" customHeight="1" x14ac:dyDescent="0.25"/>
    <row r="3" spans="2:22" ht="15" hidden="1" customHeight="1" x14ac:dyDescent="0.25"/>
    <row r="4" spans="2:22" ht="15" hidden="1" customHeight="1" x14ac:dyDescent="0.25"/>
    <row r="5" spans="2:22" hidden="1" x14ac:dyDescent="0.25"/>
    <row r="6" spans="2:22" ht="20.25" customHeight="1" x14ac:dyDescent="0.25">
      <c r="B6" s="1230" t="s">
        <v>1027</v>
      </c>
      <c r="C6" s="1230"/>
      <c r="D6" s="1230"/>
      <c r="E6" s="1230"/>
      <c r="F6" s="1230"/>
      <c r="G6" s="1230"/>
      <c r="H6" s="1230"/>
      <c r="I6" s="1230"/>
      <c r="J6" s="1230"/>
      <c r="K6" s="1230"/>
      <c r="L6" s="1230"/>
      <c r="M6" s="1230"/>
      <c r="N6" s="1230"/>
      <c r="O6" s="1230"/>
      <c r="P6" s="1230"/>
      <c r="Q6" s="1230"/>
      <c r="R6" s="1230"/>
      <c r="S6" s="1230"/>
      <c r="T6" s="1230"/>
      <c r="U6" s="1230"/>
      <c r="V6" s="1230"/>
    </row>
    <row r="7" spans="2:22" ht="17.25" customHeight="1" x14ac:dyDescent="0.25">
      <c r="B7" s="1230"/>
      <c r="C7" s="1230"/>
      <c r="D7" s="1230"/>
      <c r="E7" s="1230"/>
      <c r="F7" s="1230"/>
      <c r="G7" s="1230"/>
      <c r="H7" s="1230"/>
      <c r="I7" s="1230"/>
      <c r="J7" s="1230"/>
      <c r="K7" s="1230"/>
      <c r="L7" s="1230"/>
      <c r="M7" s="1230"/>
      <c r="N7" s="1230"/>
      <c r="O7" s="1230"/>
      <c r="P7" s="1230"/>
      <c r="Q7" s="1230"/>
      <c r="R7" s="1230"/>
      <c r="S7" s="1230"/>
      <c r="T7" s="1230"/>
      <c r="U7" s="1230"/>
      <c r="V7" s="1230"/>
    </row>
    <row r="8" spans="2:22" s="418" customFormat="1" ht="33.75" customHeight="1" x14ac:dyDescent="0.25">
      <c r="B8" s="419" t="s">
        <v>111</v>
      </c>
      <c r="C8" s="420"/>
      <c r="D8" s="420"/>
      <c r="E8" s="421" t="s">
        <v>1</v>
      </c>
      <c r="F8" s="1249" t="s">
        <v>298</v>
      </c>
      <c r="G8" s="1249"/>
      <c r="H8" s="1249"/>
      <c r="I8" s="1249"/>
      <c r="J8" s="1249"/>
      <c r="K8" s="1249"/>
      <c r="L8" s="1249"/>
      <c r="M8" s="1249"/>
      <c r="N8" s="1249"/>
      <c r="O8" s="1249"/>
      <c r="P8" s="1249"/>
      <c r="Q8" s="1249"/>
      <c r="R8" s="1249"/>
      <c r="S8" s="1249"/>
      <c r="T8" s="1249"/>
      <c r="U8" s="1249"/>
      <c r="V8" s="1249"/>
    </row>
    <row r="9" spans="2:22" s="418" customFormat="1" ht="24" customHeight="1" x14ac:dyDescent="0.25">
      <c r="B9" s="419" t="s">
        <v>103</v>
      </c>
      <c r="C9" s="25"/>
      <c r="D9" s="25"/>
      <c r="E9" s="421" t="s">
        <v>1</v>
      </c>
      <c r="F9" s="422" t="s">
        <v>299</v>
      </c>
      <c r="G9" s="420"/>
      <c r="H9" s="420"/>
      <c r="I9" s="420"/>
      <c r="J9" s="420"/>
      <c r="K9" s="420"/>
      <c r="L9" s="423"/>
      <c r="M9" s="423"/>
      <c r="N9" s="423"/>
      <c r="O9" s="423"/>
      <c r="P9" s="423"/>
      <c r="Q9" s="423"/>
      <c r="R9" s="420"/>
      <c r="S9" s="420"/>
      <c r="T9" s="420"/>
      <c r="U9" s="420"/>
      <c r="V9" s="420"/>
    </row>
    <row r="10" spans="2:22" s="418" customFormat="1" ht="24" customHeight="1" x14ac:dyDescent="0.25">
      <c r="B10" s="419" t="s">
        <v>616</v>
      </c>
      <c r="C10" s="424"/>
      <c r="D10" s="424"/>
      <c r="E10" s="425" t="s">
        <v>1</v>
      </c>
      <c r="F10" s="419" t="s">
        <v>36</v>
      </c>
      <c r="G10" s="426"/>
      <c r="H10" s="427"/>
      <c r="I10" s="427"/>
      <c r="J10" s="428"/>
      <c r="K10" s="428"/>
      <c r="L10" s="428"/>
      <c r="M10" s="428"/>
      <c r="N10" s="428"/>
      <c r="O10" s="428"/>
      <c r="P10" s="428"/>
      <c r="Q10" s="428"/>
      <c r="R10" s="420"/>
      <c r="S10" s="420"/>
      <c r="T10" s="420"/>
      <c r="U10" s="420"/>
      <c r="V10" s="420"/>
    </row>
    <row r="11" spans="2:22" ht="8.25" customHeight="1" x14ac:dyDescent="0.25">
      <c r="B11" s="430"/>
      <c r="C11" s="430"/>
      <c r="D11" s="430"/>
      <c r="E11" s="431"/>
      <c r="F11" s="430"/>
      <c r="G11" s="430"/>
      <c r="H11" s="430"/>
      <c r="I11" s="430"/>
      <c r="J11" s="432"/>
      <c r="K11" s="433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</row>
    <row r="12" spans="2:22" ht="20.25" customHeight="1" x14ac:dyDescent="0.25">
      <c r="B12" s="1235" t="s">
        <v>3</v>
      </c>
      <c r="C12" s="1235" t="s">
        <v>4</v>
      </c>
      <c r="D12" s="1235"/>
      <c r="E12" s="1235"/>
      <c r="F12" s="1235"/>
      <c r="G12" s="1265" t="s">
        <v>5</v>
      </c>
      <c r="H12" s="1233" t="s">
        <v>108</v>
      </c>
      <c r="I12" s="1233" t="s">
        <v>293</v>
      </c>
      <c r="J12" s="1238" t="s">
        <v>104</v>
      </c>
      <c r="K12" s="1240"/>
      <c r="L12" s="1238" t="s">
        <v>302</v>
      </c>
      <c r="M12" s="1240"/>
      <c r="N12" s="1238" t="s">
        <v>433</v>
      </c>
      <c r="O12" s="1239"/>
      <c r="P12" s="1239"/>
      <c r="Q12" s="1240"/>
      <c r="R12" s="1238" t="s">
        <v>294</v>
      </c>
      <c r="S12" s="1239"/>
      <c r="T12" s="1239"/>
      <c r="U12" s="1240"/>
      <c r="V12" s="1234" t="s">
        <v>287</v>
      </c>
    </row>
    <row r="13" spans="2:22" ht="22.5" customHeight="1" x14ac:dyDescent="0.25">
      <c r="B13" s="1235"/>
      <c r="C13" s="1235"/>
      <c r="D13" s="1235"/>
      <c r="E13" s="1235"/>
      <c r="F13" s="1235"/>
      <c r="G13" s="1265"/>
      <c r="H13" s="1233"/>
      <c r="I13" s="1233"/>
      <c r="J13" s="1245" t="s">
        <v>6</v>
      </c>
      <c r="K13" s="1234" t="s">
        <v>7</v>
      </c>
      <c r="L13" s="1245" t="s">
        <v>6</v>
      </c>
      <c r="M13" s="1234" t="s">
        <v>7</v>
      </c>
      <c r="N13" s="1238" t="s">
        <v>114</v>
      </c>
      <c r="O13" s="1240"/>
      <c r="P13" s="1241" t="s">
        <v>434</v>
      </c>
      <c r="Q13" s="1242"/>
      <c r="R13" s="1243" t="s">
        <v>435</v>
      </c>
      <c r="S13" s="1244"/>
      <c r="T13" s="1243" t="s">
        <v>295</v>
      </c>
      <c r="U13" s="1244"/>
      <c r="V13" s="1234"/>
    </row>
    <row r="14" spans="2:22" ht="20.25" customHeight="1" x14ac:dyDescent="0.25">
      <c r="B14" s="1235"/>
      <c r="C14" s="1235"/>
      <c r="D14" s="1235"/>
      <c r="E14" s="1235"/>
      <c r="F14" s="1235"/>
      <c r="G14" s="1265"/>
      <c r="H14" s="1233"/>
      <c r="I14" s="1233"/>
      <c r="J14" s="1245"/>
      <c r="K14" s="1234"/>
      <c r="L14" s="1245"/>
      <c r="M14" s="1234"/>
      <c r="N14" s="720" t="s">
        <v>6</v>
      </c>
      <c r="O14" s="719" t="s">
        <v>7</v>
      </c>
      <c r="P14" s="720" t="s">
        <v>6</v>
      </c>
      <c r="Q14" s="719" t="s">
        <v>7</v>
      </c>
      <c r="R14" s="720" t="s">
        <v>6</v>
      </c>
      <c r="S14" s="719" t="s">
        <v>7</v>
      </c>
      <c r="T14" s="720" t="s">
        <v>6</v>
      </c>
      <c r="U14" s="719" t="s">
        <v>7</v>
      </c>
      <c r="V14" s="1234"/>
    </row>
    <row r="15" spans="2:22" ht="20.25" customHeight="1" x14ac:dyDescent="0.25">
      <c r="B15" s="1235"/>
      <c r="C15" s="1235"/>
      <c r="D15" s="1235"/>
      <c r="E15" s="1235"/>
      <c r="F15" s="1235"/>
      <c r="G15" s="1265"/>
      <c r="H15" s="718" t="s">
        <v>9</v>
      </c>
      <c r="I15" s="718" t="s">
        <v>9</v>
      </c>
      <c r="J15" s="718" t="s">
        <v>8</v>
      </c>
      <c r="K15" s="718" t="s">
        <v>10</v>
      </c>
      <c r="L15" s="718" t="s">
        <v>8</v>
      </c>
      <c r="M15" s="718" t="s">
        <v>10</v>
      </c>
      <c r="N15" s="718" t="s">
        <v>8</v>
      </c>
      <c r="O15" s="718" t="s">
        <v>10</v>
      </c>
      <c r="P15" s="718" t="s">
        <v>8</v>
      </c>
      <c r="Q15" s="718" t="s">
        <v>10</v>
      </c>
      <c r="R15" s="718" t="s">
        <v>8</v>
      </c>
      <c r="S15" s="718" t="s">
        <v>10</v>
      </c>
      <c r="T15" s="718" t="s">
        <v>8</v>
      </c>
      <c r="U15" s="718" t="s">
        <v>10</v>
      </c>
      <c r="V15" s="1234"/>
    </row>
    <row r="16" spans="2:22" ht="21" customHeight="1" x14ac:dyDescent="0.25">
      <c r="B16" s="437" t="s">
        <v>86</v>
      </c>
      <c r="C16" s="479"/>
      <c r="D16" s="489" t="s">
        <v>99</v>
      </c>
      <c r="E16" s="490"/>
      <c r="F16" s="491"/>
      <c r="G16" s="529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</row>
    <row r="17" spans="2:27" ht="21" customHeight="1" x14ac:dyDescent="0.25">
      <c r="B17" s="552">
        <v>1</v>
      </c>
      <c r="C17" s="480">
        <v>3</v>
      </c>
      <c r="D17" s="740" t="s">
        <v>519</v>
      </c>
      <c r="E17" s="493"/>
      <c r="F17" s="494"/>
      <c r="G17" s="530"/>
      <c r="H17" s="553"/>
      <c r="I17" s="553"/>
      <c r="J17" s="553"/>
      <c r="K17" s="553"/>
      <c r="L17" s="553"/>
      <c r="M17" s="553"/>
      <c r="N17" s="741"/>
      <c r="O17" s="553"/>
      <c r="P17" s="553"/>
      <c r="Q17" s="553"/>
      <c r="R17" s="553"/>
      <c r="S17" s="553"/>
      <c r="T17" s="553"/>
      <c r="U17" s="553"/>
      <c r="V17" s="553"/>
    </row>
    <row r="18" spans="2:27" ht="21" customHeight="1" x14ac:dyDescent="0.25">
      <c r="B18" s="554">
        <f>+B17+0.01</f>
        <v>1.01</v>
      </c>
      <c r="C18" s="480">
        <f>+C17+1</f>
        <v>4</v>
      </c>
      <c r="D18" s="495" t="s">
        <v>518</v>
      </c>
      <c r="E18" s="496"/>
      <c r="F18" s="497"/>
      <c r="G18" s="530" t="s">
        <v>11</v>
      </c>
      <c r="H18" s="553">
        <v>105</v>
      </c>
      <c r="I18" s="553"/>
      <c r="J18" s="553">
        <v>13</v>
      </c>
      <c r="K18" s="553">
        <f>+ROUND($H18*J18,2)</f>
        <v>1365</v>
      </c>
      <c r="L18" s="553">
        <f>+[192]Metrado!E13</f>
        <v>10</v>
      </c>
      <c r="M18" s="553">
        <f>+ROUND($H18*L18,2)</f>
        <v>1050</v>
      </c>
      <c r="N18" s="553">
        <f>+IF($L18-$J18&gt;=0,$L18-$J18,0)</f>
        <v>0</v>
      </c>
      <c r="O18" s="553">
        <f>+ROUND($H18*N18,2)</f>
        <v>0</v>
      </c>
      <c r="P18" s="553"/>
      <c r="Q18" s="553">
        <f>+ROUND($H18*P18,2)</f>
        <v>0</v>
      </c>
      <c r="R18" s="553">
        <f>+IF($L18-$J18&lt;=0,-$L18+$J18,0)</f>
        <v>3</v>
      </c>
      <c r="S18" s="553">
        <f>+ROUND($H18*R18,2)</f>
        <v>315</v>
      </c>
      <c r="T18" s="553">
        <f>+R18</f>
        <v>3</v>
      </c>
      <c r="U18" s="553">
        <f>+ROUND($H18*T18,2)</f>
        <v>315</v>
      </c>
      <c r="V18" s="553" t="s">
        <v>868</v>
      </c>
      <c r="Y18" s="1147">
        <v>0</v>
      </c>
      <c r="AA18" s="1146"/>
    </row>
    <row r="19" spans="2:27" ht="21" customHeight="1" x14ac:dyDescent="0.25">
      <c r="B19" s="554">
        <f>+B18+0.01</f>
        <v>1.02</v>
      </c>
      <c r="C19" s="480">
        <f>+C18+1</f>
        <v>5</v>
      </c>
      <c r="D19" s="495" t="s">
        <v>348</v>
      </c>
      <c r="E19" s="496"/>
      <c r="F19" s="497"/>
      <c r="G19" s="530" t="s">
        <v>11</v>
      </c>
      <c r="H19" s="553">
        <v>27.35</v>
      </c>
      <c r="I19" s="553"/>
      <c r="J19" s="553">
        <v>2</v>
      </c>
      <c r="K19" s="553">
        <f t="shared" ref="K19:K61" si="0">+ROUND($H19*J19,2)</f>
        <v>54.7</v>
      </c>
      <c r="L19" s="553">
        <f>+[192]Metrado!E14</f>
        <v>0</v>
      </c>
      <c r="M19" s="553">
        <f t="shared" ref="M19:S19" si="1">+ROUND($H19*L19,2)</f>
        <v>0</v>
      </c>
      <c r="N19" s="553">
        <f>+IF($L19-$J19&gt;=0,$L19-$J19,0)</f>
        <v>0</v>
      </c>
      <c r="O19" s="553">
        <f t="shared" si="1"/>
        <v>0</v>
      </c>
      <c r="P19" s="553"/>
      <c r="Q19" s="553">
        <f t="shared" si="1"/>
        <v>0</v>
      </c>
      <c r="R19" s="553">
        <f>+IF($L19-$J19&lt;=0,-$L19+$J19,0)</f>
        <v>2</v>
      </c>
      <c r="S19" s="553">
        <f t="shared" si="1"/>
        <v>54.7</v>
      </c>
      <c r="T19" s="553"/>
      <c r="U19" s="553">
        <f t="shared" ref="U19" si="2">+ROUND($H19*T19,2)</f>
        <v>0</v>
      </c>
      <c r="V19" s="553"/>
      <c r="Y19" s="1147">
        <v>0</v>
      </c>
      <c r="AA19" s="1146"/>
    </row>
    <row r="20" spans="2:27" s="547" customFormat="1" ht="21" customHeight="1" x14ac:dyDescent="0.25">
      <c r="B20" s="572">
        <v>1.03</v>
      </c>
      <c r="C20" s="573">
        <f t="shared" ref="C20:C21" si="3">+C19+1</f>
        <v>6</v>
      </c>
      <c r="D20" s="501" t="s">
        <v>517</v>
      </c>
      <c r="E20" s="545"/>
      <c r="F20" s="546"/>
      <c r="G20" s="531" t="s">
        <v>11</v>
      </c>
      <c r="H20" s="560"/>
      <c r="I20" s="560">
        <f>+'Mtdo-Ppto LP'!H19</f>
        <v>178</v>
      </c>
      <c r="J20" s="560"/>
      <c r="K20" s="561">
        <f t="shared" si="0"/>
        <v>0</v>
      </c>
      <c r="L20" s="560">
        <f>+[192]Metrado!E15</f>
        <v>2</v>
      </c>
      <c r="M20" s="561">
        <f>+ROUND($I20*L20,2)</f>
        <v>356</v>
      </c>
      <c r="N20" s="561"/>
      <c r="O20" s="561">
        <f>+ROUND($H20*N20,2)</f>
        <v>0</v>
      </c>
      <c r="P20" s="561">
        <f>+L20</f>
        <v>2</v>
      </c>
      <c r="Q20" s="561">
        <f>+ROUND($I20*P20,2)</f>
        <v>356</v>
      </c>
      <c r="R20" s="560"/>
      <c r="S20" s="561">
        <f>+ROUND($H20*R20,2)</f>
        <v>0</v>
      </c>
      <c r="T20" s="560"/>
      <c r="U20" s="561">
        <f>+ROUND($H20*T20,2)</f>
        <v>0</v>
      </c>
      <c r="V20" s="560"/>
      <c r="Y20" s="1149">
        <v>0</v>
      </c>
      <c r="AA20" s="1146"/>
    </row>
    <row r="21" spans="2:27" s="547" customFormat="1" ht="21" customHeight="1" x14ac:dyDescent="0.25">
      <c r="B21" s="572">
        <v>1.04</v>
      </c>
      <c r="C21" s="575">
        <f t="shared" si="3"/>
        <v>7</v>
      </c>
      <c r="D21" s="501" t="s">
        <v>516</v>
      </c>
      <c r="E21" s="545"/>
      <c r="F21" s="546"/>
      <c r="G21" s="564" t="s">
        <v>11</v>
      </c>
      <c r="H21" s="633"/>
      <c r="I21" s="633">
        <f>+'Mtdo-Ppto LP'!H20</f>
        <v>205</v>
      </c>
      <c r="J21" s="633"/>
      <c r="K21" s="634">
        <f t="shared" si="0"/>
        <v>0</v>
      </c>
      <c r="L21" s="560">
        <f>+[192]Metrado!E16</f>
        <v>3</v>
      </c>
      <c r="M21" s="634">
        <f>+ROUND($I21*L21,2)</f>
        <v>615</v>
      </c>
      <c r="N21" s="634"/>
      <c r="O21" s="634">
        <f>+ROUND($H21*N21,2)</f>
        <v>0</v>
      </c>
      <c r="P21" s="634">
        <f>+L21</f>
        <v>3</v>
      </c>
      <c r="Q21" s="634">
        <f>+ROUND($I21*P21,2)</f>
        <v>615</v>
      </c>
      <c r="R21" s="633"/>
      <c r="S21" s="634">
        <f>+ROUND($H21*R21,2)</f>
        <v>0</v>
      </c>
      <c r="T21" s="633"/>
      <c r="U21" s="634">
        <f>+ROUND($H21*T21,2)</f>
        <v>0</v>
      </c>
      <c r="V21" s="633"/>
      <c r="Y21" s="1149">
        <v>0</v>
      </c>
      <c r="AA21" s="1146"/>
    </row>
    <row r="22" spans="2:27" ht="21" customHeight="1" x14ac:dyDescent="0.25">
      <c r="B22" s="448"/>
      <c r="C22" s="480">
        <f>+C19+1</f>
        <v>6</v>
      </c>
      <c r="D22" s="542"/>
      <c r="E22" s="571"/>
      <c r="F22" s="544" t="str">
        <f>+"SUB-TOTAL   "&amp;B17&amp;":  "</f>
        <v xml:space="preserve">SUB-TOTAL   1:  </v>
      </c>
      <c r="G22" s="567"/>
      <c r="H22" s="540"/>
      <c r="I22" s="540"/>
      <c r="J22" s="540"/>
      <c r="K22" s="716">
        <f>+SUM(K18:K21)</f>
        <v>1419.7</v>
      </c>
      <c r="L22" s="540"/>
      <c r="M22" s="716">
        <f>+SUM(M18:M21)</f>
        <v>2021</v>
      </c>
      <c r="N22" s="716"/>
      <c r="O22" s="716">
        <f>+SUM(O18:O21)</f>
        <v>0</v>
      </c>
      <c r="P22" s="716"/>
      <c r="Q22" s="716">
        <f>+SUM(Q18:Q21)</f>
        <v>971</v>
      </c>
      <c r="R22" s="589"/>
      <c r="S22" s="716">
        <f>+SUM(S18:S21)</f>
        <v>369.7</v>
      </c>
      <c r="T22" s="589"/>
      <c r="U22" s="716">
        <f>+SUM(U18:U21)</f>
        <v>315</v>
      </c>
      <c r="V22" s="589"/>
      <c r="W22" s="660">
        <f>+K22-M22+O22+Q22-S22</f>
        <v>0</v>
      </c>
      <c r="Y22" s="1147">
        <v>0</v>
      </c>
      <c r="AA22" s="1146"/>
    </row>
    <row r="23" spans="2:27" ht="21" customHeight="1" x14ac:dyDescent="0.25">
      <c r="B23" s="452">
        <f>1+B17</f>
        <v>2</v>
      </c>
      <c r="C23" s="481">
        <f t="shared" ref="C23:C59" si="4">+C22+1</f>
        <v>7</v>
      </c>
      <c r="D23" s="568" t="s">
        <v>515</v>
      </c>
      <c r="E23" s="569"/>
      <c r="F23" s="570"/>
      <c r="G23" s="549"/>
      <c r="H23" s="438"/>
      <c r="I23" s="438"/>
      <c r="J23" s="438"/>
      <c r="K23" s="454"/>
      <c r="L23" s="756"/>
      <c r="M23" s="454"/>
      <c r="N23" s="454"/>
      <c r="O23" s="454"/>
      <c r="P23" s="454"/>
      <c r="Q23" s="454"/>
      <c r="R23" s="438"/>
      <c r="S23" s="454"/>
      <c r="T23" s="438"/>
      <c r="U23" s="454"/>
      <c r="V23" s="438"/>
      <c r="Y23" s="1147">
        <v>0</v>
      </c>
      <c r="AA23" s="1146"/>
    </row>
    <row r="24" spans="2:27" ht="21" customHeight="1" x14ac:dyDescent="0.25">
      <c r="B24" s="554">
        <v>2.0099999999999998</v>
      </c>
      <c r="C24" s="480">
        <f>+C20+1</f>
        <v>7</v>
      </c>
      <c r="D24" s="495" t="s">
        <v>514</v>
      </c>
      <c r="E24" s="496"/>
      <c r="F24" s="497"/>
      <c r="G24" s="530" t="s">
        <v>11</v>
      </c>
      <c r="H24" s="553">
        <v>837.45</v>
      </c>
      <c r="I24" s="553"/>
      <c r="J24" s="553">
        <v>3</v>
      </c>
      <c r="K24" s="558">
        <f t="shared" ref="K24:K26" si="5">+ROUND($H24*J24,2)</f>
        <v>2512.35</v>
      </c>
      <c r="L24" s="553">
        <f>+[192]Metrado!E19</f>
        <v>1</v>
      </c>
      <c r="M24" s="558">
        <f t="shared" ref="M24:S27" si="6">+ROUND($H24*L24,2)</f>
        <v>837.45</v>
      </c>
      <c r="N24" s="558">
        <f>+IF($L24-$J24&gt;=0,$L24-$J24,0)</f>
        <v>0</v>
      </c>
      <c r="O24" s="558">
        <f t="shared" ref="O24:O26" si="7">+ROUND($H24*N24,2)</f>
        <v>0</v>
      </c>
      <c r="P24" s="558"/>
      <c r="Q24" s="558">
        <f t="shared" ref="Q24:Q26" si="8">+ROUND($H24*P24,2)</f>
        <v>0</v>
      </c>
      <c r="R24" s="553">
        <f>+IF($L24-$J24&lt;=0,-$L24+$J24,0)</f>
        <v>2</v>
      </c>
      <c r="S24" s="558">
        <f t="shared" ref="S24:S26" si="9">+ROUND($H24*R24,2)</f>
        <v>1674.9</v>
      </c>
      <c r="T24" s="553">
        <f>+R24</f>
        <v>2</v>
      </c>
      <c r="U24" s="558">
        <f t="shared" ref="U24:U27" si="10">+ROUND($H24*T24,2)</f>
        <v>1674.9</v>
      </c>
      <c r="V24" s="765" t="s">
        <v>869</v>
      </c>
      <c r="Y24" s="1147">
        <v>0</v>
      </c>
      <c r="AA24" s="1146"/>
    </row>
    <row r="25" spans="2:27" ht="21" customHeight="1" x14ac:dyDescent="0.25">
      <c r="B25" s="554">
        <v>2.0199999999999996</v>
      </c>
      <c r="C25" s="480">
        <f>+C21+1</f>
        <v>8</v>
      </c>
      <c r="D25" s="495" t="s">
        <v>513</v>
      </c>
      <c r="E25" s="496"/>
      <c r="F25" s="497"/>
      <c r="G25" s="530" t="s">
        <v>11</v>
      </c>
      <c r="H25" s="553">
        <v>923.47</v>
      </c>
      <c r="I25" s="553"/>
      <c r="J25" s="553">
        <v>11</v>
      </c>
      <c r="K25" s="558">
        <f t="shared" si="5"/>
        <v>10158.17</v>
      </c>
      <c r="L25" s="553">
        <f>+[192]Metrado!E20</f>
        <v>13</v>
      </c>
      <c r="M25" s="558">
        <f t="shared" si="6"/>
        <v>12005.11</v>
      </c>
      <c r="N25" s="558">
        <f>+IF($L25-$J25&gt;=0,$L25-$J25,0)</f>
        <v>2</v>
      </c>
      <c r="O25" s="558">
        <f t="shared" si="7"/>
        <v>1846.94</v>
      </c>
      <c r="P25" s="558"/>
      <c r="Q25" s="558">
        <f t="shared" si="8"/>
        <v>0</v>
      </c>
      <c r="R25" s="553">
        <f>+IF($L25-$J25&lt;=0,-$L25+$J25,0)</f>
        <v>0</v>
      </c>
      <c r="S25" s="558">
        <f t="shared" si="9"/>
        <v>0</v>
      </c>
      <c r="T25" s="553"/>
      <c r="U25" s="558">
        <f t="shared" si="10"/>
        <v>0</v>
      </c>
      <c r="V25" s="553"/>
      <c r="Y25" s="1147">
        <v>0</v>
      </c>
      <c r="AA25" s="1146"/>
    </row>
    <row r="26" spans="2:27" ht="21" customHeight="1" x14ac:dyDescent="0.25">
      <c r="B26" s="554">
        <v>2.0299999999999994</v>
      </c>
      <c r="C26" s="480">
        <f>+C22+1</f>
        <v>7</v>
      </c>
      <c r="D26" s="495" t="s">
        <v>512</v>
      </c>
      <c r="E26" s="496"/>
      <c r="F26" s="497"/>
      <c r="G26" s="530" t="s">
        <v>11</v>
      </c>
      <c r="H26" s="553">
        <v>1085.1400000000001</v>
      </c>
      <c r="I26" s="553"/>
      <c r="J26" s="553">
        <v>10</v>
      </c>
      <c r="K26" s="558">
        <f t="shared" si="5"/>
        <v>10851.4</v>
      </c>
      <c r="L26" s="553">
        <f>+[192]Metrado!E21</f>
        <v>11</v>
      </c>
      <c r="M26" s="558">
        <f t="shared" si="6"/>
        <v>11936.54</v>
      </c>
      <c r="N26" s="558">
        <f>+IF($L26-$J26&gt;=0,$L26-$J26,0)</f>
        <v>1</v>
      </c>
      <c r="O26" s="558">
        <f t="shared" si="7"/>
        <v>1085.1400000000001</v>
      </c>
      <c r="P26" s="558"/>
      <c r="Q26" s="558">
        <f t="shared" si="8"/>
        <v>0</v>
      </c>
      <c r="R26" s="553">
        <f>+IF($L26-$J26&lt;=0,-$L26+$J26,0)</f>
        <v>0</v>
      </c>
      <c r="S26" s="558">
        <f t="shared" si="9"/>
        <v>0</v>
      </c>
      <c r="T26" s="553"/>
      <c r="U26" s="558">
        <f t="shared" si="10"/>
        <v>0</v>
      </c>
      <c r="V26" s="553"/>
      <c r="Y26" s="1147">
        <v>0</v>
      </c>
      <c r="AA26" s="1146"/>
    </row>
    <row r="27" spans="2:27" ht="21" customHeight="1" x14ac:dyDescent="0.25">
      <c r="B27" s="554">
        <v>2.0399999999999991</v>
      </c>
      <c r="C27" s="480">
        <f>+C23+1</f>
        <v>8</v>
      </c>
      <c r="D27" s="495" t="s">
        <v>511</v>
      </c>
      <c r="E27" s="496"/>
      <c r="F27" s="497"/>
      <c r="G27" s="532" t="s">
        <v>11</v>
      </c>
      <c r="H27" s="553">
        <v>1207.94</v>
      </c>
      <c r="I27" s="553"/>
      <c r="J27" s="553">
        <v>10</v>
      </c>
      <c r="K27" s="558">
        <f t="shared" si="0"/>
        <v>12079.4</v>
      </c>
      <c r="L27" s="553">
        <f>+[192]Metrado!E22</f>
        <v>14</v>
      </c>
      <c r="M27" s="558">
        <f t="shared" si="6"/>
        <v>16911.16</v>
      </c>
      <c r="N27" s="558">
        <f>+IF($L27-$J27&gt;=0,$L27-$J27,0)</f>
        <v>4</v>
      </c>
      <c r="O27" s="558">
        <f t="shared" si="6"/>
        <v>4831.76</v>
      </c>
      <c r="P27" s="558"/>
      <c r="Q27" s="558">
        <f t="shared" si="6"/>
        <v>0</v>
      </c>
      <c r="R27" s="553">
        <f>+IF($L27-$J27&lt;=0,-$L27+$J27,0)</f>
        <v>0</v>
      </c>
      <c r="S27" s="558">
        <f t="shared" si="6"/>
        <v>0</v>
      </c>
      <c r="T27" s="553"/>
      <c r="U27" s="558">
        <f t="shared" si="10"/>
        <v>0</v>
      </c>
      <c r="V27" s="553"/>
      <c r="Y27" s="1147">
        <v>0</v>
      </c>
      <c r="AA27" s="1146"/>
    </row>
    <row r="28" spans="2:27" ht="21" customHeight="1" x14ac:dyDescent="0.25">
      <c r="B28" s="455"/>
      <c r="C28" s="480">
        <f>+C27+1</f>
        <v>9</v>
      </c>
      <c r="D28" s="542"/>
      <c r="E28" s="571"/>
      <c r="F28" s="544" t="str">
        <f>+"SUB-TOTAL   "&amp;B23&amp;":  "</f>
        <v xml:space="preserve">SUB-TOTAL   2:  </v>
      </c>
      <c r="G28" s="440"/>
      <c r="H28" s="540"/>
      <c r="I28" s="540"/>
      <c r="J28" s="540"/>
      <c r="K28" s="716">
        <f>+SUM(K24:K27)</f>
        <v>35601.32</v>
      </c>
      <c r="L28" s="540"/>
      <c r="M28" s="716">
        <f>+SUM(M24:M27)</f>
        <v>41690.26</v>
      </c>
      <c r="N28" s="716"/>
      <c r="O28" s="716">
        <f>+SUM(O24:O27)</f>
        <v>7763.84</v>
      </c>
      <c r="P28" s="716"/>
      <c r="Q28" s="716">
        <f>+SUM(Q24:Q27)</f>
        <v>0</v>
      </c>
      <c r="R28" s="589"/>
      <c r="S28" s="716">
        <f>+SUM(S24:S27)</f>
        <v>1674.9</v>
      </c>
      <c r="T28" s="589"/>
      <c r="U28" s="716">
        <f>+SUM(U24:U27)</f>
        <v>1674.9</v>
      </c>
      <c r="V28" s="589"/>
      <c r="W28" s="660">
        <f>+K28-M28+O28+Q28-S28</f>
        <v>-2.2737367544323206E-12</v>
      </c>
      <c r="Y28" s="1147">
        <v>0</v>
      </c>
      <c r="AA28" s="1146"/>
    </row>
    <row r="29" spans="2:27" ht="21" customHeight="1" x14ac:dyDescent="0.25">
      <c r="B29" s="452">
        <v>3</v>
      </c>
      <c r="C29" s="481">
        <f t="shared" si="4"/>
        <v>10</v>
      </c>
      <c r="D29" s="453" t="s">
        <v>296</v>
      </c>
      <c r="E29" s="742"/>
      <c r="F29" s="443"/>
      <c r="G29" s="549"/>
      <c r="H29" s="438"/>
      <c r="I29" s="438"/>
      <c r="J29" s="438"/>
      <c r="K29" s="454"/>
      <c r="L29" s="756"/>
      <c r="M29" s="454"/>
      <c r="N29" s="454"/>
      <c r="O29" s="454"/>
      <c r="P29" s="454"/>
      <c r="Q29" s="454"/>
      <c r="R29" s="438"/>
      <c r="S29" s="454"/>
      <c r="T29" s="438"/>
      <c r="U29" s="454"/>
      <c r="V29" s="438"/>
      <c r="Y29" s="1147">
        <v>0</v>
      </c>
      <c r="AA29" s="1146"/>
    </row>
    <row r="30" spans="2:27" ht="21" customHeight="1" x14ac:dyDescent="0.25">
      <c r="B30" s="554">
        <v>3.01</v>
      </c>
      <c r="C30" s="584" t="e">
        <f>+#REF!+1</f>
        <v>#REF!</v>
      </c>
      <c r="D30" s="495" t="s">
        <v>617</v>
      </c>
      <c r="E30" s="496"/>
      <c r="F30" s="497"/>
      <c r="G30" s="532" t="s">
        <v>11</v>
      </c>
      <c r="H30" s="565">
        <v>1864.52</v>
      </c>
      <c r="I30" s="565"/>
      <c r="J30" s="565">
        <v>2</v>
      </c>
      <c r="K30" s="566">
        <f t="shared" ref="K30" si="11">+ROUND($H30*J30,2)</f>
        <v>3729.04</v>
      </c>
      <c r="L30" s="553">
        <f>+[192]Metrado!E25</f>
        <v>0</v>
      </c>
      <c r="M30" s="566">
        <f t="shared" ref="M30" si="12">+ROUND($H30*L30,2)</f>
        <v>0</v>
      </c>
      <c r="N30" s="558">
        <f>+IF($L30-$J30&gt;=0,$L30-$J30,0)</f>
        <v>0</v>
      </c>
      <c r="O30" s="558">
        <f t="shared" ref="O30" si="13">+ROUND($H30*N30,2)</f>
        <v>0</v>
      </c>
      <c r="P30" s="558"/>
      <c r="Q30" s="558">
        <f t="shared" ref="Q30" si="14">+ROUND($H30*P30,2)</f>
        <v>0</v>
      </c>
      <c r="R30" s="553">
        <f>+IF($L30-$J30&lt;=0,-$L30+$J30,0)</f>
        <v>2</v>
      </c>
      <c r="S30" s="558">
        <f t="shared" ref="S30" si="15">+ROUND($H30*R30,2)</f>
        <v>3729.04</v>
      </c>
      <c r="T30" s="553">
        <f>+R30</f>
        <v>2</v>
      </c>
      <c r="U30" s="558">
        <f t="shared" ref="U30" si="16">+ROUND($H30*T30,2)</f>
        <v>3729.04</v>
      </c>
      <c r="V30" s="765" t="s">
        <v>869</v>
      </c>
      <c r="Y30" s="1147">
        <v>0</v>
      </c>
      <c r="AA30" s="1146"/>
    </row>
    <row r="31" spans="2:27" ht="21" customHeight="1" x14ac:dyDescent="0.25">
      <c r="B31" s="456"/>
      <c r="C31" s="466" t="e">
        <f>+#REF!+1</f>
        <v>#REF!</v>
      </c>
      <c r="D31" s="743"/>
      <c r="E31" s="445"/>
      <c r="F31" s="533" t="str">
        <f>+"SUB-TOTAL   "&amp;B29&amp;":  "</f>
        <v xml:space="preserve">SUB-TOTAL   3:  </v>
      </c>
      <c r="G31" s="440"/>
      <c r="H31" s="438"/>
      <c r="I31" s="438"/>
      <c r="J31" s="438"/>
      <c r="K31" s="548">
        <f>+SUM(K30:K30)</f>
        <v>3729.04</v>
      </c>
      <c r="L31" s="540"/>
      <c r="M31" s="548">
        <f>+SUM(M30:M30)</f>
        <v>0</v>
      </c>
      <c r="N31" s="454"/>
      <c r="O31" s="716">
        <f>+SUM(O30:O30)</f>
        <v>0</v>
      </c>
      <c r="P31" s="454"/>
      <c r="Q31" s="716">
        <f>+SUM(Q30:Q30)</f>
        <v>0</v>
      </c>
      <c r="R31" s="438"/>
      <c r="S31" s="716">
        <f>+SUM(S30:S30)</f>
        <v>3729.04</v>
      </c>
      <c r="T31" s="438"/>
      <c r="U31" s="716">
        <f>+SUM(U30:U30)</f>
        <v>3729.04</v>
      </c>
      <c r="V31" s="438"/>
      <c r="Y31" s="1147">
        <v>0</v>
      </c>
      <c r="AA31" s="1146"/>
    </row>
    <row r="32" spans="2:27" ht="21" customHeight="1" x14ac:dyDescent="0.25">
      <c r="B32" s="452" t="s">
        <v>1004</v>
      </c>
      <c r="C32" s="481" t="e">
        <f t="shared" si="4"/>
        <v>#REF!</v>
      </c>
      <c r="D32" s="568" t="s">
        <v>309</v>
      </c>
      <c r="E32" s="742"/>
      <c r="F32" s="443"/>
      <c r="G32" s="549"/>
      <c r="H32" s="438"/>
      <c r="I32" s="438"/>
      <c r="J32" s="438"/>
      <c r="K32" s="454"/>
      <c r="L32" s="756"/>
      <c r="M32" s="454"/>
      <c r="N32" s="454"/>
      <c r="O32" s="454"/>
      <c r="P32" s="454"/>
      <c r="Q32" s="454"/>
      <c r="R32" s="438"/>
      <c r="S32" s="454"/>
      <c r="T32" s="438"/>
      <c r="U32" s="454"/>
      <c r="V32" s="438"/>
      <c r="Y32" s="1147">
        <v>0</v>
      </c>
      <c r="AA32" s="1146"/>
    </row>
    <row r="33" spans="2:27" s="547" customFormat="1" ht="21" customHeight="1" x14ac:dyDescent="0.25">
      <c r="B33" s="559" t="s">
        <v>1005</v>
      </c>
      <c r="C33" s="577" t="e">
        <f>+C32+1</f>
        <v>#REF!</v>
      </c>
      <c r="D33" s="501" t="s">
        <v>767</v>
      </c>
      <c r="E33" s="545"/>
      <c r="F33" s="546"/>
      <c r="G33" s="531"/>
      <c r="H33" s="560"/>
      <c r="I33" s="560">
        <v>1958.01</v>
      </c>
      <c r="J33" s="560"/>
      <c r="K33" s="561">
        <f t="shared" ref="K33:K34" si="17">+ROUND($H33*J33,2)</f>
        <v>0</v>
      </c>
      <c r="L33" s="560">
        <f>+[192]Metrado!E28</f>
        <v>0</v>
      </c>
      <c r="M33" s="561">
        <f>+ROUND($I33*L33,2)</f>
        <v>0</v>
      </c>
      <c r="N33" s="561"/>
      <c r="O33" s="561">
        <f>+ROUND($H33*N33,2)</f>
        <v>0</v>
      </c>
      <c r="P33" s="561">
        <f>+L33</f>
        <v>0</v>
      </c>
      <c r="Q33" s="561">
        <f>+ROUND($I33*P33,2)</f>
        <v>0</v>
      </c>
      <c r="R33" s="560"/>
      <c r="S33" s="561">
        <f>+ROUND($H33*R33,2)</f>
        <v>0</v>
      </c>
      <c r="T33" s="560"/>
      <c r="U33" s="561">
        <f>+ROUND($H33*T33,2)</f>
        <v>0</v>
      </c>
      <c r="V33" s="560"/>
      <c r="Y33" s="1149">
        <v>0</v>
      </c>
      <c r="AA33" s="1146"/>
    </row>
    <row r="34" spans="2:27" s="547" customFormat="1" ht="21" customHeight="1" x14ac:dyDescent="0.25">
      <c r="B34" s="559" t="s">
        <v>1006</v>
      </c>
      <c r="C34" s="577" t="e">
        <f t="shared" si="4"/>
        <v>#REF!</v>
      </c>
      <c r="D34" s="501" t="s">
        <v>768</v>
      </c>
      <c r="E34" s="545"/>
      <c r="F34" s="546"/>
      <c r="G34" s="564"/>
      <c r="H34" s="633"/>
      <c r="I34" s="633">
        <v>2336.29</v>
      </c>
      <c r="J34" s="633"/>
      <c r="K34" s="634">
        <f t="shared" si="17"/>
        <v>0</v>
      </c>
      <c r="L34" s="560">
        <f>+[192]Metrado!E29</f>
        <v>5</v>
      </c>
      <c r="M34" s="634">
        <f>+ROUND($I34*L34,2)</f>
        <v>11681.45</v>
      </c>
      <c r="N34" s="634"/>
      <c r="O34" s="634">
        <f>+ROUND($H34*N34,2)</f>
        <v>0</v>
      </c>
      <c r="P34" s="634">
        <f>+L34</f>
        <v>5</v>
      </c>
      <c r="Q34" s="634">
        <f>+ROUND($I34*P34,2)</f>
        <v>11681.45</v>
      </c>
      <c r="R34" s="633"/>
      <c r="S34" s="634">
        <f>+ROUND($H34*R34,2)</f>
        <v>0</v>
      </c>
      <c r="T34" s="633"/>
      <c r="U34" s="634">
        <f>+ROUND($H34*T34,2)</f>
        <v>0</v>
      </c>
      <c r="V34" s="633"/>
      <c r="Y34" s="1149">
        <v>0</v>
      </c>
      <c r="AA34" s="1146"/>
    </row>
    <row r="35" spans="2:27" ht="21" customHeight="1" x14ac:dyDescent="0.25">
      <c r="B35" s="456"/>
      <c r="C35" s="466" t="e">
        <f t="shared" si="4"/>
        <v>#REF!</v>
      </c>
      <c r="D35" s="743"/>
      <c r="E35" s="445"/>
      <c r="F35" s="533" t="str">
        <f>+"SUB-TOTAL   "&amp;B32&amp;":  "</f>
        <v xml:space="preserve">SUB-TOTAL   3.00A:  </v>
      </c>
      <c r="G35" s="440"/>
      <c r="H35" s="438"/>
      <c r="I35" s="438"/>
      <c r="J35" s="438"/>
      <c r="K35" s="716"/>
      <c r="L35" s="540"/>
      <c r="M35" s="716">
        <f>+SUM(M33:M34)</f>
        <v>11681.45</v>
      </c>
      <c r="N35" s="454"/>
      <c r="O35" s="716">
        <f>+SUM(O33:O34)</f>
        <v>0</v>
      </c>
      <c r="P35" s="454"/>
      <c r="Q35" s="716">
        <f>+SUM(Q33:Q34)</f>
        <v>11681.45</v>
      </c>
      <c r="R35" s="438"/>
      <c r="S35" s="716">
        <f>+SUM(S33:S34)</f>
        <v>0</v>
      </c>
      <c r="T35" s="438"/>
      <c r="U35" s="716">
        <f>+SUM(U33:U34)</f>
        <v>0</v>
      </c>
      <c r="V35" s="438"/>
      <c r="Y35" s="1147">
        <v>0</v>
      </c>
      <c r="AA35" s="1146"/>
    </row>
    <row r="36" spans="2:27" ht="21" customHeight="1" x14ac:dyDescent="0.25">
      <c r="B36" s="452">
        <f>+B29+1</f>
        <v>4</v>
      </c>
      <c r="C36" s="481" t="e">
        <f>+C31+1</f>
        <v>#REF!</v>
      </c>
      <c r="D36" s="453" t="s">
        <v>509</v>
      </c>
      <c r="E36" s="445"/>
      <c r="F36" s="446"/>
      <c r="G36" s="527"/>
      <c r="H36" s="438"/>
      <c r="I36" s="438"/>
      <c r="J36" s="438"/>
      <c r="K36" s="454"/>
      <c r="L36" s="756"/>
      <c r="M36" s="454"/>
      <c r="N36" s="454"/>
      <c r="O36" s="454"/>
      <c r="P36" s="454"/>
      <c r="Q36" s="454"/>
      <c r="R36" s="438"/>
      <c r="S36" s="454"/>
      <c r="T36" s="438"/>
      <c r="U36" s="454"/>
      <c r="V36" s="438"/>
      <c r="Y36" s="1147">
        <v>0</v>
      </c>
      <c r="AA36" s="1146"/>
    </row>
    <row r="37" spans="2:27" ht="21" customHeight="1" x14ac:dyDescent="0.25">
      <c r="B37" s="562">
        <v>4.01</v>
      </c>
      <c r="C37" s="576" t="e">
        <f t="shared" si="4"/>
        <v>#REF!</v>
      </c>
      <c r="D37" s="502" t="s">
        <v>508</v>
      </c>
      <c r="E37" s="496"/>
      <c r="F37" s="497"/>
      <c r="G37" s="530" t="s">
        <v>11</v>
      </c>
      <c r="H37" s="553">
        <v>120.3</v>
      </c>
      <c r="I37" s="553"/>
      <c r="J37" s="553">
        <v>5</v>
      </c>
      <c r="K37" s="558">
        <f t="shared" si="0"/>
        <v>601.5</v>
      </c>
      <c r="L37" s="553">
        <f>+[192]Metrado!E32</f>
        <v>5</v>
      </c>
      <c r="M37" s="558">
        <f t="shared" ref="M37:S39" si="18">+ROUND($H37*L37,2)</f>
        <v>601.5</v>
      </c>
      <c r="N37" s="558">
        <f>+IF($L37-$J37&gt;=0,$L37-$J37,0)</f>
        <v>0</v>
      </c>
      <c r="O37" s="558">
        <f t="shared" si="18"/>
        <v>0</v>
      </c>
      <c r="P37" s="558"/>
      <c r="Q37" s="558">
        <f t="shared" si="18"/>
        <v>0</v>
      </c>
      <c r="R37" s="553">
        <f>+IF($L37-$J37&lt;=0,-$L37+$J37,0)</f>
        <v>0</v>
      </c>
      <c r="S37" s="558">
        <f t="shared" si="18"/>
        <v>0</v>
      </c>
      <c r="T37" s="553"/>
      <c r="U37" s="558">
        <f t="shared" ref="U37:U39" si="19">+ROUND($H37*T37,2)</f>
        <v>0</v>
      </c>
      <c r="V37" s="553"/>
      <c r="Y37" s="1147">
        <v>0</v>
      </c>
      <c r="AA37" s="1146"/>
    </row>
    <row r="38" spans="2:27" ht="21" customHeight="1" x14ac:dyDescent="0.25">
      <c r="B38" s="562">
        <v>4.0199999999999996</v>
      </c>
      <c r="C38" s="576" t="e">
        <f t="shared" si="4"/>
        <v>#REF!</v>
      </c>
      <c r="D38" s="502" t="s">
        <v>507</v>
      </c>
      <c r="E38" s="496"/>
      <c r="F38" s="497"/>
      <c r="G38" s="530" t="s">
        <v>11</v>
      </c>
      <c r="H38" s="553">
        <v>88.8</v>
      </c>
      <c r="I38" s="553"/>
      <c r="J38" s="553">
        <v>40</v>
      </c>
      <c r="K38" s="558">
        <f t="shared" si="0"/>
        <v>3552</v>
      </c>
      <c r="L38" s="553">
        <f>+[192]Metrado!E33</f>
        <v>60</v>
      </c>
      <c r="M38" s="558">
        <f t="shared" si="18"/>
        <v>5328</v>
      </c>
      <c r="N38" s="558">
        <f t="shared" ref="N38:N39" si="20">+IF($L38-$J38&gt;=0,$L38-$J38,0)</f>
        <v>20</v>
      </c>
      <c r="O38" s="558">
        <f t="shared" si="18"/>
        <v>1776</v>
      </c>
      <c r="P38" s="558"/>
      <c r="Q38" s="558">
        <f t="shared" si="18"/>
        <v>0</v>
      </c>
      <c r="R38" s="553">
        <f t="shared" ref="R38:R39" si="21">+IF($L38-$J38&lt;=0,-$L38+$J38,0)</f>
        <v>0</v>
      </c>
      <c r="S38" s="558">
        <f t="shared" si="18"/>
        <v>0</v>
      </c>
      <c r="T38" s="553"/>
      <c r="U38" s="558">
        <f t="shared" si="19"/>
        <v>0</v>
      </c>
      <c r="V38" s="553"/>
      <c r="Y38" s="1147">
        <v>0</v>
      </c>
      <c r="AA38" s="1146"/>
    </row>
    <row r="39" spans="2:27" ht="21" customHeight="1" x14ac:dyDescent="0.25">
      <c r="B39" s="562">
        <v>4.0299999999999994</v>
      </c>
      <c r="C39" s="576" t="e">
        <f t="shared" si="4"/>
        <v>#REF!</v>
      </c>
      <c r="D39" s="502" t="s">
        <v>618</v>
      </c>
      <c r="E39" s="496"/>
      <c r="F39" s="497"/>
      <c r="G39" s="532" t="s">
        <v>11</v>
      </c>
      <c r="H39" s="565">
        <v>620</v>
      </c>
      <c r="I39" s="565"/>
      <c r="J39" s="565">
        <v>5</v>
      </c>
      <c r="K39" s="566">
        <f t="shared" si="0"/>
        <v>3100</v>
      </c>
      <c r="L39" s="553">
        <f>+[192]Metrado!E34</f>
        <v>5</v>
      </c>
      <c r="M39" s="566">
        <f t="shared" si="18"/>
        <v>3100</v>
      </c>
      <c r="N39" s="558">
        <f t="shared" si="20"/>
        <v>0</v>
      </c>
      <c r="O39" s="558">
        <f t="shared" si="18"/>
        <v>0</v>
      </c>
      <c r="P39" s="558"/>
      <c r="Q39" s="558">
        <f t="shared" si="18"/>
        <v>0</v>
      </c>
      <c r="R39" s="553">
        <f t="shared" si="21"/>
        <v>0</v>
      </c>
      <c r="S39" s="558">
        <f t="shared" si="18"/>
        <v>0</v>
      </c>
      <c r="T39" s="553"/>
      <c r="U39" s="558">
        <f t="shared" si="19"/>
        <v>0</v>
      </c>
      <c r="V39" s="553"/>
      <c r="Y39" s="1147">
        <v>0</v>
      </c>
      <c r="AA39" s="1146"/>
    </row>
    <row r="40" spans="2:27" ht="21" customHeight="1" x14ac:dyDescent="0.25">
      <c r="B40" s="456"/>
      <c r="C40" s="483" t="e">
        <f>+#REF!+1</f>
        <v>#REF!</v>
      </c>
      <c r="D40" s="537"/>
      <c r="E40" s="580"/>
      <c r="F40" s="533" t="str">
        <f>+"SUB-TOTAL   "&amp;B36&amp;":  "</f>
        <v xml:space="preserve">SUB-TOTAL   4:  </v>
      </c>
      <c r="G40" s="440"/>
      <c r="H40" s="438"/>
      <c r="I40" s="438"/>
      <c r="J40" s="438"/>
      <c r="K40" s="548">
        <f>+SUM(K37:K39)</f>
        <v>7253.5</v>
      </c>
      <c r="L40" s="540"/>
      <c r="M40" s="548">
        <f>+SUM(M37:M39)</f>
        <v>9029.5</v>
      </c>
      <c r="N40" s="438"/>
      <c r="O40" s="548">
        <f>+SUM(O37:O39)</f>
        <v>1776</v>
      </c>
      <c r="P40" s="438"/>
      <c r="Q40" s="548">
        <f>+SUM(Q37:Q39)</f>
        <v>0</v>
      </c>
      <c r="R40" s="438"/>
      <c r="S40" s="548">
        <f>+SUM(S37:S39)</f>
        <v>0</v>
      </c>
      <c r="T40" s="438"/>
      <c r="U40" s="548">
        <f>+SUM(U37:U39)</f>
        <v>0</v>
      </c>
      <c r="V40" s="438"/>
      <c r="Y40" s="1147">
        <v>0</v>
      </c>
      <c r="AA40" s="1146"/>
    </row>
    <row r="41" spans="2:27" ht="21" customHeight="1" x14ac:dyDescent="0.25">
      <c r="B41" s="452">
        <f>+B36+1</f>
        <v>5</v>
      </c>
      <c r="C41" s="481" t="e">
        <f t="shared" si="4"/>
        <v>#REF!</v>
      </c>
      <c r="D41" s="453" t="s">
        <v>505</v>
      </c>
      <c r="E41" s="445"/>
      <c r="F41" s="446"/>
      <c r="G41" s="527"/>
      <c r="H41" s="438"/>
      <c r="I41" s="438"/>
      <c r="J41" s="438"/>
      <c r="K41" s="438"/>
      <c r="L41" s="756"/>
      <c r="M41" s="438"/>
      <c r="N41" s="438"/>
      <c r="O41" s="438"/>
      <c r="P41" s="438"/>
      <c r="Q41" s="438"/>
      <c r="R41" s="438"/>
      <c r="S41" s="438"/>
      <c r="T41" s="438"/>
      <c r="U41" s="438"/>
      <c r="V41" s="438"/>
      <c r="Y41" s="1147">
        <v>0</v>
      </c>
      <c r="AA41" s="1146"/>
    </row>
    <row r="42" spans="2:27" ht="21" customHeight="1" x14ac:dyDescent="0.25">
      <c r="B42" s="562">
        <v>5.01</v>
      </c>
      <c r="C42" s="576" t="e">
        <f t="shared" si="4"/>
        <v>#REF!</v>
      </c>
      <c r="D42" s="502" t="s">
        <v>504</v>
      </c>
      <c r="E42" s="496"/>
      <c r="F42" s="497"/>
      <c r="G42" s="530" t="s">
        <v>11</v>
      </c>
      <c r="H42" s="553">
        <v>76.45</v>
      </c>
      <c r="I42" s="553"/>
      <c r="J42" s="553">
        <v>16</v>
      </c>
      <c r="K42" s="553">
        <f t="shared" si="0"/>
        <v>1223.2</v>
      </c>
      <c r="L42" s="553">
        <f>+[192]Metrado!E37</f>
        <v>25</v>
      </c>
      <c r="M42" s="553">
        <f t="shared" ref="M42:S46" si="22">+ROUND($H42*L42,2)</f>
        <v>1911.25</v>
      </c>
      <c r="N42" s="553">
        <f>+IF($L42-$J42&gt;=0,$L42-$J42,0)</f>
        <v>9</v>
      </c>
      <c r="O42" s="553">
        <f t="shared" si="22"/>
        <v>688.05</v>
      </c>
      <c r="P42" s="553"/>
      <c r="Q42" s="553">
        <f t="shared" si="22"/>
        <v>0</v>
      </c>
      <c r="R42" s="553">
        <f>+IF($L42-$J42&lt;=0,-$L42+$J42,0)</f>
        <v>0</v>
      </c>
      <c r="S42" s="553">
        <f t="shared" si="22"/>
        <v>0</v>
      </c>
      <c r="T42" s="553"/>
      <c r="U42" s="553">
        <f t="shared" ref="U42:U46" si="23">+ROUND($H42*T42,2)</f>
        <v>0</v>
      </c>
      <c r="V42" s="553"/>
      <c r="Y42" s="1147">
        <v>0</v>
      </c>
      <c r="AA42" s="1146"/>
    </row>
    <row r="43" spans="2:27" ht="21" customHeight="1" x14ac:dyDescent="0.25">
      <c r="B43" s="562">
        <v>5.0199999999999996</v>
      </c>
      <c r="C43" s="576" t="e">
        <f t="shared" si="4"/>
        <v>#REF!</v>
      </c>
      <c r="D43" s="502" t="s">
        <v>503</v>
      </c>
      <c r="E43" s="496"/>
      <c r="F43" s="497"/>
      <c r="G43" s="530" t="s">
        <v>11</v>
      </c>
      <c r="H43" s="553">
        <v>35.96</v>
      </c>
      <c r="I43" s="553"/>
      <c r="J43" s="553">
        <v>16</v>
      </c>
      <c r="K43" s="553">
        <f t="shared" si="0"/>
        <v>575.36</v>
      </c>
      <c r="L43" s="553">
        <f>+[192]Metrado!E38</f>
        <v>17</v>
      </c>
      <c r="M43" s="553">
        <f t="shared" si="22"/>
        <v>611.32000000000005</v>
      </c>
      <c r="N43" s="553">
        <f t="shared" ref="N43" si="24">+IF($L43-$J43&gt;=0,$L43-$J43,0)</f>
        <v>1</v>
      </c>
      <c r="O43" s="553">
        <f t="shared" si="22"/>
        <v>35.96</v>
      </c>
      <c r="P43" s="553"/>
      <c r="Q43" s="553">
        <f t="shared" si="22"/>
        <v>0</v>
      </c>
      <c r="R43" s="553">
        <f t="shared" ref="R43" si="25">+IF($L43-$J43&lt;=0,-$L43+$J43,0)</f>
        <v>0</v>
      </c>
      <c r="S43" s="553">
        <f t="shared" si="22"/>
        <v>0</v>
      </c>
      <c r="T43" s="553"/>
      <c r="U43" s="553">
        <f t="shared" si="23"/>
        <v>0</v>
      </c>
      <c r="V43" s="553"/>
      <c r="Y43" s="1147">
        <v>0</v>
      </c>
      <c r="AA43" s="1146"/>
    </row>
    <row r="44" spans="2:27" ht="21" customHeight="1" x14ac:dyDescent="0.25">
      <c r="B44" s="1252">
        <v>5.0299999999999994</v>
      </c>
      <c r="C44" s="583" t="e">
        <f>+C43+1</f>
        <v>#REF!</v>
      </c>
      <c r="D44" s="537" t="s">
        <v>1009</v>
      </c>
      <c r="E44" s="538"/>
      <c r="F44" s="578"/>
      <c r="G44" s="1254" t="s">
        <v>11</v>
      </c>
      <c r="H44" s="1246">
        <v>209.65</v>
      </c>
      <c r="I44" s="579"/>
      <c r="J44" s="1246">
        <v>40</v>
      </c>
      <c r="K44" s="1246">
        <f>+ROUND($H44*J44,2)</f>
        <v>8386</v>
      </c>
      <c r="L44" s="1246">
        <f>+[192]Metrado!E40</f>
        <v>50</v>
      </c>
      <c r="M44" s="1246">
        <f>+ROUND($H44*L44,2)</f>
        <v>10482.5</v>
      </c>
      <c r="N44" s="1246">
        <f>+IF($L44-$J44&gt;=0,$L44-$J44,0)</f>
        <v>10</v>
      </c>
      <c r="O44" s="1246">
        <f>+ROUND($H44*N44,2)</f>
        <v>2096.5</v>
      </c>
      <c r="P44" s="579"/>
      <c r="Q44" s="1246">
        <f>+ROUND($H44*P45,2)</f>
        <v>0</v>
      </c>
      <c r="R44" s="1246">
        <f>+IF($L44-$J44&lt;=0,-$L44+$J44,0)</f>
        <v>0</v>
      </c>
      <c r="S44" s="1246">
        <f>+ROUND($H44*R44,2)</f>
        <v>0</v>
      </c>
      <c r="T44" s="1246"/>
      <c r="U44" s="1246">
        <f>+ROUND($H44*T45,2)</f>
        <v>0</v>
      </c>
      <c r="V44" s="579"/>
      <c r="Y44" s="1147">
        <v>0</v>
      </c>
      <c r="AA44" s="1146"/>
    </row>
    <row r="45" spans="2:27" ht="21" customHeight="1" x14ac:dyDescent="0.25">
      <c r="B45" s="1253"/>
      <c r="C45" s="784" t="e">
        <f>+C44+1</f>
        <v>#REF!</v>
      </c>
      <c r="D45" s="780" t="s">
        <v>619</v>
      </c>
      <c r="E45" s="781"/>
      <c r="F45" s="782"/>
      <c r="G45" s="1269"/>
      <c r="H45" s="1266"/>
      <c r="I45" s="756"/>
      <c r="J45" s="1266"/>
      <c r="K45" s="1266"/>
      <c r="L45" s="1266"/>
      <c r="M45" s="1266"/>
      <c r="N45" s="1266"/>
      <c r="O45" s="1266"/>
      <c r="P45" s="756"/>
      <c r="Q45" s="1266"/>
      <c r="R45" s="1266"/>
      <c r="S45" s="1266"/>
      <c r="T45" s="1266"/>
      <c r="U45" s="1266"/>
      <c r="V45" s="756"/>
      <c r="Y45" s="1147">
        <v>0</v>
      </c>
      <c r="AA45" s="1146"/>
    </row>
    <row r="46" spans="2:27" s="547" customFormat="1" ht="21" customHeight="1" x14ac:dyDescent="0.25">
      <c r="B46" s="559">
        <v>5.04</v>
      </c>
      <c r="C46" s="577" t="e">
        <f>+#REF!+1</f>
        <v>#REF!</v>
      </c>
      <c r="D46" s="501" t="s">
        <v>785</v>
      </c>
      <c r="E46" s="545"/>
      <c r="F46" s="546"/>
      <c r="G46" s="564" t="s">
        <v>11</v>
      </c>
      <c r="H46" s="633"/>
      <c r="I46" s="633">
        <v>49.41</v>
      </c>
      <c r="J46" s="633"/>
      <c r="K46" s="633">
        <f t="shared" si="0"/>
        <v>0</v>
      </c>
      <c r="L46" s="633">
        <f>+[192]Metrado!E41</f>
        <v>8</v>
      </c>
      <c r="M46" s="633">
        <f>+ROUND($I46*L46,2)</f>
        <v>395.28</v>
      </c>
      <c r="N46" s="633"/>
      <c r="O46" s="633">
        <f t="shared" si="22"/>
        <v>0</v>
      </c>
      <c r="P46" s="633">
        <f>+L46</f>
        <v>8</v>
      </c>
      <c r="Q46" s="633">
        <f>+ROUND($I46*P46,2)</f>
        <v>395.28</v>
      </c>
      <c r="R46" s="633"/>
      <c r="S46" s="633">
        <f t="shared" si="22"/>
        <v>0</v>
      </c>
      <c r="T46" s="633"/>
      <c r="U46" s="633">
        <f t="shared" si="23"/>
        <v>0</v>
      </c>
      <c r="V46" s="633"/>
      <c r="Y46" s="1149">
        <v>0</v>
      </c>
      <c r="AA46" s="1146"/>
    </row>
    <row r="47" spans="2:27" ht="21" customHeight="1" x14ac:dyDescent="0.25">
      <c r="B47" s="456"/>
      <c r="C47" s="483" t="e">
        <f>+#REF!+1</f>
        <v>#REF!</v>
      </c>
      <c r="D47" s="537"/>
      <c r="E47" s="538"/>
      <c r="F47" s="544" t="str">
        <f>+"SUB-TOTAL   "&amp;B41&amp;":  "</f>
        <v xml:space="preserve">SUB-TOTAL   5:  </v>
      </c>
      <c r="G47" s="440"/>
      <c r="H47" s="438"/>
      <c r="I47" s="438"/>
      <c r="J47" s="438"/>
      <c r="K47" s="548">
        <f>+SUM(K42:K46)</f>
        <v>10184.56</v>
      </c>
      <c r="L47" s="1152"/>
      <c r="M47" s="548">
        <f>+SUM(M42:M46)</f>
        <v>13400.35</v>
      </c>
      <c r="N47" s="438"/>
      <c r="O47" s="548">
        <f>+SUM(O42:O46)</f>
        <v>2820.51</v>
      </c>
      <c r="P47" s="438"/>
      <c r="Q47" s="548">
        <f>+SUM(Q42:Q46)</f>
        <v>395.28</v>
      </c>
      <c r="R47" s="438"/>
      <c r="S47" s="548">
        <f>+SUM(S42:S46)</f>
        <v>0</v>
      </c>
      <c r="T47" s="438"/>
      <c r="U47" s="548">
        <f>+SUM(U42:U46)</f>
        <v>0</v>
      </c>
      <c r="V47" s="438"/>
      <c r="Y47" s="1147">
        <v>0</v>
      </c>
      <c r="AA47" s="1146"/>
    </row>
    <row r="48" spans="2:27" ht="21" customHeight="1" x14ac:dyDescent="0.25">
      <c r="B48" s="452">
        <f>+B41+1</f>
        <v>6</v>
      </c>
      <c r="C48" s="483" t="e">
        <f t="shared" si="4"/>
        <v>#REF!</v>
      </c>
      <c r="D48" s="453" t="s">
        <v>620</v>
      </c>
      <c r="E48" s="445"/>
      <c r="F48" s="446"/>
      <c r="G48" s="440"/>
      <c r="H48" s="438"/>
      <c r="I48" s="438"/>
      <c r="J48" s="438"/>
      <c r="K48" s="438"/>
      <c r="L48" s="769"/>
      <c r="M48" s="438"/>
      <c r="N48" s="438"/>
      <c r="O48" s="438"/>
      <c r="P48" s="438"/>
      <c r="Q48" s="438"/>
      <c r="R48" s="438"/>
      <c r="S48" s="438"/>
      <c r="T48" s="438"/>
      <c r="U48" s="438"/>
      <c r="V48" s="438"/>
      <c r="Y48" s="1147">
        <v>0</v>
      </c>
      <c r="AA48" s="1146"/>
    </row>
    <row r="49" spans="2:27" ht="21" customHeight="1" x14ac:dyDescent="0.25">
      <c r="B49" s="562">
        <v>6.01</v>
      </c>
      <c r="C49" s="581" t="e">
        <f t="shared" si="4"/>
        <v>#REF!</v>
      </c>
      <c r="D49" s="502" t="s">
        <v>501</v>
      </c>
      <c r="E49" s="496"/>
      <c r="F49" s="497"/>
      <c r="G49" s="530" t="s">
        <v>11</v>
      </c>
      <c r="H49" s="553">
        <v>17.760000000000002</v>
      </c>
      <c r="I49" s="553"/>
      <c r="J49" s="553">
        <v>16</v>
      </c>
      <c r="K49" s="553">
        <f t="shared" si="0"/>
        <v>284.16000000000003</v>
      </c>
      <c r="L49" s="553">
        <f>+[192]Metrado!E44</f>
        <v>23</v>
      </c>
      <c r="M49" s="553">
        <f t="shared" ref="M49:S50" si="26">+ROUND($H49*L49,2)</f>
        <v>408.48</v>
      </c>
      <c r="N49" s="553">
        <f>+IF($L49-$J49&gt;=0,$L49-$J49,0)</f>
        <v>7</v>
      </c>
      <c r="O49" s="553">
        <f t="shared" si="26"/>
        <v>124.32</v>
      </c>
      <c r="P49" s="553"/>
      <c r="Q49" s="553">
        <f t="shared" si="26"/>
        <v>0</v>
      </c>
      <c r="R49" s="553">
        <f>+IF($L49-$J49&lt;=0,-$L49+$J49,0)</f>
        <v>0</v>
      </c>
      <c r="S49" s="553">
        <f t="shared" si="26"/>
        <v>0</v>
      </c>
      <c r="T49" s="553"/>
      <c r="U49" s="553">
        <f t="shared" ref="U49:U50" si="27">+ROUND($H49*T49,2)</f>
        <v>0</v>
      </c>
      <c r="V49" s="553"/>
      <c r="Y49" s="1147">
        <v>0</v>
      </c>
      <c r="AA49" s="1146"/>
    </row>
    <row r="50" spans="2:27" ht="21" customHeight="1" x14ac:dyDescent="0.25">
      <c r="B50" s="562">
        <v>6.02</v>
      </c>
      <c r="C50" s="576" t="e">
        <f>+C49+1</f>
        <v>#REF!</v>
      </c>
      <c r="D50" s="502" t="s">
        <v>500</v>
      </c>
      <c r="E50" s="496"/>
      <c r="F50" s="497"/>
      <c r="G50" s="532" t="s">
        <v>11</v>
      </c>
      <c r="H50" s="565">
        <v>76.66</v>
      </c>
      <c r="I50" s="565"/>
      <c r="J50" s="565">
        <v>16</v>
      </c>
      <c r="K50" s="565">
        <f t="shared" si="0"/>
        <v>1226.56</v>
      </c>
      <c r="L50" s="553">
        <f>+[192]Metrado!E45</f>
        <v>23</v>
      </c>
      <c r="M50" s="565">
        <f t="shared" si="26"/>
        <v>1763.18</v>
      </c>
      <c r="N50" s="565">
        <f>+IF($L50-$J50&gt;=0,$L50-$J50,0)</f>
        <v>7</v>
      </c>
      <c r="O50" s="565">
        <f t="shared" si="26"/>
        <v>536.62</v>
      </c>
      <c r="P50" s="565"/>
      <c r="Q50" s="565">
        <f t="shared" si="26"/>
        <v>0</v>
      </c>
      <c r="R50" s="565">
        <f t="shared" ref="R50" si="28">+IF($L50-$J50&lt;=0,-$L50+$J50,0)</f>
        <v>0</v>
      </c>
      <c r="S50" s="565">
        <f t="shared" si="26"/>
        <v>0</v>
      </c>
      <c r="T50" s="565"/>
      <c r="U50" s="565">
        <f t="shared" si="27"/>
        <v>0</v>
      </c>
      <c r="V50" s="565"/>
      <c r="Y50" s="1147">
        <v>0</v>
      </c>
      <c r="AA50" s="1146"/>
    </row>
    <row r="51" spans="2:27" ht="21" customHeight="1" x14ac:dyDescent="0.25">
      <c r="B51" s="456"/>
      <c r="C51" s="466" t="e">
        <f>+#REF!+1</f>
        <v>#REF!</v>
      </c>
      <c r="D51" s="537"/>
      <c r="E51" s="538"/>
      <c r="F51" s="533" t="str">
        <f>+"SUB-TOTAL   "&amp;B48&amp;":  "</f>
        <v xml:space="preserve">SUB-TOTAL   6:  </v>
      </c>
      <c r="G51" s="440"/>
      <c r="H51" s="438"/>
      <c r="I51" s="438"/>
      <c r="J51" s="438"/>
      <c r="K51" s="536">
        <f>+SUM(K49:K50)</f>
        <v>1510.72</v>
      </c>
      <c r="L51" s="540"/>
      <c r="M51" s="536">
        <f>+SUM(M49:M50)</f>
        <v>2171.66</v>
      </c>
      <c r="N51" s="536"/>
      <c r="O51" s="536">
        <f>+SUM(O49:O50)</f>
        <v>660.94</v>
      </c>
      <c r="P51" s="536"/>
      <c r="Q51" s="536">
        <f>+SUM(Q49:Q50)</f>
        <v>0</v>
      </c>
      <c r="R51" s="536"/>
      <c r="S51" s="536">
        <f>+SUM(S49:S50)</f>
        <v>0</v>
      </c>
      <c r="T51" s="536"/>
      <c r="U51" s="536">
        <f>+SUM(U49:U50)</f>
        <v>0</v>
      </c>
      <c r="V51" s="536"/>
      <c r="Y51" s="1147">
        <v>0</v>
      </c>
      <c r="AA51" s="1146"/>
    </row>
    <row r="52" spans="2:27" ht="21" customHeight="1" x14ac:dyDescent="0.25">
      <c r="B52" s="452">
        <f>+B48+1</f>
        <v>7</v>
      </c>
      <c r="C52" s="466" t="e">
        <f t="shared" si="4"/>
        <v>#REF!</v>
      </c>
      <c r="D52" s="453" t="s">
        <v>499</v>
      </c>
      <c r="E52" s="460"/>
      <c r="F52" s="461"/>
      <c r="G52" s="440"/>
      <c r="H52" s="438"/>
      <c r="I52" s="438"/>
      <c r="J52" s="438"/>
      <c r="K52" s="536"/>
      <c r="L52" s="756"/>
      <c r="M52" s="536"/>
      <c r="N52" s="536"/>
      <c r="O52" s="536"/>
      <c r="P52" s="536"/>
      <c r="Q52" s="536"/>
      <c r="R52" s="536"/>
      <c r="S52" s="536"/>
      <c r="T52" s="536"/>
      <c r="U52" s="536"/>
      <c r="V52" s="536"/>
      <c r="Y52" s="1147">
        <v>0</v>
      </c>
      <c r="AA52" s="1146"/>
    </row>
    <row r="53" spans="2:27" ht="21" customHeight="1" x14ac:dyDescent="0.25">
      <c r="B53" s="554">
        <v>7.01</v>
      </c>
      <c r="C53" s="584" t="e">
        <f t="shared" si="4"/>
        <v>#REF!</v>
      </c>
      <c r="D53" s="495" t="s">
        <v>498</v>
      </c>
      <c r="E53" s="500"/>
      <c r="F53" s="494"/>
      <c r="G53" s="530" t="s">
        <v>12</v>
      </c>
      <c r="H53" s="553">
        <v>2249.62</v>
      </c>
      <c r="I53" s="553"/>
      <c r="J53" s="553">
        <v>3.51</v>
      </c>
      <c r="K53" s="553">
        <f t="shared" si="0"/>
        <v>7896.17</v>
      </c>
      <c r="L53" s="553">
        <f>+[192]Metrado!E48</f>
        <v>3.9891797999999996</v>
      </c>
      <c r="M53" s="553">
        <f t="shared" ref="M53:S53" si="29">+ROUND($H53*L53,2)</f>
        <v>8974.14</v>
      </c>
      <c r="N53" s="553">
        <f>+IF($L53-$J53&gt;=0,$L53-$J53,0)</f>
        <v>0.47917979999999982</v>
      </c>
      <c r="O53" s="553">
        <f t="shared" si="29"/>
        <v>1077.97</v>
      </c>
      <c r="P53" s="553"/>
      <c r="Q53" s="553">
        <f t="shared" si="29"/>
        <v>0</v>
      </c>
      <c r="R53" s="553">
        <f>+IF($L53-$J53&lt;=0,-$L53+$J53,0)</f>
        <v>0</v>
      </c>
      <c r="S53" s="553">
        <f t="shared" si="29"/>
        <v>0</v>
      </c>
      <c r="T53" s="553"/>
      <c r="U53" s="553">
        <f t="shared" ref="U53" si="30">+ROUND($H53*T53,2)</f>
        <v>0</v>
      </c>
      <c r="V53" s="553"/>
      <c r="Y53" s="1147">
        <v>0</v>
      </c>
      <c r="AA53" s="1146"/>
    </row>
    <row r="54" spans="2:27" ht="21" customHeight="1" x14ac:dyDescent="0.25">
      <c r="B54" s="456"/>
      <c r="C54" s="466" t="e">
        <f>+#REF!+1</f>
        <v>#REF!</v>
      </c>
      <c r="D54" s="537"/>
      <c r="E54" s="538"/>
      <c r="F54" s="533" t="str">
        <f>+"SUB-TOTAL   "&amp;B52&amp;":  "</f>
        <v xml:space="preserve">SUB-TOTAL   7:  </v>
      </c>
      <c r="G54" s="440"/>
      <c r="H54" s="540"/>
      <c r="I54" s="540"/>
      <c r="J54" s="540"/>
      <c r="K54" s="589">
        <f>+SUM(K53:K53)</f>
        <v>7896.17</v>
      </c>
      <c r="L54" s="540"/>
      <c r="M54" s="589">
        <f>+SUM(M53:M53)</f>
        <v>8974.14</v>
      </c>
      <c r="N54" s="589"/>
      <c r="O54" s="589">
        <f>+SUM(O53:O53)</f>
        <v>1077.97</v>
      </c>
      <c r="P54" s="589"/>
      <c r="Q54" s="589">
        <f>+SUM(Q53:Q53)</f>
        <v>0</v>
      </c>
      <c r="R54" s="589"/>
      <c r="S54" s="589">
        <f>+SUM(S53:S53)</f>
        <v>0</v>
      </c>
      <c r="T54" s="589"/>
      <c r="U54" s="589">
        <f>+SUM(U53:U53)</f>
        <v>0</v>
      </c>
      <c r="V54" s="589"/>
      <c r="Y54" s="1147">
        <v>0</v>
      </c>
      <c r="AA54" s="1146"/>
    </row>
    <row r="55" spans="2:27" ht="21" customHeight="1" x14ac:dyDescent="0.25">
      <c r="B55" s="452">
        <f>+B52+1</f>
        <v>8</v>
      </c>
      <c r="C55" s="466" t="e">
        <f t="shared" si="4"/>
        <v>#REF!</v>
      </c>
      <c r="D55" s="453" t="s">
        <v>621</v>
      </c>
      <c r="E55" s="445"/>
      <c r="F55" s="446"/>
      <c r="G55" s="440"/>
      <c r="H55" s="438"/>
      <c r="I55" s="438"/>
      <c r="J55" s="438"/>
      <c r="K55" s="438"/>
      <c r="L55" s="756"/>
      <c r="M55" s="438"/>
      <c r="N55" s="438"/>
      <c r="O55" s="438"/>
      <c r="P55" s="438"/>
      <c r="Q55" s="438"/>
      <c r="R55" s="438"/>
      <c r="S55" s="438"/>
      <c r="T55" s="438"/>
      <c r="U55" s="438"/>
      <c r="V55" s="438"/>
      <c r="Y55" s="1147">
        <v>0</v>
      </c>
      <c r="AA55" s="1146"/>
    </row>
    <row r="56" spans="2:27" ht="21" customHeight="1" x14ac:dyDescent="0.25">
      <c r="B56" s="562">
        <v>8.01</v>
      </c>
      <c r="C56" s="576" t="e">
        <f t="shared" si="4"/>
        <v>#REF!</v>
      </c>
      <c r="D56" s="502" t="s">
        <v>495</v>
      </c>
      <c r="E56" s="496"/>
      <c r="F56" s="497"/>
      <c r="G56" s="530" t="s">
        <v>11</v>
      </c>
      <c r="H56" s="553">
        <v>10.19</v>
      </c>
      <c r="I56" s="553"/>
      <c r="J56" s="553">
        <v>41</v>
      </c>
      <c r="K56" s="553">
        <f t="shared" si="0"/>
        <v>417.79</v>
      </c>
      <c r="L56" s="553">
        <f>+[192]Metrado!E51</f>
        <v>47</v>
      </c>
      <c r="M56" s="553">
        <f t="shared" ref="M56:S61" si="31">+ROUND($H56*L56,2)</f>
        <v>478.93</v>
      </c>
      <c r="N56" s="553">
        <f>+IF($L56-$J56&gt;=0,$L56-$J56,0)</f>
        <v>6</v>
      </c>
      <c r="O56" s="553">
        <f t="shared" si="31"/>
        <v>61.14</v>
      </c>
      <c r="P56" s="553"/>
      <c r="Q56" s="553">
        <f t="shared" si="31"/>
        <v>0</v>
      </c>
      <c r="R56" s="553">
        <f>+IF($L56-$J56&lt;=0,-$L56+$J56,0)</f>
        <v>0</v>
      </c>
      <c r="S56" s="553">
        <f t="shared" si="31"/>
        <v>0</v>
      </c>
      <c r="T56" s="553"/>
      <c r="U56" s="553">
        <f t="shared" ref="U56:U61" si="32">+ROUND($H56*T56,2)</f>
        <v>0</v>
      </c>
      <c r="V56" s="553"/>
      <c r="Y56" s="1147">
        <v>0</v>
      </c>
      <c r="AA56" s="1146"/>
    </row>
    <row r="57" spans="2:27" ht="21" customHeight="1" x14ac:dyDescent="0.25">
      <c r="B57" s="562">
        <v>8.02</v>
      </c>
      <c r="C57" s="576" t="e">
        <f t="shared" si="4"/>
        <v>#REF!</v>
      </c>
      <c r="D57" s="502" t="s">
        <v>491</v>
      </c>
      <c r="E57" s="496"/>
      <c r="F57" s="497"/>
      <c r="G57" s="530" t="s">
        <v>11</v>
      </c>
      <c r="H57" s="553">
        <v>7.77</v>
      </c>
      <c r="I57" s="553"/>
      <c r="J57" s="553">
        <v>41</v>
      </c>
      <c r="K57" s="553">
        <f t="shared" si="0"/>
        <v>318.57</v>
      </c>
      <c r="L57" s="553">
        <f>+[192]Metrado!E52</f>
        <v>40</v>
      </c>
      <c r="M57" s="553">
        <f t="shared" si="31"/>
        <v>310.8</v>
      </c>
      <c r="N57" s="553">
        <f t="shared" ref="N57:N59" si="33">+IF($L57-$J57&gt;=0,$L57-$J57,0)</f>
        <v>0</v>
      </c>
      <c r="O57" s="553">
        <f t="shared" si="31"/>
        <v>0</v>
      </c>
      <c r="P57" s="553"/>
      <c r="Q57" s="553">
        <f t="shared" si="31"/>
        <v>0</v>
      </c>
      <c r="R57" s="553">
        <f t="shared" ref="R57:R59" si="34">+IF($L57-$J57&lt;=0,-$L57+$J57,0)</f>
        <v>1</v>
      </c>
      <c r="S57" s="553">
        <f t="shared" si="31"/>
        <v>7.77</v>
      </c>
      <c r="T57" s="553"/>
      <c r="U57" s="553">
        <f t="shared" si="32"/>
        <v>0</v>
      </c>
      <c r="V57" s="553"/>
      <c r="Y57" s="1147">
        <v>0</v>
      </c>
      <c r="AA57" s="1146"/>
    </row>
    <row r="58" spans="2:27" ht="21" customHeight="1" x14ac:dyDescent="0.25">
      <c r="B58" s="562">
        <v>8.0299999999999994</v>
      </c>
      <c r="C58" s="576" t="e">
        <f t="shared" si="4"/>
        <v>#REF!</v>
      </c>
      <c r="D58" s="502" t="s">
        <v>489</v>
      </c>
      <c r="E58" s="498"/>
      <c r="F58" s="499"/>
      <c r="G58" s="530" t="s">
        <v>13</v>
      </c>
      <c r="H58" s="553">
        <v>1.41</v>
      </c>
      <c r="I58" s="553"/>
      <c r="J58" s="553">
        <v>170</v>
      </c>
      <c r="K58" s="553">
        <f t="shared" si="0"/>
        <v>239.7</v>
      </c>
      <c r="L58" s="553">
        <f>+[192]Metrado!E53</f>
        <v>227.5</v>
      </c>
      <c r="M58" s="553">
        <f t="shared" si="31"/>
        <v>320.77999999999997</v>
      </c>
      <c r="N58" s="553">
        <f t="shared" si="33"/>
        <v>57.5</v>
      </c>
      <c r="O58" s="553">
        <f t="shared" si="31"/>
        <v>81.08</v>
      </c>
      <c r="P58" s="557"/>
      <c r="Q58" s="553">
        <f t="shared" si="31"/>
        <v>0</v>
      </c>
      <c r="R58" s="553">
        <f t="shared" si="34"/>
        <v>0</v>
      </c>
      <c r="S58" s="553">
        <f t="shared" si="31"/>
        <v>0</v>
      </c>
      <c r="T58" s="557"/>
      <c r="U58" s="553">
        <f t="shared" si="32"/>
        <v>0</v>
      </c>
      <c r="V58" s="557"/>
      <c r="Y58" s="1147">
        <v>0</v>
      </c>
      <c r="AA58" s="1146"/>
    </row>
    <row r="59" spans="2:27" ht="21" customHeight="1" x14ac:dyDescent="0.25">
      <c r="B59" s="562">
        <v>8.0399999999999991</v>
      </c>
      <c r="C59" s="576" t="e">
        <f t="shared" si="4"/>
        <v>#REF!</v>
      </c>
      <c r="D59" s="502" t="s">
        <v>484</v>
      </c>
      <c r="E59" s="500"/>
      <c r="F59" s="494"/>
      <c r="G59" s="530" t="s">
        <v>11</v>
      </c>
      <c r="H59" s="553">
        <v>25.34</v>
      </c>
      <c r="I59" s="553"/>
      <c r="J59" s="553">
        <v>16</v>
      </c>
      <c r="K59" s="553">
        <f t="shared" si="0"/>
        <v>405.44</v>
      </c>
      <c r="L59" s="553">
        <f>+[192]Metrado!E54</f>
        <v>22</v>
      </c>
      <c r="M59" s="553">
        <f t="shared" si="31"/>
        <v>557.48</v>
      </c>
      <c r="N59" s="553">
        <f t="shared" si="33"/>
        <v>6</v>
      </c>
      <c r="O59" s="553">
        <f t="shared" si="31"/>
        <v>152.04</v>
      </c>
      <c r="P59" s="553"/>
      <c r="Q59" s="553">
        <f t="shared" si="31"/>
        <v>0</v>
      </c>
      <c r="R59" s="553">
        <f t="shared" si="34"/>
        <v>0</v>
      </c>
      <c r="S59" s="553">
        <f t="shared" si="31"/>
        <v>0</v>
      </c>
      <c r="T59" s="553"/>
      <c r="U59" s="553">
        <f t="shared" si="32"/>
        <v>0</v>
      </c>
      <c r="V59" s="553"/>
      <c r="Y59" s="1147">
        <v>0</v>
      </c>
      <c r="AA59" s="1146"/>
    </row>
    <row r="60" spans="2:27" s="547" customFormat="1" ht="21" customHeight="1" x14ac:dyDescent="0.25">
      <c r="B60" s="559">
        <v>8.0499999999999989</v>
      </c>
      <c r="C60" s="577" t="e">
        <f>+#REF!+1</f>
        <v>#REF!</v>
      </c>
      <c r="D60" s="501" t="s">
        <v>786</v>
      </c>
      <c r="E60" s="635"/>
      <c r="F60" s="636"/>
      <c r="G60" s="531" t="s">
        <v>11</v>
      </c>
      <c r="H60" s="560"/>
      <c r="I60" s="560">
        <v>11.72</v>
      </c>
      <c r="J60" s="560"/>
      <c r="K60" s="560">
        <f t="shared" si="0"/>
        <v>0</v>
      </c>
      <c r="L60" s="560">
        <f>+[192]Metrado!E55</f>
        <v>3</v>
      </c>
      <c r="M60" s="560">
        <f>+ROUND($I60*L60,2)</f>
        <v>35.159999999999997</v>
      </c>
      <c r="N60" s="560"/>
      <c r="O60" s="560">
        <f t="shared" si="31"/>
        <v>0</v>
      </c>
      <c r="P60" s="658">
        <f>+L60</f>
        <v>3</v>
      </c>
      <c r="Q60" s="560">
        <f>+ROUND($I60*P60,2)</f>
        <v>35.159999999999997</v>
      </c>
      <c r="R60" s="641"/>
      <c r="S60" s="560">
        <f t="shared" si="31"/>
        <v>0</v>
      </c>
      <c r="T60" s="641"/>
      <c r="U60" s="560">
        <f t="shared" si="32"/>
        <v>0</v>
      </c>
      <c r="V60" s="641"/>
      <c r="Y60" s="1149">
        <v>0</v>
      </c>
      <c r="AA60" s="1146"/>
    </row>
    <row r="61" spans="2:27" s="547" customFormat="1" ht="21" customHeight="1" x14ac:dyDescent="0.25">
      <c r="B61" s="559">
        <v>8.0599999999999987</v>
      </c>
      <c r="C61" s="575" t="e">
        <f t="shared" ref="C61:C121" si="35">+C60+1</f>
        <v>#REF!</v>
      </c>
      <c r="D61" s="501" t="s">
        <v>769</v>
      </c>
      <c r="E61" s="642"/>
      <c r="F61" s="643"/>
      <c r="G61" s="564" t="s">
        <v>13</v>
      </c>
      <c r="H61" s="640"/>
      <c r="I61" s="640">
        <v>1</v>
      </c>
      <c r="J61" s="633"/>
      <c r="K61" s="633">
        <f t="shared" si="0"/>
        <v>0</v>
      </c>
      <c r="L61" s="560">
        <f>+[192]Metrado!E56</f>
        <v>13.799999999999999</v>
      </c>
      <c r="M61" s="560">
        <f>+ROUND($I61*L61,2)</f>
        <v>13.8</v>
      </c>
      <c r="N61" s="560"/>
      <c r="O61" s="560">
        <f t="shared" si="31"/>
        <v>0</v>
      </c>
      <c r="P61" s="633">
        <f>+L61</f>
        <v>13.799999999999999</v>
      </c>
      <c r="Q61" s="560">
        <f>+ROUND($I61*P61,2)</f>
        <v>13.8</v>
      </c>
      <c r="R61" s="633"/>
      <c r="S61" s="560">
        <f t="shared" si="31"/>
        <v>0</v>
      </c>
      <c r="T61" s="633"/>
      <c r="U61" s="560">
        <f t="shared" si="32"/>
        <v>0</v>
      </c>
      <c r="V61" s="633"/>
      <c r="Y61" s="1149">
        <v>0</v>
      </c>
      <c r="AA61" s="1146"/>
    </row>
    <row r="62" spans="2:27" ht="21" customHeight="1" x14ac:dyDescent="0.25">
      <c r="B62" s="456"/>
      <c r="C62" s="482" t="e">
        <f t="shared" si="35"/>
        <v>#REF!</v>
      </c>
      <c r="D62" s="537"/>
      <c r="E62" s="538"/>
      <c r="F62" s="533" t="str">
        <f>+"SUB-TOTAL   "&amp;B55&amp;":  "</f>
        <v xml:space="preserve">SUB-TOTAL   8:  </v>
      </c>
      <c r="G62" s="440"/>
      <c r="H62" s="540"/>
      <c r="I62" s="540"/>
      <c r="J62" s="540"/>
      <c r="K62" s="589">
        <f>+SUM(K56:K61)</f>
        <v>1381.5</v>
      </c>
      <c r="L62" s="540"/>
      <c r="M62" s="589">
        <f>+SUM(M56:M61)</f>
        <v>1716.95</v>
      </c>
      <c r="N62" s="589"/>
      <c r="O62" s="589">
        <f>+SUM(O56:O61)</f>
        <v>294.26</v>
      </c>
      <c r="P62" s="589"/>
      <c r="Q62" s="589">
        <f>+SUM(Q56:Q61)</f>
        <v>48.959999999999994</v>
      </c>
      <c r="R62" s="589"/>
      <c r="S62" s="589">
        <f>+SUM(S56:S61)</f>
        <v>7.77</v>
      </c>
      <c r="T62" s="589"/>
      <c r="U62" s="589">
        <f>+SUM(U56:U61)</f>
        <v>0</v>
      </c>
      <c r="V62" s="589"/>
      <c r="Y62" s="1147">
        <v>0</v>
      </c>
      <c r="AA62" s="1146"/>
    </row>
    <row r="63" spans="2:27" ht="21" customHeight="1" x14ac:dyDescent="0.25">
      <c r="B63" s="452">
        <f>+B55+1</f>
        <v>9</v>
      </c>
      <c r="C63" s="482" t="e">
        <f t="shared" si="35"/>
        <v>#REF!</v>
      </c>
      <c r="D63" s="453" t="s">
        <v>482</v>
      </c>
      <c r="E63" s="445"/>
      <c r="F63" s="446"/>
      <c r="G63" s="440"/>
      <c r="H63" s="438"/>
      <c r="I63" s="438"/>
      <c r="J63" s="438"/>
      <c r="K63" s="438"/>
      <c r="L63" s="756"/>
      <c r="M63" s="438"/>
      <c r="N63" s="438"/>
      <c r="O63" s="438"/>
      <c r="P63" s="438"/>
      <c r="Q63" s="438"/>
      <c r="R63" s="438"/>
      <c r="S63" s="438"/>
      <c r="T63" s="438"/>
      <c r="U63" s="438"/>
      <c r="V63" s="457"/>
      <c r="Y63" s="1147">
        <v>0</v>
      </c>
      <c r="AA63" s="1146"/>
    </row>
    <row r="64" spans="2:27" ht="21" customHeight="1" x14ac:dyDescent="0.25">
      <c r="B64" s="562">
        <v>9.01</v>
      </c>
      <c r="C64" s="576" t="e">
        <f t="shared" si="35"/>
        <v>#REF!</v>
      </c>
      <c r="D64" s="502" t="s">
        <v>14</v>
      </c>
      <c r="E64" s="496"/>
      <c r="F64" s="497"/>
      <c r="G64" s="532" t="s">
        <v>13</v>
      </c>
      <c r="H64" s="553">
        <v>12.8</v>
      </c>
      <c r="I64" s="553"/>
      <c r="J64" s="553">
        <v>717.5</v>
      </c>
      <c r="K64" s="553">
        <f t="shared" ref="K64:K132" si="36">+ROUND($H64*J64,2)</f>
        <v>9184</v>
      </c>
      <c r="L64" s="553">
        <f>+[192]Metrado!E59</f>
        <v>431.5</v>
      </c>
      <c r="M64" s="553">
        <f t="shared" ref="M64:S64" si="37">+ROUND($H64*L64,2)</f>
        <v>5523.2</v>
      </c>
      <c r="N64" s="553">
        <f>+IF($L64-$J64&gt;=0,$L64-$J64,0)</f>
        <v>0</v>
      </c>
      <c r="O64" s="553">
        <f t="shared" si="37"/>
        <v>0</v>
      </c>
      <c r="P64" s="553"/>
      <c r="Q64" s="553">
        <f t="shared" si="37"/>
        <v>0</v>
      </c>
      <c r="R64" s="553">
        <f>+IF($L64-$J64&lt;=0,-$L64+$J64,0)</f>
        <v>286</v>
      </c>
      <c r="S64" s="553">
        <f t="shared" si="37"/>
        <v>3660.8</v>
      </c>
      <c r="T64" s="553"/>
      <c r="U64" s="553">
        <f t="shared" ref="U64" si="38">+ROUND($H64*T64,2)</f>
        <v>0</v>
      </c>
      <c r="V64" s="553"/>
      <c r="Y64" s="1147">
        <v>0</v>
      </c>
      <c r="AA64" s="1146"/>
    </row>
    <row r="65" spans="2:27" ht="21" customHeight="1" x14ac:dyDescent="0.25">
      <c r="B65" s="456"/>
      <c r="C65" s="466" t="e">
        <f>+#REF!+1</f>
        <v>#REF!</v>
      </c>
      <c r="D65" s="537"/>
      <c r="E65" s="595"/>
      <c r="F65" s="544" t="str">
        <f>+"SUB-TOTAL   "&amp;B63&amp;":  "</f>
        <v xml:space="preserve">SUB-TOTAL   9:  </v>
      </c>
      <c r="G65" s="440"/>
      <c r="H65" s="540"/>
      <c r="I65" s="540"/>
      <c r="J65" s="540"/>
      <c r="K65" s="589">
        <f>+SUM(K64:K64)</f>
        <v>9184</v>
      </c>
      <c r="L65" s="540"/>
      <c r="M65" s="589">
        <f>+SUM(M64:M64)</f>
        <v>5523.2</v>
      </c>
      <c r="N65" s="589"/>
      <c r="O65" s="589">
        <f>+SUM(O64:O64)</f>
        <v>0</v>
      </c>
      <c r="P65" s="589"/>
      <c r="Q65" s="589">
        <f>+SUM(Q64:Q64)</f>
        <v>0</v>
      </c>
      <c r="R65" s="589"/>
      <c r="S65" s="589">
        <f>+SUM(S64:S64)</f>
        <v>3660.8</v>
      </c>
      <c r="T65" s="589"/>
      <c r="U65" s="589">
        <f>+SUM(U64:U64)</f>
        <v>0</v>
      </c>
      <c r="V65" s="589"/>
      <c r="Y65" s="1147">
        <v>0</v>
      </c>
      <c r="AA65" s="1146"/>
    </row>
    <row r="66" spans="2:27" ht="21" customHeight="1" x14ac:dyDescent="0.25">
      <c r="B66" s="452">
        <f>1+B63</f>
        <v>10</v>
      </c>
      <c r="C66" s="466" t="e">
        <f t="shared" si="35"/>
        <v>#REF!</v>
      </c>
      <c r="D66" s="453" t="s">
        <v>481</v>
      </c>
      <c r="E66" s="445"/>
      <c r="F66" s="446"/>
      <c r="G66" s="440"/>
      <c r="H66" s="590"/>
      <c r="I66" s="590"/>
      <c r="J66" s="591"/>
      <c r="K66" s="592"/>
      <c r="L66" s="756"/>
      <c r="M66" s="592"/>
      <c r="N66" s="590"/>
      <c r="O66" s="592"/>
      <c r="P66" s="590"/>
      <c r="Q66" s="592"/>
      <c r="R66" s="590"/>
      <c r="S66" s="592"/>
      <c r="T66" s="590"/>
      <c r="U66" s="592"/>
      <c r="V66" s="590"/>
      <c r="Y66" s="1147">
        <v>0</v>
      </c>
      <c r="AA66" s="1146"/>
    </row>
    <row r="67" spans="2:27" ht="21" customHeight="1" x14ac:dyDescent="0.25">
      <c r="B67" s="562">
        <v>10.01</v>
      </c>
      <c r="C67" s="576" t="e">
        <f>+C61+1</f>
        <v>#REF!</v>
      </c>
      <c r="D67" s="502" t="s">
        <v>480</v>
      </c>
      <c r="E67" s="513"/>
      <c r="F67" s="499"/>
      <c r="G67" s="530" t="s">
        <v>11</v>
      </c>
      <c r="H67" s="593">
        <v>3.86</v>
      </c>
      <c r="I67" s="593"/>
      <c r="J67" s="553">
        <v>13</v>
      </c>
      <c r="K67" s="558">
        <f t="shared" ref="K67:K73" si="39">+ROUND($H67*J67,2)</f>
        <v>50.18</v>
      </c>
      <c r="L67" s="553">
        <f>+[192]Metrado!E62</f>
        <v>20</v>
      </c>
      <c r="M67" s="558">
        <f t="shared" ref="M67:S82" si="40">+ROUND($H67*L67,2)</f>
        <v>77.2</v>
      </c>
      <c r="N67" s="558">
        <f>+IF($L67-$J67&gt;=0,$L67-$J67,0)</f>
        <v>7</v>
      </c>
      <c r="O67" s="558">
        <f t="shared" ref="O67:O73" si="41">+ROUND($H67*N67,2)</f>
        <v>27.02</v>
      </c>
      <c r="P67" s="593"/>
      <c r="Q67" s="558">
        <f t="shared" ref="Q67:Q73" si="42">+ROUND($H67*P67,2)</f>
        <v>0</v>
      </c>
      <c r="R67" s="553">
        <f>+IF($L67-$J67&lt;=0,-$L67+$J67,0)</f>
        <v>0</v>
      </c>
      <c r="S67" s="558">
        <f t="shared" ref="S67:S73" si="43">+ROUND($H67*R67,2)</f>
        <v>0</v>
      </c>
      <c r="T67" s="593"/>
      <c r="U67" s="558">
        <f t="shared" ref="U67:U84" si="44">+ROUND($H67*T67,2)</f>
        <v>0</v>
      </c>
      <c r="V67" s="593"/>
      <c r="Y67" s="1147">
        <v>0</v>
      </c>
      <c r="AA67" s="1146"/>
    </row>
    <row r="68" spans="2:27" ht="21" customHeight="1" x14ac:dyDescent="0.25">
      <c r="B68" s="562">
        <v>10.02</v>
      </c>
      <c r="C68" s="576" t="e">
        <f t="shared" si="35"/>
        <v>#REF!</v>
      </c>
      <c r="D68" s="502" t="s">
        <v>339</v>
      </c>
      <c r="E68" s="514"/>
      <c r="F68" s="515"/>
      <c r="G68" s="530" t="s">
        <v>11</v>
      </c>
      <c r="H68" s="553">
        <v>6.25</v>
      </c>
      <c r="I68" s="553"/>
      <c r="J68" s="553">
        <v>13</v>
      </c>
      <c r="K68" s="558">
        <f t="shared" si="39"/>
        <v>81.25</v>
      </c>
      <c r="L68" s="553">
        <f>+[192]Metrado!E63</f>
        <v>15</v>
      </c>
      <c r="M68" s="558">
        <f t="shared" si="40"/>
        <v>93.75</v>
      </c>
      <c r="N68" s="558">
        <f t="shared" ref="N68:N73" si="45">+IF($L68-$J68&gt;=0,$L68-$J68,0)</f>
        <v>2</v>
      </c>
      <c r="O68" s="558">
        <f t="shared" si="41"/>
        <v>12.5</v>
      </c>
      <c r="P68" s="553"/>
      <c r="Q68" s="558">
        <f t="shared" si="42"/>
        <v>0</v>
      </c>
      <c r="R68" s="553">
        <f t="shared" ref="R68:R73" si="46">+IF($L68-$J68&lt;=0,-$L68+$J68,0)</f>
        <v>0</v>
      </c>
      <c r="S68" s="558">
        <f t="shared" si="43"/>
        <v>0</v>
      </c>
      <c r="T68" s="553"/>
      <c r="U68" s="558">
        <f t="shared" si="44"/>
        <v>0</v>
      </c>
      <c r="V68" s="553"/>
      <c r="Y68" s="1147">
        <v>0</v>
      </c>
      <c r="AA68" s="1146"/>
    </row>
    <row r="69" spans="2:27" ht="21" customHeight="1" x14ac:dyDescent="0.25">
      <c r="B69" s="562">
        <v>10.029999999999999</v>
      </c>
      <c r="C69" s="576" t="e">
        <f t="shared" si="35"/>
        <v>#REF!</v>
      </c>
      <c r="D69" s="502" t="s">
        <v>479</v>
      </c>
      <c r="E69" s="496"/>
      <c r="F69" s="497"/>
      <c r="G69" s="530" t="s">
        <v>11</v>
      </c>
      <c r="H69" s="553">
        <v>8.61</v>
      </c>
      <c r="I69" s="553"/>
      <c r="J69" s="553">
        <v>32</v>
      </c>
      <c r="K69" s="558">
        <f t="shared" si="39"/>
        <v>275.52</v>
      </c>
      <c r="L69" s="553">
        <f>+[192]Metrado!E64</f>
        <v>25</v>
      </c>
      <c r="M69" s="558">
        <f t="shared" si="40"/>
        <v>215.25</v>
      </c>
      <c r="N69" s="558">
        <f t="shared" si="45"/>
        <v>0</v>
      </c>
      <c r="O69" s="558">
        <f t="shared" si="41"/>
        <v>0</v>
      </c>
      <c r="P69" s="553"/>
      <c r="Q69" s="558">
        <f t="shared" si="42"/>
        <v>0</v>
      </c>
      <c r="R69" s="553">
        <f t="shared" si="46"/>
        <v>7</v>
      </c>
      <c r="S69" s="558">
        <f t="shared" si="43"/>
        <v>60.27</v>
      </c>
      <c r="T69" s="553">
        <f>+N70+N71</f>
        <v>6</v>
      </c>
      <c r="U69" s="558">
        <f t="shared" si="44"/>
        <v>51.66</v>
      </c>
      <c r="V69" s="553" t="s">
        <v>870</v>
      </c>
      <c r="Y69" s="1147">
        <v>0</v>
      </c>
      <c r="AA69" s="1146"/>
    </row>
    <row r="70" spans="2:27" ht="21" customHeight="1" x14ac:dyDescent="0.25">
      <c r="B70" s="562">
        <v>10.039999999999999</v>
      </c>
      <c r="C70" s="576" t="e">
        <f t="shared" si="35"/>
        <v>#REF!</v>
      </c>
      <c r="D70" s="502" t="s">
        <v>478</v>
      </c>
      <c r="E70" s="496"/>
      <c r="F70" s="497"/>
      <c r="G70" s="530" t="s">
        <v>11</v>
      </c>
      <c r="H70" s="553">
        <v>9.14</v>
      </c>
      <c r="I70" s="553"/>
      <c r="J70" s="553">
        <v>26</v>
      </c>
      <c r="K70" s="558">
        <f t="shared" si="39"/>
        <v>237.64</v>
      </c>
      <c r="L70" s="553">
        <f>+[192]Metrado!E65</f>
        <v>30</v>
      </c>
      <c r="M70" s="558">
        <f t="shared" si="40"/>
        <v>274.2</v>
      </c>
      <c r="N70" s="558">
        <f t="shared" si="45"/>
        <v>4</v>
      </c>
      <c r="O70" s="558">
        <f t="shared" si="41"/>
        <v>36.56</v>
      </c>
      <c r="P70" s="553"/>
      <c r="Q70" s="558">
        <f t="shared" si="42"/>
        <v>0</v>
      </c>
      <c r="R70" s="553">
        <f t="shared" si="46"/>
        <v>0</v>
      </c>
      <c r="S70" s="558">
        <f t="shared" si="43"/>
        <v>0</v>
      </c>
      <c r="T70" s="553"/>
      <c r="U70" s="558">
        <f t="shared" si="44"/>
        <v>0</v>
      </c>
      <c r="V70" s="553"/>
      <c r="Y70" s="1147">
        <v>0</v>
      </c>
      <c r="AA70" s="1146"/>
    </row>
    <row r="71" spans="2:27" ht="21" customHeight="1" x14ac:dyDescent="0.25">
      <c r="B71" s="562">
        <v>10.049999999999999</v>
      </c>
      <c r="C71" s="576" t="e">
        <f>+C68+1</f>
        <v>#REF!</v>
      </c>
      <c r="D71" s="502" t="s">
        <v>477</v>
      </c>
      <c r="E71" s="496"/>
      <c r="F71" s="497"/>
      <c r="G71" s="530" t="s">
        <v>11</v>
      </c>
      <c r="H71" s="553">
        <v>9.82</v>
      </c>
      <c r="I71" s="553"/>
      <c r="J71" s="553">
        <v>13</v>
      </c>
      <c r="K71" s="558">
        <f t="shared" si="39"/>
        <v>127.66</v>
      </c>
      <c r="L71" s="553">
        <f>+[192]Metrado!E66</f>
        <v>15</v>
      </c>
      <c r="M71" s="558">
        <f t="shared" si="40"/>
        <v>147.30000000000001</v>
      </c>
      <c r="N71" s="558">
        <f t="shared" si="45"/>
        <v>2</v>
      </c>
      <c r="O71" s="558">
        <f t="shared" si="41"/>
        <v>19.64</v>
      </c>
      <c r="P71" s="553"/>
      <c r="Q71" s="558">
        <f t="shared" si="42"/>
        <v>0</v>
      </c>
      <c r="R71" s="553">
        <f t="shared" si="46"/>
        <v>0</v>
      </c>
      <c r="S71" s="558">
        <f t="shared" si="43"/>
        <v>0</v>
      </c>
      <c r="T71" s="553"/>
      <c r="U71" s="558">
        <f t="shared" si="44"/>
        <v>0</v>
      </c>
      <c r="V71" s="553"/>
      <c r="Y71" s="1147">
        <v>0</v>
      </c>
      <c r="AA71" s="1146"/>
    </row>
    <row r="72" spans="2:27" ht="21" customHeight="1" x14ac:dyDescent="0.25">
      <c r="B72" s="562">
        <v>10.059999999999999</v>
      </c>
      <c r="C72" s="576" t="e">
        <f t="shared" si="35"/>
        <v>#REF!</v>
      </c>
      <c r="D72" s="502" t="s">
        <v>15</v>
      </c>
      <c r="E72" s="496"/>
      <c r="F72" s="497"/>
      <c r="G72" s="530" t="s">
        <v>11</v>
      </c>
      <c r="H72" s="553">
        <v>13.11</v>
      </c>
      <c r="I72" s="553"/>
      <c r="J72" s="553">
        <v>16</v>
      </c>
      <c r="K72" s="558">
        <f t="shared" si="39"/>
        <v>209.76</v>
      </c>
      <c r="L72" s="553">
        <f>+[192]Metrado!E67</f>
        <v>7</v>
      </c>
      <c r="M72" s="558">
        <f t="shared" si="40"/>
        <v>91.77</v>
      </c>
      <c r="N72" s="558">
        <f t="shared" si="45"/>
        <v>0</v>
      </c>
      <c r="O72" s="558">
        <f t="shared" si="41"/>
        <v>0</v>
      </c>
      <c r="P72" s="553"/>
      <c r="Q72" s="558">
        <f t="shared" si="42"/>
        <v>0</v>
      </c>
      <c r="R72" s="553">
        <f t="shared" si="46"/>
        <v>9</v>
      </c>
      <c r="S72" s="558">
        <f t="shared" si="43"/>
        <v>117.99</v>
      </c>
      <c r="T72" s="553"/>
      <c r="U72" s="558">
        <f t="shared" si="44"/>
        <v>0</v>
      </c>
      <c r="V72" s="553"/>
      <c r="Y72" s="1147">
        <v>0</v>
      </c>
      <c r="AA72" s="1146"/>
    </row>
    <row r="73" spans="2:27" ht="21" customHeight="1" x14ac:dyDescent="0.25">
      <c r="B73" s="562">
        <v>10.069999999999999</v>
      </c>
      <c r="C73" s="576" t="e">
        <f>+C70+1</f>
        <v>#REF!</v>
      </c>
      <c r="D73" s="502" t="s">
        <v>475</v>
      </c>
      <c r="E73" s="496"/>
      <c r="F73" s="497"/>
      <c r="G73" s="530" t="s">
        <v>11</v>
      </c>
      <c r="H73" s="553">
        <v>18.18</v>
      </c>
      <c r="I73" s="553"/>
      <c r="J73" s="553">
        <v>50</v>
      </c>
      <c r="K73" s="558">
        <f t="shared" si="39"/>
        <v>909</v>
      </c>
      <c r="L73" s="553">
        <f>+[192]Metrado!E68</f>
        <v>60</v>
      </c>
      <c r="M73" s="558">
        <f t="shared" si="40"/>
        <v>1090.8</v>
      </c>
      <c r="N73" s="558">
        <f t="shared" si="45"/>
        <v>10</v>
      </c>
      <c r="O73" s="558">
        <f t="shared" si="41"/>
        <v>181.8</v>
      </c>
      <c r="P73" s="553"/>
      <c r="Q73" s="558">
        <f t="shared" si="42"/>
        <v>0</v>
      </c>
      <c r="R73" s="553">
        <f t="shared" si="46"/>
        <v>0</v>
      </c>
      <c r="S73" s="558">
        <f t="shared" si="43"/>
        <v>0</v>
      </c>
      <c r="T73" s="553"/>
      <c r="U73" s="558">
        <f t="shared" si="44"/>
        <v>0</v>
      </c>
      <c r="V73" s="553"/>
      <c r="Y73" s="1147">
        <v>0</v>
      </c>
      <c r="AA73" s="1146"/>
    </row>
    <row r="74" spans="2:27" ht="21" customHeight="1" x14ac:dyDescent="0.25">
      <c r="B74" s="562">
        <v>10.079999999999998</v>
      </c>
      <c r="C74" s="576" t="e">
        <f>+C66+1</f>
        <v>#REF!</v>
      </c>
      <c r="D74" s="502" t="s">
        <v>473</v>
      </c>
      <c r="E74" s="513"/>
      <c r="F74" s="499"/>
      <c r="G74" s="530" t="s">
        <v>11</v>
      </c>
      <c r="H74" s="593">
        <v>2.74</v>
      </c>
      <c r="I74" s="593"/>
      <c r="J74" s="553">
        <v>2</v>
      </c>
      <c r="K74" s="558">
        <f t="shared" si="36"/>
        <v>5.48</v>
      </c>
      <c r="L74" s="553">
        <f>+[192]Metrado!E69</f>
        <v>0</v>
      </c>
      <c r="M74" s="558">
        <f t="shared" si="40"/>
        <v>0</v>
      </c>
      <c r="N74" s="558">
        <f>+IF($L74-$J74&gt;=0,$L74-$J74,0)</f>
        <v>0</v>
      </c>
      <c r="O74" s="558">
        <f t="shared" si="40"/>
        <v>0</v>
      </c>
      <c r="P74" s="593"/>
      <c r="Q74" s="558">
        <f t="shared" si="40"/>
        <v>0</v>
      </c>
      <c r="R74" s="553">
        <f>+IF($L74-$J74&lt;=0,-$L74+$J74,0)</f>
        <v>2</v>
      </c>
      <c r="S74" s="558">
        <f t="shared" si="40"/>
        <v>5.48</v>
      </c>
      <c r="T74" s="606">
        <f>+R74</f>
        <v>2</v>
      </c>
      <c r="U74" s="558">
        <f t="shared" si="44"/>
        <v>5.48</v>
      </c>
      <c r="V74" s="553" t="s">
        <v>871</v>
      </c>
      <c r="Y74" s="1147">
        <v>0</v>
      </c>
      <c r="AA74" s="1146"/>
    </row>
    <row r="75" spans="2:27" ht="21" customHeight="1" x14ac:dyDescent="0.25">
      <c r="B75" s="562">
        <v>10.089999999999998</v>
      </c>
      <c r="C75" s="576" t="e">
        <f t="shared" si="35"/>
        <v>#REF!</v>
      </c>
      <c r="D75" s="502" t="s">
        <v>472</v>
      </c>
      <c r="E75" s="514"/>
      <c r="F75" s="515"/>
      <c r="G75" s="530" t="s">
        <v>11</v>
      </c>
      <c r="H75" s="553">
        <v>22.46</v>
      </c>
      <c r="I75" s="553"/>
      <c r="J75" s="553">
        <v>13</v>
      </c>
      <c r="K75" s="558">
        <f t="shared" si="36"/>
        <v>291.98</v>
      </c>
      <c r="L75" s="553">
        <f>+[192]Metrado!E70</f>
        <v>20</v>
      </c>
      <c r="M75" s="558">
        <f t="shared" si="40"/>
        <v>449.2</v>
      </c>
      <c r="N75" s="558">
        <f t="shared" ref="N75:N81" si="47">+IF($L75-$J75&gt;=0,$L75-$J75,0)</f>
        <v>7</v>
      </c>
      <c r="O75" s="558">
        <f t="shared" si="40"/>
        <v>157.22</v>
      </c>
      <c r="P75" s="553"/>
      <c r="Q75" s="558">
        <f t="shared" si="40"/>
        <v>0</v>
      </c>
      <c r="R75" s="553">
        <f t="shared" ref="R75:R81" si="48">+IF($L75-$J75&lt;=0,-$L75+$J75,0)</f>
        <v>0</v>
      </c>
      <c r="S75" s="558">
        <f t="shared" si="40"/>
        <v>0</v>
      </c>
      <c r="T75" s="553"/>
      <c r="U75" s="558">
        <f t="shared" si="44"/>
        <v>0</v>
      </c>
      <c r="V75" s="553"/>
      <c r="Y75" s="1147">
        <v>0</v>
      </c>
      <c r="AA75" s="1146"/>
    </row>
    <row r="76" spans="2:27" ht="21" customHeight="1" x14ac:dyDescent="0.25">
      <c r="B76" s="562">
        <v>10.099999999999998</v>
      </c>
      <c r="C76" s="576" t="e">
        <f t="shared" si="35"/>
        <v>#REF!</v>
      </c>
      <c r="D76" s="502" t="s">
        <v>460</v>
      </c>
      <c r="E76" s="496"/>
      <c r="F76" s="497"/>
      <c r="G76" s="530" t="s">
        <v>11</v>
      </c>
      <c r="H76" s="553">
        <v>1.67</v>
      </c>
      <c r="I76" s="553"/>
      <c r="J76" s="553">
        <v>107</v>
      </c>
      <c r="K76" s="558">
        <f t="shared" si="36"/>
        <v>178.69</v>
      </c>
      <c r="L76" s="553">
        <f>+[192]Metrado!E71</f>
        <v>149</v>
      </c>
      <c r="M76" s="558">
        <f t="shared" si="40"/>
        <v>248.83</v>
      </c>
      <c r="N76" s="558">
        <f t="shared" si="47"/>
        <v>42</v>
      </c>
      <c r="O76" s="558">
        <f t="shared" si="40"/>
        <v>70.14</v>
      </c>
      <c r="P76" s="553"/>
      <c r="Q76" s="558">
        <f t="shared" si="40"/>
        <v>0</v>
      </c>
      <c r="R76" s="553">
        <f t="shared" si="48"/>
        <v>0</v>
      </c>
      <c r="S76" s="558">
        <f t="shared" si="40"/>
        <v>0</v>
      </c>
      <c r="T76" s="553"/>
      <c r="U76" s="558">
        <f t="shared" si="44"/>
        <v>0</v>
      </c>
      <c r="V76" s="553"/>
      <c r="Y76" s="1147">
        <v>0</v>
      </c>
      <c r="AA76" s="1146"/>
    </row>
    <row r="77" spans="2:27" ht="21" customHeight="1" x14ac:dyDescent="0.25">
      <c r="B77" s="562">
        <v>10.109999999999998</v>
      </c>
      <c r="C77" s="576" t="e">
        <f t="shared" si="35"/>
        <v>#REF!</v>
      </c>
      <c r="D77" s="502" t="s">
        <v>335</v>
      </c>
      <c r="E77" s="496"/>
      <c r="F77" s="497"/>
      <c r="G77" s="530" t="s">
        <v>11</v>
      </c>
      <c r="H77" s="553">
        <v>1.67</v>
      </c>
      <c r="I77" s="553"/>
      <c r="J77" s="553">
        <v>211</v>
      </c>
      <c r="K77" s="558">
        <f t="shared" si="36"/>
        <v>352.37</v>
      </c>
      <c r="L77" s="553">
        <f>+[192]Metrado!E72</f>
        <v>212</v>
      </c>
      <c r="M77" s="558">
        <f t="shared" si="40"/>
        <v>354.04</v>
      </c>
      <c r="N77" s="558">
        <f t="shared" si="47"/>
        <v>1</v>
      </c>
      <c r="O77" s="558">
        <f t="shared" si="40"/>
        <v>1.67</v>
      </c>
      <c r="P77" s="553"/>
      <c r="Q77" s="558">
        <f t="shared" si="40"/>
        <v>0</v>
      </c>
      <c r="R77" s="553">
        <f t="shared" si="48"/>
        <v>0</v>
      </c>
      <c r="S77" s="558">
        <f t="shared" si="40"/>
        <v>0</v>
      </c>
      <c r="T77" s="553">
        <f>+R77</f>
        <v>0</v>
      </c>
      <c r="U77" s="558">
        <f t="shared" si="44"/>
        <v>0</v>
      </c>
      <c r="V77" s="553" t="s">
        <v>872</v>
      </c>
      <c r="Y77" s="1147">
        <v>0</v>
      </c>
      <c r="AA77" s="1146"/>
    </row>
    <row r="78" spans="2:27" ht="21" customHeight="1" x14ac:dyDescent="0.25">
      <c r="B78" s="562">
        <v>10.119999999999997</v>
      </c>
      <c r="C78" s="576" t="e">
        <f>+C75+1</f>
        <v>#REF!</v>
      </c>
      <c r="D78" s="502" t="s">
        <v>17</v>
      </c>
      <c r="E78" s="496"/>
      <c r="F78" s="497"/>
      <c r="G78" s="530" t="s">
        <v>18</v>
      </c>
      <c r="H78" s="553">
        <v>23.08</v>
      </c>
      <c r="I78" s="553"/>
      <c r="J78" s="553">
        <v>34</v>
      </c>
      <c r="K78" s="558">
        <f t="shared" si="36"/>
        <v>784.72</v>
      </c>
      <c r="L78" s="553">
        <f>+[192]Metrado!E73</f>
        <v>17</v>
      </c>
      <c r="M78" s="558">
        <f t="shared" si="40"/>
        <v>392.36</v>
      </c>
      <c r="N78" s="558">
        <f t="shared" si="47"/>
        <v>0</v>
      </c>
      <c r="O78" s="558">
        <f t="shared" si="40"/>
        <v>0</v>
      </c>
      <c r="P78" s="553"/>
      <c r="Q78" s="558">
        <f t="shared" si="40"/>
        <v>0</v>
      </c>
      <c r="R78" s="553">
        <f t="shared" si="48"/>
        <v>17</v>
      </c>
      <c r="S78" s="558">
        <f t="shared" si="40"/>
        <v>392.36</v>
      </c>
      <c r="T78" s="553"/>
      <c r="U78" s="558">
        <f t="shared" si="44"/>
        <v>0</v>
      </c>
      <c r="V78" s="553"/>
      <c r="Y78" s="1147">
        <v>0</v>
      </c>
      <c r="AA78" s="1146"/>
    </row>
    <row r="79" spans="2:27" ht="21" customHeight="1" x14ac:dyDescent="0.25">
      <c r="B79" s="562">
        <v>10.129999999999997</v>
      </c>
      <c r="C79" s="576" t="e">
        <f t="shared" si="35"/>
        <v>#REF!</v>
      </c>
      <c r="D79" s="502" t="s">
        <v>470</v>
      </c>
      <c r="E79" s="496"/>
      <c r="F79" s="497"/>
      <c r="G79" s="530" t="s">
        <v>11</v>
      </c>
      <c r="H79" s="553">
        <v>18.239999999999998</v>
      </c>
      <c r="I79" s="553"/>
      <c r="J79" s="553">
        <v>2</v>
      </c>
      <c r="K79" s="558">
        <f t="shared" si="36"/>
        <v>36.479999999999997</v>
      </c>
      <c r="L79" s="553">
        <f>+[192]Metrado!E74</f>
        <v>0</v>
      </c>
      <c r="M79" s="558">
        <f t="shared" si="40"/>
        <v>0</v>
      </c>
      <c r="N79" s="558">
        <f t="shared" si="47"/>
        <v>0</v>
      </c>
      <c r="O79" s="558">
        <f t="shared" si="40"/>
        <v>0</v>
      </c>
      <c r="P79" s="553"/>
      <c r="Q79" s="558">
        <f t="shared" si="40"/>
        <v>0</v>
      </c>
      <c r="R79" s="553">
        <f t="shared" si="48"/>
        <v>2</v>
      </c>
      <c r="S79" s="558">
        <f t="shared" si="40"/>
        <v>36.479999999999997</v>
      </c>
      <c r="T79" s="553"/>
      <c r="U79" s="558">
        <f t="shared" si="44"/>
        <v>0</v>
      </c>
      <c r="V79" s="553"/>
      <c r="Y79" s="1147">
        <v>0</v>
      </c>
      <c r="AA79" s="1146"/>
    </row>
    <row r="80" spans="2:27" ht="21" customHeight="1" x14ac:dyDescent="0.25">
      <c r="B80" s="562">
        <v>10.139999999999997</v>
      </c>
      <c r="C80" s="576" t="e">
        <f>+C77+1</f>
        <v>#REF!</v>
      </c>
      <c r="D80" s="502" t="s">
        <v>342</v>
      </c>
      <c r="E80" s="496"/>
      <c r="F80" s="497"/>
      <c r="G80" s="530" t="s">
        <v>11</v>
      </c>
      <c r="H80" s="553">
        <v>16.84</v>
      </c>
      <c r="I80" s="553"/>
      <c r="J80" s="553">
        <v>2</v>
      </c>
      <c r="K80" s="558">
        <f t="shared" si="36"/>
        <v>33.68</v>
      </c>
      <c r="L80" s="553">
        <f>+[192]Metrado!E75</f>
        <v>0</v>
      </c>
      <c r="M80" s="558">
        <f t="shared" si="40"/>
        <v>0</v>
      </c>
      <c r="N80" s="558">
        <f t="shared" si="47"/>
        <v>0</v>
      </c>
      <c r="O80" s="558">
        <f t="shared" si="40"/>
        <v>0</v>
      </c>
      <c r="P80" s="553"/>
      <c r="Q80" s="558">
        <f t="shared" si="40"/>
        <v>0</v>
      </c>
      <c r="R80" s="553">
        <f t="shared" si="48"/>
        <v>2</v>
      </c>
      <c r="S80" s="558">
        <f t="shared" si="40"/>
        <v>33.68</v>
      </c>
      <c r="T80" s="553"/>
      <c r="U80" s="558">
        <f t="shared" si="44"/>
        <v>0</v>
      </c>
      <c r="V80" s="553"/>
      <c r="Y80" s="1147">
        <v>0</v>
      </c>
      <c r="AA80" s="1146"/>
    </row>
    <row r="81" spans="2:27" ht="21" customHeight="1" x14ac:dyDescent="0.25">
      <c r="B81" s="562">
        <v>10.149999999999997</v>
      </c>
      <c r="C81" s="576" t="e">
        <f>+C80+1</f>
        <v>#REF!</v>
      </c>
      <c r="D81" s="502" t="s">
        <v>469</v>
      </c>
      <c r="E81" s="496"/>
      <c r="F81" s="497"/>
      <c r="G81" s="530" t="s">
        <v>11</v>
      </c>
      <c r="H81" s="553">
        <v>18.78</v>
      </c>
      <c r="I81" s="553"/>
      <c r="J81" s="553">
        <v>2</v>
      </c>
      <c r="K81" s="558">
        <f t="shared" si="36"/>
        <v>37.56</v>
      </c>
      <c r="L81" s="553">
        <f>+[192]Metrado!E76</f>
        <v>0</v>
      </c>
      <c r="M81" s="558">
        <f t="shared" si="40"/>
        <v>0</v>
      </c>
      <c r="N81" s="558">
        <f t="shared" si="47"/>
        <v>0</v>
      </c>
      <c r="O81" s="558">
        <f t="shared" si="40"/>
        <v>0</v>
      </c>
      <c r="P81" s="553"/>
      <c r="Q81" s="558">
        <f t="shared" si="40"/>
        <v>0</v>
      </c>
      <c r="R81" s="553">
        <f t="shared" si="48"/>
        <v>2</v>
      </c>
      <c r="S81" s="558">
        <f t="shared" si="40"/>
        <v>37.56</v>
      </c>
      <c r="T81" s="553"/>
      <c r="U81" s="558">
        <f t="shared" si="44"/>
        <v>0</v>
      </c>
      <c r="V81" s="553"/>
      <c r="Y81" s="1147">
        <v>0</v>
      </c>
      <c r="AA81" s="1146"/>
    </row>
    <row r="82" spans="2:27" s="547" customFormat="1" ht="21" customHeight="1" x14ac:dyDescent="0.25">
      <c r="B82" s="574">
        <v>10.159999999999997</v>
      </c>
      <c r="C82" s="575" t="e">
        <f>+#REF!+1</f>
        <v>#REF!</v>
      </c>
      <c r="D82" s="501" t="s">
        <v>787</v>
      </c>
      <c r="E82" s="646"/>
      <c r="F82" s="636"/>
      <c r="G82" s="596" t="s">
        <v>11</v>
      </c>
      <c r="H82" s="640"/>
      <c r="I82" s="640">
        <f>+H71*1.5</f>
        <v>14.73</v>
      </c>
      <c r="J82" s="640"/>
      <c r="K82" s="647">
        <f t="shared" si="36"/>
        <v>0</v>
      </c>
      <c r="L82" s="560">
        <f>+[192]Metrado!E77</f>
        <v>6</v>
      </c>
      <c r="M82" s="647">
        <f>+ROUND($I82*L82,2)</f>
        <v>88.38</v>
      </c>
      <c r="N82" s="561"/>
      <c r="O82" s="561">
        <f t="shared" si="40"/>
        <v>0</v>
      </c>
      <c r="P82" s="659">
        <f>+L82</f>
        <v>6</v>
      </c>
      <c r="Q82" s="647">
        <f>+ROUND($I82*P82,2)</f>
        <v>88.38</v>
      </c>
      <c r="R82" s="648"/>
      <c r="S82" s="561">
        <f t="shared" si="40"/>
        <v>0</v>
      </c>
      <c r="T82" s="648"/>
      <c r="U82" s="561">
        <f t="shared" si="44"/>
        <v>0</v>
      </c>
      <c r="V82" s="648"/>
      <c r="Y82" s="1149">
        <v>0</v>
      </c>
      <c r="AA82" s="1146"/>
    </row>
    <row r="83" spans="2:27" s="547" customFormat="1" ht="21" customHeight="1" x14ac:dyDescent="0.25">
      <c r="B83" s="574">
        <v>10.169999999999996</v>
      </c>
      <c r="C83" s="575" t="e">
        <f>+#REF!+1</f>
        <v>#REF!</v>
      </c>
      <c r="D83" s="501" t="s">
        <v>788</v>
      </c>
      <c r="E83" s="646"/>
      <c r="F83" s="636"/>
      <c r="G83" s="596" t="s">
        <v>11</v>
      </c>
      <c r="H83" s="640"/>
      <c r="I83" s="640">
        <v>31.42</v>
      </c>
      <c r="J83" s="640"/>
      <c r="K83" s="647">
        <f t="shared" si="36"/>
        <v>0</v>
      </c>
      <c r="L83" s="560">
        <f>+[192]Metrado!E78</f>
        <v>6</v>
      </c>
      <c r="M83" s="647">
        <f>+ROUND($I83*L83,2)</f>
        <v>188.52</v>
      </c>
      <c r="N83" s="561"/>
      <c r="O83" s="561">
        <f t="shared" ref="O83:S84" si="49">+ROUND($H83*N83,2)</f>
        <v>0</v>
      </c>
      <c r="P83" s="659">
        <f>+L83</f>
        <v>6</v>
      </c>
      <c r="Q83" s="647">
        <f>+ROUND($I83*P83,2)</f>
        <v>188.52</v>
      </c>
      <c r="R83" s="648"/>
      <c r="S83" s="561">
        <f t="shared" ref="S83" si="50">+ROUND($H83*R83,2)</f>
        <v>0</v>
      </c>
      <c r="T83" s="648"/>
      <c r="U83" s="561">
        <f t="shared" si="44"/>
        <v>0</v>
      </c>
      <c r="V83" s="648"/>
      <c r="Y83" s="1149">
        <v>0</v>
      </c>
      <c r="AA83" s="1146"/>
    </row>
    <row r="84" spans="2:27" s="547" customFormat="1" ht="21" customHeight="1" x14ac:dyDescent="0.25">
      <c r="B84" s="559">
        <v>10.179999999999996</v>
      </c>
      <c r="C84" s="575" t="e">
        <f>+#REF!+1</f>
        <v>#REF!</v>
      </c>
      <c r="D84" s="501" t="s">
        <v>806</v>
      </c>
      <c r="E84" s="646"/>
      <c r="F84" s="636"/>
      <c r="G84" s="596" t="s">
        <v>11</v>
      </c>
      <c r="H84" s="640"/>
      <c r="I84" s="640">
        <v>3.98</v>
      </c>
      <c r="J84" s="640"/>
      <c r="K84" s="647">
        <f t="shared" si="36"/>
        <v>0</v>
      </c>
      <c r="L84" s="560">
        <f>+[192]Metrado!E79</f>
        <v>6</v>
      </c>
      <c r="M84" s="647">
        <f>+ROUND($I84*L84,2)</f>
        <v>23.88</v>
      </c>
      <c r="N84" s="561"/>
      <c r="O84" s="561">
        <f t="shared" si="49"/>
        <v>0</v>
      </c>
      <c r="P84" s="659">
        <f>+L84</f>
        <v>6</v>
      </c>
      <c r="Q84" s="647">
        <f>+ROUND($I84*P84,2)</f>
        <v>23.88</v>
      </c>
      <c r="R84" s="648"/>
      <c r="S84" s="561">
        <f t="shared" si="49"/>
        <v>0</v>
      </c>
      <c r="T84" s="648"/>
      <c r="U84" s="561">
        <f t="shared" si="44"/>
        <v>0</v>
      </c>
      <c r="V84" s="648"/>
      <c r="Y84" s="1149">
        <v>0</v>
      </c>
      <c r="AA84" s="1146"/>
    </row>
    <row r="85" spans="2:27" ht="21" customHeight="1" x14ac:dyDescent="0.25">
      <c r="B85" s="456"/>
      <c r="C85" s="466" t="e">
        <f t="shared" si="35"/>
        <v>#REF!</v>
      </c>
      <c r="D85" s="537"/>
      <c r="E85" s="595"/>
      <c r="F85" s="544" t="str">
        <f>+"SUB-TOTAL   "&amp;B66&amp;":  "</f>
        <v xml:space="preserve">SUB-TOTAL   10:  </v>
      </c>
      <c r="G85" s="567"/>
      <c r="H85" s="540"/>
      <c r="I85" s="540"/>
      <c r="J85" s="540"/>
      <c r="K85" s="589">
        <f>+SUM(K67:K84)</f>
        <v>3611.97</v>
      </c>
      <c r="L85" s="540"/>
      <c r="M85" s="589">
        <f>+SUM(M67:M84)</f>
        <v>3735.48</v>
      </c>
      <c r="N85" s="589"/>
      <c r="O85" s="589">
        <f>+SUM(O67:O84)</f>
        <v>506.55</v>
      </c>
      <c r="P85" s="589"/>
      <c r="Q85" s="589">
        <f>+SUM(Q67:Q84)</f>
        <v>300.77999999999997</v>
      </c>
      <c r="R85" s="589"/>
      <c r="S85" s="589">
        <f>+SUM(S67:S84)</f>
        <v>683.81999999999994</v>
      </c>
      <c r="T85" s="589"/>
      <c r="U85" s="589">
        <f>+SUM(U67:U84)</f>
        <v>57.14</v>
      </c>
      <c r="V85" s="589"/>
      <c r="Y85" s="1147">
        <v>0</v>
      </c>
      <c r="AA85" s="1146"/>
    </row>
    <row r="86" spans="2:27" ht="21" customHeight="1" x14ac:dyDescent="0.25">
      <c r="B86" s="452">
        <f>1+B66</f>
        <v>11</v>
      </c>
      <c r="C86" s="466">
        <f>+C18+1</f>
        <v>5</v>
      </c>
      <c r="D86" s="453" t="s">
        <v>20</v>
      </c>
      <c r="E86" s="445"/>
      <c r="F86" s="446"/>
      <c r="G86" s="549"/>
      <c r="H86" s="438"/>
      <c r="I86" s="438"/>
      <c r="J86" s="438"/>
      <c r="K86" s="438"/>
      <c r="L86" s="756"/>
      <c r="M86" s="438"/>
      <c r="N86" s="438"/>
      <c r="O86" s="438"/>
      <c r="P86" s="438"/>
      <c r="Q86" s="438"/>
      <c r="R86" s="438"/>
      <c r="S86" s="438"/>
      <c r="T86" s="438"/>
      <c r="U86" s="438"/>
      <c r="V86" s="438"/>
      <c r="Y86" s="1147">
        <v>0</v>
      </c>
      <c r="AA86" s="1146"/>
    </row>
    <row r="87" spans="2:27" ht="21" customHeight="1" x14ac:dyDescent="0.25">
      <c r="B87" s="562">
        <v>11.01</v>
      </c>
      <c r="C87" s="576">
        <f t="shared" si="35"/>
        <v>6</v>
      </c>
      <c r="D87" s="502" t="s">
        <v>468</v>
      </c>
      <c r="E87" s="496"/>
      <c r="F87" s="497"/>
      <c r="G87" s="530" t="s">
        <v>11</v>
      </c>
      <c r="H87" s="553">
        <v>4.3099999999999996</v>
      </c>
      <c r="I87" s="553"/>
      <c r="J87" s="553">
        <v>154</v>
      </c>
      <c r="K87" s="553">
        <f t="shared" ref="K87:K97" si="51">+ROUND($H87*J87,2)</f>
        <v>663.74</v>
      </c>
      <c r="L87" s="553">
        <f>+[192]Metrado!E82</f>
        <v>0</v>
      </c>
      <c r="M87" s="553">
        <f t="shared" ref="M87:M97" si="52">+ROUND($H87*L87,2)</f>
        <v>0</v>
      </c>
      <c r="N87" s="553">
        <f>+IF($L87-$J87&gt;=0,$L87-$J87,0)</f>
        <v>0</v>
      </c>
      <c r="O87" s="553">
        <f t="shared" ref="O87:O97" si="53">+ROUND($H87*N87,2)</f>
        <v>0</v>
      </c>
      <c r="P87" s="553"/>
      <c r="Q87" s="553">
        <f t="shared" ref="Q87:Q97" si="54">+ROUND($H87*P87,2)</f>
        <v>0</v>
      </c>
      <c r="R87" s="553">
        <f>+IF($L87-$J87&lt;=0,-$L87+$J87,0)</f>
        <v>154</v>
      </c>
      <c r="S87" s="553">
        <f t="shared" ref="S87:S97" si="55">+ROUND($H87*R87,2)</f>
        <v>663.74</v>
      </c>
      <c r="T87" s="553"/>
      <c r="U87" s="553">
        <f t="shared" ref="U87:U97" si="56">+ROUND($H87*T87,2)</f>
        <v>0</v>
      </c>
      <c r="V87" s="553"/>
      <c r="Y87" s="1147">
        <v>0</v>
      </c>
      <c r="AA87" s="1146"/>
    </row>
    <row r="88" spans="2:27" ht="21" customHeight="1" x14ac:dyDescent="0.25">
      <c r="B88" s="562">
        <v>11.02</v>
      </c>
      <c r="C88" s="576">
        <f t="shared" si="35"/>
        <v>7</v>
      </c>
      <c r="D88" s="502" t="s">
        <v>21</v>
      </c>
      <c r="E88" s="496"/>
      <c r="F88" s="497"/>
      <c r="G88" s="530" t="s">
        <v>11</v>
      </c>
      <c r="H88" s="553">
        <v>46.85</v>
      </c>
      <c r="I88" s="553"/>
      <c r="J88" s="553">
        <v>9</v>
      </c>
      <c r="K88" s="553">
        <f t="shared" si="51"/>
        <v>421.65</v>
      </c>
      <c r="L88" s="553">
        <f>+[192]Metrado!E83</f>
        <v>14</v>
      </c>
      <c r="M88" s="553">
        <f t="shared" si="52"/>
        <v>655.9</v>
      </c>
      <c r="N88" s="553">
        <f t="shared" ref="N88:N97" si="57">+IF($L88-$J88&gt;=0,$L88-$J88,0)</f>
        <v>5</v>
      </c>
      <c r="O88" s="553">
        <f t="shared" si="53"/>
        <v>234.25</v>
      </c>
      <c r="P88" s="553"/>
      <c r="Q88" s="553">
        <f t="shared" si="54"/>
        <v>0</v>
      </c>
      <c r="R88" s="553">
        <f t="shared" ref="R88:R97" si="58">+IF($L88-$J88&lt;=0,-$L88+$J88,0)</f>
        <v>0</v>
      </c>
      <c r="S88" s="553">
        <f t="shared" si="55"/>
        <v>0</v>
      </c>
      <c r="T88" s="553"/>
      <c r="U88" s="553">
        <f t="shared" si="56"/>
        <v>0</v>
      </c>
      <c r="V88" s="553"/>
      <c r="Y88" s="1147">
        <v>0</v>
      </c>
      <c r="AA88" s="1146"/>
    </row>
    <row r="89" spans="2:27" ht="21" customHeight="1" x14ac:dyDescent="0.25">
      <c r="B89" s="562">
        <v>11.03</v>
      </c>
      <c r="C89" s="576">
        <f t="shared" si="35"/>
        <v>8</v>
      </c>
      <c r="D89" s="502" t="s">
        <v>22</v>
      </c>
      <c r="E89" s="496"/>
      <c r="F89" s="497"/>
      <c r="G89" s="530" t="s">
        <v>11</v>
      </c>
      <c r="H89" s="553">
        <v>11.69</v>
      </c>
      <c r="I89" s="553"/>
      <c r="J89" s="553">
        <v>38</v>
      </c>
      <c r="K89" s="553">
        <f t="shared" si="51"/>
        <v>444.22</v>
      </c>
      <c r="L89" s="553">
        <f>+[192]Metrado!E84</f>
        <v>72</v>
      </c>
      <c r="M89" s="553">
        <f t="shared" si="52"/>
        <v>841.68</v>
      </c>
      <c r="N89" s="553">
        <f t="shared" si="57"/>
        <v>34</v>
      </c>
      <c r="O89" s="553">
        <f t="shared" si="53"/>
        <v>397.46</v>
      </c>
      <c r="P89" s="553"/>
      <c r="Q89" s="553">
        <f t="shared" si="54"/>
        <v>0</v>
      </c>
      <c r="R89" s="553">
        <f t="shared" si="58"/>
        <v>0</v>
      </c>
      <c r="S89" s="553">
        <f t="shared" si="55"/>
        <v>0</v>
      </c>
      <c r="T89" s="553"/>
      <c r="U89" s="553">
        <f t="shared" si="56"/>
        <v>0</v>
      </c>
      <c r="V89" s="553"/>
      <c r="Y89" s="1147">
        <v>0</v>
      </c>
      <c r="AA89" s="1146"/>
    </row>
    <row r="90" spans="2:27" ht="21" customHeight="1" x14ac:dyDescent="0.25">
      <c r="B90" s="562">
        <v>11.04</v>
      </c>
      <c r="C90" s="576">
        <f t="shared" si="35"/>
        <v>9</v>
      </c>
      <c r="D90" s="502" t="s">
        <v>467</v>
      </c>
      <c r="E90" s="496"/>
      <c r="F90" s="497"/>
      <c r="G90" s="530" t="s">
        <v>11</v>
      </c>
      <c r="H90" s="553">
        <v>0.71</v>
      </c>
      <c r="I90" s="553"/>
      <c r="J90" s="553">
        <v>36</v>
      </c>
      <c r="K90" s="553">
        <f t="shared" si="51"/>
        <v>25.56</v>
      </c>
      <c r="L90" s="553">
        <f>+[192]Metrado!E85</f>
        <v>21</v>
      </c>
      <c r="M90" s="553">
        <f t="shared" si="52"/>
        <v>14.91</v>
      </c>
      <c r="N90" s="553">
        <f t="shared" si="57"/>
        <v>0</v>
      </c>
      <c r="O90" s="553">
        <f t="shared" si="53"/>
        <v>0</v>
      </c>
      <c r="P90" s="553"/>
      <c r="Q90" s="553">
        <f t="shared" si="54"/>
        <v>0</v>
      </c>
      <c r="R90" s="553">
        <f t="shared" si="58"/>
        <v>15</v>
      </c>
      <c r="S90" s="553">
        <f t="shared" si="55"/>
        <v>10.65</v>
      </c>
      <c r="T90" s="553"/>
      <c r="U90" s="553">
        <f t="shared" si="56"/>
        <v>0</v>
      </c>
      <c r="V90" s="553"/>
      <c r="Y90" s="1147">
        <v>0</v>
      </c>
      <c r="AA90" s="1146"/>
    </row>
    <row r="91" spans="2:27" ht="21" customHeight="1" x14ac:dyDescent="0.25">
      <c r="B91" s="562">
        <v>11.049999999999999</v>
      </c>
      <c r="C91" s="576">
        <f t="shared" si="35"/>
        <v>10</v>
      </c>
      <c r="D91" s="502" t="s">
        <v>24</v>
      </c>
      <c r="E91" s="496"/>
      <c r="F91" s="497"/>
      <c r="G91" s="530" t="s">
        <v>11</v>
      </c>
      <c r="H91" s="553">
        <v>5.46</v>
      </c>
      <c r="I91" s="553"/>
      <c r="J91" s="553">
        <v>9</v>
      </c>
      <c r="K91" s="553">
        <f t="shared" si="51"/>
        <v>49.14</v>
      </c>
      <c r="L91" s="553">
        <f>+[192]Metrado!E86</f>
        <v>14</v>
      </c>
      <c r="M91" s="553">
        <f t="shared" si="52"/>
        <v>76.44</v>
      </c>
      <c r="N91" s="553">
        <f t="shared" si="57"/>
        <v>5</v>
      </c>
      <c r="O91" s="553">
        <f t="shared" si="53"/>
        <v>27.3</v>
      </c>
      <c r="P91" s="553"/>
      <c r="Q91" s="553">
        <f t="shared" si="54"/>
        <v>0</v>
      </c>
      <c r="R91" s="553">
        <f t="shared" si="58"/>
        <v>0</v>
      </c>
      <c r="S91" s="553">
        <f t="shared" si="55"/>
        <v>0</v>
      </c>
      <c r="T91" s="553"/>
      <c r="U91" s="553">
        <f t="shared" si="56"/>
        <v>0</v>
      </c>
      <c r="V91" s="553"/>
      <c r="Y91" s="1147">
        <v>0</v>
      </c>
      <c r="AA91" s="1146"/>
    </row>
    <row r="92" spans="2:27" ht="21" customHeight="1" x14ac:dyDescent="0.25">
      <c r="B92" s="562">
        <v>11.059999999999999</v>
      </c>
      <c r="C92" s="576">
        <f t="shared" si="35"/>
        <v>11</v>
      </c>
      <c r="D92" s="502" t="s">
        <v>462</v>
      </c>
      <c r="E92" s="513"/>
      <c r="F92" s="499"/>
      <c r="G92" s="530" t="s">
        <v>11</v>
      </c>
      <c r="H92" s="553">
        <v>15.01</v>
      </c>
      <c r="I92" s="553"/>
      <c r="J92" s="553">
        <v>16</v>
      </c>
      <c r="K92" s="553">
        <f t="shared" si="51"/>
        <v>240.16</v>
      </c>
      <c r="L92" s="553">
        <f>+[192]Metrado!E87</f>
        <v>14</v>
      </c>
      <c r="M92" s="553">
        <f t="shared" si="52"/>
        <v>210.14</v>
      </c>
      <c r="N92" s="553">
        <f t="shared" si="57"/>
        <v>0</v>
      </c>
      <c r="O92" s="553">
        <f t="shared" si="53"/>
        <v>0</v>
      </c>
      <c r="P92" s="585"/>
      <c r="Q92" s="553">
        <f t="shared" si="54"/>
        <v>0</v>
      </c>
      <c r="R92" s="553">
        <f t="shared" si="58"/>
        <v>2</v>
      </c>
      <c r="S92" s="553">
        <f t="shared" si="55"/>
        <v>30.02</v>
      </c>
      <c r="T92" s="585"/>
      <c r="U92" s="553">
        <f t="shared" si="56"/>
        <v>0</v>
      </c>
      <c r="V92" s="585"/>
      <c r="Y92" s="1147">
        <v>0</v>
      </c>
      <c r="AA92" s="1146"/>
    </row>
    <row r="93" spans="2:27" ht="21" customHeight="1" x14ac:dyDescent="0.25">
      <c r="B93" s="562">
        <v>11.069999999999999</v>
      </c>
      <c r="C93" s="576">
        <f t="shared" si="35"/>
        <v>12</v>
      </c>
      <c r="D93" s="502" t="s">
        <v>464</v>
      </c>
      <c r="E93" s="511"/>
      <c r="F93" s="512"/>
      <c r="G93" s="530" t="s">
        <v>13</v>
      </c>
      <c r="H93" s="553">
        <v>28.99</v>
      </c>
      <c r="I93" s="553"/>
      <c r="J93" s="553">
        <v>9</v>
      </c>
      <c r="K93" s="553">
        <f t="shared" si="51"/>
        <v>260.91000000000003</v>
      </c>
      <c r="L93" s="553">
        <f>+[192]Metrado!E88</f>
        <v>14</v>
      </c>
      <c r="M93" s="553">
        <f t="shared" si="52"/>
        <v>405.86</v>
      </c>
      <c r="N93" s="553">
        <f t="shared" si="57"/>
        <v>5</v>
      </c>
      <c r="O93" s="553">
        <f t="shared" si="53"/>
        <v>144.94999999999999</v>
      </c>
      <c r="P93" s="553"/>
      <c r="Q93" s="553">
        <f t="shared" si="54"/>
        <v>0</v>
      </c>
      <c r="R93" s="553">
        <f t="shared" si="58"/>
        <v>0</v>
      </c>
      <c r="S93" s="553">
        <f t="shared" si="55"/>
        <v>0</v>
      </c>
      <c r="T93" s="553"/>
      <c r="U93" s="553">
        <f t="shared" si="56"/>
        <v>0</v>
      </c>
      <c r="V93" s="553"/>
      <c r="Y93" s="1147">
        <v>0</v>
      </c>
      <c r="AA93" s="1146"/>
    </row>
    <row r="94" spans="2:27" ht="21" customHeight="1" x14ac:dyDescent="0.25">
      <c r="B94" s="562">
        <v>11.079999999999998</v>
      </c>
      <c r="C94" s="576">
        <f t="shared" si="35"/>
        <v>13</v>
      </c>
      <c r="D94" s="502" t="s">
        <v>463</v>
      </c>
      <c r="E94" s="496"/>
      <c r="F94" s="497"/>
      <c r="G94" s="530" t="s">
        <v>11</v>
      </c>
      <c r="H94" s="553">
        <v>76.66</v>
      </c>
      <c r="I94" s="553"/>
      <c r="J94" s="553">
        <v>9</v>
      </c>
      <c r="K94" s="553">
        <f t="shared" si="51"/>
        <v>689.94</v>
      </c>
      <c r="L94" s="553">
        <f>+[192]Metrado!E89</f>
        <v>14</v>
      </c>
      <c r="M94" s="553">
        <f t="shared" si="52"/>
        <v>1073.24</v>
      </c>
      <c r="N94" s="553">
        <f t="shared" si="57"/>
        <v>5</v>
      </c>
      <c r="O94" s="553">
        <f t="shared" si="53"/>
        <v>383.3</v>
      </c>
      <c r="P94" s="553"/>
      <c r="Q94" s="553">
        <f t="shared" si="54"/>
        <v>0</v>
      </c>
      <c r="R94" s="553">
        <f t="shared" si="58"/>
        <v>0</v>
      </c>
      <c r="S94" s="553">
        <f t="shared" si="55"/>
        <v>0</v>
      </c>
      <c r="T94" s="553"/>
      <c r="U94" s="553">
        <f t="shared" si="56"/>
        <v>0</v>
      </c>
      <c r="V94" s="553"/>
      <c r="Y94" s="1147">
        <v>0</v>
      </c>
      <c r="AA94" s="1146"/>
    </row>
    <row r="95" spans="2:27" ht="21" customHeight="1" x14ac:dyDescent="0.25">
      <c r="B95" s="562">
        <v>11.089999999999998</v>
      </c>
      <c r="C95" s="576">
        <f t="shared" si="35"/>
        <v>14</v>
      </c>
      <c r="D95" s="502" t="s">
        <v>461</v>
      </c>
      <c r="E95" s="496"/>
      <c r="F95" s="497"/>
      <c r="G95" s="530" t="s">
        <v>11</v>
      </c>
      <c r="H95" s="553">
        <v>40.94</v>
      </c>
      <c r="I95" s="553"/>
      <c r="J95" s="553">
        <v>9</v>
      </c>
      <c r="K95" s="553">
        <f t="shared" si="51"/>
        <v>368.46</v>
      </c>
      <c r="L95" s="553">
        <f>+[192]Metrado!E90</f>
        <v>14</v>
      </c>
      <c r="M95" s="553">
        <f t="shared" si="52"/>
        <v>573.16</v>
      </c>
      <c r="N95" s="553">
        <f t="shared" si="57"/>
        <v>5</v>
      </c>
      <c r="O95" s="553">
        <f t="shared" si="53"/>
        <v>204.7</v>
      </c>
      <c r="P95" s="553"/>
      <c r="Q95" s="553">
        <f t="shared" si="54"/>
        <v>0</v>
      </c>
      <c r="R95" s="553">
        <f t="shared" si="58"/>
        <v>0</v>
      </c>
      <c r="S95" s="553">
        <f t="shared" si="55"/>
        <v>0</v>
      </c>
      <c r="T95" s="553"/>
      <c r="U95" s="553">
        <f t="shared" si="56"/>
        <v>0</v>
      </c>
      <c r="V95" s="553"/>
      <c r="Y95" s="1147">
        <v>0</v>
      </c>
      <c r="AA95" s="1146"/>
    </row>
    <row r="96" spans="2:27" ht="21" customHeight="1" x14ac:dyDescent="0.25">
      <c r="B96" s="562">
        <v>11.099999999999998</v>
      </c>
      <c r="C96" s="576">
        <f t="shared" si="35"/>
        <v>15</v>
      </c>
      <c r="D96" s="502" t="s">
        <v>16</v>
      </c>
      <c r="E96" s="496"/>
      <c r="F96" s="497"/>
      <c r="G96" s="530" t="s">
        <v>11</v>
      </c>
      <c r="H96" s="553">
        <v>11.17</v>
      </c>
      <c r="I96" s="553"/>
      <c r="J96" s="553">
        <v>5</v>
      </c>
      <c r="K96" s="553">
        <f t="shared" si="51"/>
        <v>55.85</v>
      </c>
      <c r="L96" s="553">
        <f>+[192]Metrado!E91</f>
        <v>8</v>
      </c>
      <c r="M96" s="553">
        <f t="shared" si="52"/>
        <v>89.36</v>
      </c>
      <c r="N96" s="553">
        <f t="shared" si="57"/>
        <v>3</v>
      </c>
      <c r="O96" s="553">
        <f t="shared" si="53"/>
        <v>33.51</v>
      </c>
      <c r="P96" s="553"/>
      <c r="Q96" s="553">
        <f t="shared" si="54"/>
        <v>0</v>
      </c>
      <c r="R96" s="553">
        <f t="shared" si="58"/>
        <v>0</v>
      </c>
      <c r="S96" s="553">
        <f t="shared" si="55"/>
        <v>0</v>
      </c>
      <c r="T96" s="553"/>
      <c r="U96" s="553">
        <f t="shared" si="56"/>
        <v>0</v>
      </c>
      <c r="V96" s="553"/>
      <c r="Y96" s="1147">
        <v>0</v>
      </c>
      <c r="AA96" s="1146"/>
    </row>
    <row r="97" spans="2:27" ht="21" customHeight="1" x14ac:dyDescent="0.25">
      <c r="B97" s="562">
        <v>11.109999999999998</v>
      </c>
      <c r="C97" s="576">
        <f t="shared" si="35"/>
        <v>16</v>
      </c>
      <c r="D97" s="502" t="s">
        <v>465</v>
      </c>
      <c r="E97" s="496"/>
      <c r="F97" s="497"/>
      <c r="G97" s="530" t="s">
        <v>11</v>
      </c>
      <c r="H97" s="553">
        <v>81.849999999999994</v>
      </c>
      <c r="I97" s="553"/>
      <c r="J97" s="553">
        <v>9</v>
      </c>
      <c r="K97" s="553">
        <f t="shared" si="51"/>
        <v>736.65</v>
      </c>
      <c r="L97" s="553">
        <f>+[192]Metrado!E92</f>
        <v>14</v>
      </c>
      <c r="M97" s="553">
        <f t="shared" si="52"/>
        <v>1145.9000000000001</v>
      </c>
      <c r="N97" s="553">
        <f t="shared" si="57"/>
        <v>5</v>
      </c>
      <c r="O97" s="553">
        <f t="shared" si="53"/>
        <v>409.25</v>
      </c>
      <c r="P97" s="553"/>
      <c r="Q97" s="553">
        <f t="shared" si="54"/>
        <v>0</v>
      </c>
      <c r="R97" s="553">
        <f t="shared" si="58"/>
        <v>0</v>
      </c>
      <c r="S97" s="553">
        <f t="shared" si="55"/>
        <v>0</v>
      </c>
      <c r="T97" s="553"/>
      <c r="U97" s="553">
        <f t="shared" si="56"/>
        <v>0</v>
      </c>
      <c r="V97" s="553"/>
      <c r="Y97" s="1147">
        <v>0</v>
      </c>
      <c r="AA97" s="1146"/>
    </row>
    <row r="98" spans="2:27" s="547" customFormat="1" ht="21" customHeight="1" x14ac:dyDescent="0.25">
      <c r="B98" s="559">
        <v>11.12</v>
      </c>
      <c r="C98" s="577">
        <f t="shared" si="35"/>
        <v>17</v>
      </c>
      <c r="D98" s="501" t="s">
        <v>1018</v>
      </c>
      <c r="E98" s="545"/>
      <c r="F98" s="546"/>
      <c r="G98" s="531" t="s">
        <v>11</v>
      </c>
      <c r="H98" s="560"/>
      <c r="I98" s="560">
        <f>+H87</f>
        <v>4.3099999999999996</v>
      </c>
      <c r="J98" s="560"/>
      <c r="K98" s="560">
        <f t="shared" ref="K98" si="59">+ROUND($H98*J98,2)</f>
        <v>0</v>
      </c>
      <c r="L98" s="560">
        <f>+[192]Metrado!E93</f>
        <v>212</v>
      </c>
      <c r="M98" s="560">
        <f>+ROUND($I98*L98,2)</f>
        <v>913.72</v>
      </c>
      <c r="N98" s="560"/>
      <c r="O98" s="560">
        <f t="shared" ref="O98" si="60">+ROUND($H98*N98,2)</f>
        <v>0</v>
      </c>
      <c r="P98" s="560">
        <f>+L98</f>
        <v>212</v>
      </c>
      <c r="Q98" s="647">
        <f>+ROUND($I98*P98,2)</f>
        <v>913.72</v>
      </c>
      <c r="R98" s="560">
        <f>+IF($L98-$J98&lt;=0,-$L98+$J98,0)</f>
        <v>0</v>
      </c>
      <c r="S98" s="560">
        <f t="shared" ref="S98" si="61">+ROUND($H98*R98,2)</f>
        <v>0</v>
      </c>
      <c r="T98" s="560"/>
      <c r="U98" s="560">
        <f t="shared" ref="U98" si="62">+ROUND($H98*T98,2)</f>
        <v>0</v>
      </c>
      <c r="V98" s="560"/>
      <c r="Y98" s="1149">
        <v>0</v>
      </c>
      <c r="AA98" s="1127"/>
    </row>
    <row r="99" spans="2:27" ht="21" customHeight="1" x14ac:dyDescent="0.25">
      <c r="B99" s="456"/>
      <c r="C99" s="466" t="e">
        <f>+#REF!+1</f>
        <v>#REF!</v>
      </c>
      <c r="D99" s="537"/>
      <c r="E99" s="538"/>
      <c r="F99" s="533" t="str">
        <f>+"SUB-TOTAL   "&amp;B86&amp;":  "</f>
        <v xml:space="preserve">SUB-TOTAL   11:  </v>
      </c>
      <c r="G99" s="567"/>
      <c r="H99" s="540"/>
      <c r="I99" s="540"/>
      <c r="J99" s="540"/>
      <c r="K99" s="589">
        <f>+SUM(K87:K98)</f>
        <v>3956.28</v>
      </c>
      <c r="L99" s="540"/>
      <c r="M99" s="589">
        <f>+SUM(M87:M98)</f>
        <v>6000.31</v>
      </c>
      <c r="N99" s="589"/>
      <c r="O99" s="589">
        <f>+SUM(O87:O98)</f>
        <v>1834.72</v>
      </c>
      <c r="P99" s="589"/>
      <c r="Q99" s="589">
        <f>+SUM(Q87:Q98)</f>
        <v>913.72</v>
      </c>
      <c r="R99" s="589"/>
      <c r="S99" s="589">
        <f>+SUM(S87:S98)</f>
        <v>704.41</v>
      </c>
      <c r="T99" s="589"/>
      <c r="U99" s="589">
        <f>+SUM(U87:U98)</f>
        <v>0</v>
      </c>
      <c r="V99" s="589"/>
      <c r="Y99" s="1147">
        <v>0</v>
      </c>
      <c r="AA99" s="1146"/>
    </row>
    <row r="100" spans="2:27" ht="21" customHeight="1" x14ac:dyDescent="0.25">
      <c r="B100" s="452">
        <f>1+B86</f>
        <v>12</v>
      </c>
      <c r="C100" s="466" t="e">
        <f>+#REF!+1</f>
        <v>#REF!</v>
      </c>
      <c r="D100" s="453" t="s">
        <v>459</v>
      </c>
      <c r="E100" s="445"/>
      <c r="F100" s="446"/>
      <c r="G100" s="549"/>
      <c r="H100" s="438"/>
      <c r="I100" s="438"/>
      <c r="J100" s="438"/>
      <c r="K100" s="438"/>
      <c r="L100" s="756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Y100" s="1147">
        <v>0</v>
      </c>
      <c r="AA100" s="1146"/>
    </row>
    <row r="101" spans="2:27" ht="21" customHeight="1" x14ac:dyDescent="0.25">
      <c r="B101" s="562">
        <v>12.01</v>
      </c>
      <c r="C101" s="576" t="e">
        <f t="shared" si="35"/>
        <v>#REF!</v>
      </c>
      <c r="D101" s="502" t="s">
        <v>25</v>
      </c>
      <c r="E101" s="496"/>
      <c r="F101" s="497"/>
      <c r="G101" s="530" t="s">
        <v>11</v>
      </c>
      <c r="H101" s="553">
        <v>66.7</v>
      </c>
      <c r="I101" s="553"/>
      <c r="J101" s="553">
        <v>49</v>
      </c>
      <c r="K101" s="553">
        <f t="shared" ref="K101:K110" si="63">+ROUND($H101*J101,2)</f>
        <v>3268.3</v>
      </c>
      <c r="L101" s="553">
        <f>+[192]Metrado!E96</f>
        <v>45</v>
      </c>
      <c r="M101" s="553">
        <f t="shared" ref="M101:M109" si="64">+ROUND($H101*L101,2)</f>
        <v>3001.5</v>
      </c>
      <c r="N101" s="553">
        <f>+IF($L101-$J101&gt;=0,$L101-$J101,0)</f>
        <v>0</v>
      </c>
      <c r="O101" s="553">
        <f t="shared" ref="O101:O110" si="65">+ROUND($H101*N101,2)</f>
        <v>0</v>
      </c>
      <c r="P101" s="553"/>
      <c r="Q101" s="553">
        <f t="shared" ref="Q101:Q109" si="66">+ROUND($H101*P101,2)</f>
        <v>0</v>
      </c>
      <c r="R101" s="553">
        <f>+IF($L101-$J101&lt;=0,-$L101+$J101,0)</f>
        <v>4</v>
      </c>
      <c r="S101" s="553">
        <f t="shared" ref="S101:S110" si="67">+ROUND($H101*R101,2)</f>
        <v>266.8</v>
      </c>
      <c r="T101" s="553"/>
      <c r="U101" s="553">
        <f t="shared" ref="U101:U110" si="68">+ROUND($H101*T101,2)</f>
        <v>0</v>
      </c>
      <c r="V101" s="553"/>
      <c r="Y101" s="1147">
        <v>0</v>
      </c>
      <c r="AA101" s="1146"/>
    </row>
    <row r="102" spans="2:27" ht="21" customHeight="1" x14ac:dyDescent="0.25">
      <c r="B102" s="562">
        <v>12.02</v>
      </c>
      <c r="C102" s="576" t="e">
        <f t="shared" si="35"/>
        <v>#REF!</v>
      </c>
      <c r="D102" s="502" t="s">
        <v>455</v>
      </c>
      <c r="E102" s="496"/>
      <c r="F102" s="497"/>
      <c r="G102" s="530" t="s">
        <v>11</v>
      </c>
      <c r="H102" s="553">
        <v>53.58</v>
      </c>
      <c r="I102" s="553"/>
      <c r="J102" s="553">
        <v>49</v>
      </c>
      <c r="K102" s="553">
        <f t="shared" si="63"/>
        <v>2625.42</v>
      </c>
      <c r="L102" s="553">
        <f>+[192]Metrado!E97</f>
        <v>45</v>
      </c>
      <c r="M102" s="553">
        <f t="shared" si="64"/>
        <v>2411.1</v>
      </c>
      <c r="N102" s="553">
        <f t="shared" ref="N102:N109" si="69">+IF($L102-$J102&gt;=0,$L102-$J102,0)</f>
        <v>0</v>
      </c>
      <c r="O102" s="553">
        <f t="shared" si="65"/>
        <v>0</v>
      </c>
      <c r="P102" s="553"/>
      <c r="Q102" s="553">
        <f t="shared" si="66"/>
        <v>0</v>
      </c>
      <c r="R102" s="553">
        <f t="shared" ref="R102:R109" si="70">+IF($L102-$J102&lt;=0,-$L102+$J102,0)</f>
        <v>4</v>
      </c>
      <c r="S102" s="553">
        <f t="shared" si="67"/>
        <v>214.32</v>
      </c>
      <c r="T102" s="553"/>
      <c r="U102" s="553">
        <f t="shared" si="68"/>
        <v>0</v>
      </c>
      <c r="V102" s="553"/>
      <c r="Y102" s="1147">
        <v>0</v>
      </c>
      <c r="AA102" s="1146"/>
    </row>
    <row r="103" spans="2:27" ht="21" customHeight="1" x14ac:dyDescent="0.25">
      <c r="B103" s="562">
        <v>12.03</v>
      </c>
      <c r="C103" s="576" t="e">
        <f t="shared" si="35"/>
        <v>#REF!</v>
      </c>
      <c r="D103" s="502" t="s">
        <v>458</v>
      </c>
      <c r="E103" s="496"/>
      <c r="F103" s="497"/>
      <c r="G103" s="530" t="s">
        <v>11</v>
      </c>
      <c r="H103" s="553">
        <v>10.54</v>
      </c>
      <c r="I103" s="553"/>
      <c r="J103" s="553">
        <v>72</v>
      </c>
      <c r="K103" s="553">
        <f t="shared" si="63"/>
        <v>758.88</v>
      </c>
      <c r="L103" s="553">
        <f>+[192]Metrado!E98</f>
        <v>117</v>
      </c>
      <c r="M103" s="553">
        <f t="shared" si="64"/>
        <v>1233.18</v>
      </c>
      <c r="N103" s="553">
        <f t="shared" si="69"/>
        <v>45</v>
      </c>
      <c r="O103" s="553">
        <f t="shared" si="65"/>
        <v>474.3</v>
      </c>
      <c r="P103" s="553"/>
      <c r="Q103" s="553">
        <f t="shared" si="66"/>
        <v>0</v>
      </c>
      <c r="R103" s="553">
        <f t="shared" si="70"/>
        <v>0</v>
      </c>
      <c r="S103" s="553">
        <f t="shared" si="67"/>
        <v>0</v>
      </c>
      <c r="T103" s="553"/>
      <c r="U103" s="553">
        <f t="shared" si="68"/>
        <v>0</v>
      </c>
      <c r="V103" s="553"/>
      <c r="Y103" s="1147">
        <v>0</v>
      </c>
      <c r="AA103" s="1146"/>
    </row>
    <row r="104" spans="2:27" ht="21" customHeight="1" x14ac:dyDescent="0.25">
      <c r="B104" s="562">
        <v>12.04</v>
      </c>
      <c r="C104" s="576" t="e">
        <f t="shared" si="35"/>
        <v>#REF!</v>
      </c>
      <c r="D104" s="502" t="s">
        <v>457</v>
      </c>
      <c r="E104" s="496"/>
      <c r="F104" s="497"/>
      <c r="G104" s="530" t="s">
        <v>11</v>
      </c>
      <c r="H104" s="553">
        <v>6.94</v>
      </c>
      <c r="I104" s="553"/>
      <c r="J104" s="553">
        <v>49</v>
      </c>
      <c r="K104" s="553">
        <f t="shared" si="63"/>
        <v>340.06</v>
      </c>
      <c r="L104" s="553">
        <f>+[192]Metrado!E99</f>
        <v>45</v>
      </c>
      <c r="M104" s="553">
        <f t="shared" si="64"/>
        <v>312.3</v>
      </c>
      <c r="N104" s="553">
        <f t="shared" si="69"/>
        <v>0</v>
      </c>
      <c r="O104" s="553">
        <f t="shared" si="65"/>
        <v>0</v>
      </c>
      <c r="P104" s="553"/>
      <c r="Q104" s="553">
        <f t="shared" si="66"/>
        <v>0</v>
      </c>
      <c r="R104" s="553">
        <f t="shared" si="70"/>
        <v>4</v>
      </c>
      <c r="S104" s="553">
        <f t="shared" si="67"/>
        <v>27.76</v>
      </c>
      <c r="T104" s="553"/>
      <c r="U104" s="553">
        <f t="shared" si="68"/>
        <v>0</v>
      </c>
      <c r="V104" s="553"/>
      <c r="Y104" s="1147">
        <v>0</v>
      </c>
      <c r="AA104" s="1146"/>
    </row>
    <row r="105" spans="2:27" ht="21" customHeight="1" x14ac:dyDescent="0.25">
      <c r="B105" s="562">
        <v>12.049999999999999</v>
      </c>
      <c r="C105" s="576" t="e">
        <f t="shared" si="35"/>
        <v>#REF!</v>
      </c>
      <c r="D105" s="502" t="s">
        <v>456</v>
      </c>
      <c r="E105" s="496"/>
      <c r="F105" s="497"/>
      <c r="G105" s="530" t="s">
        <v>11</v>
      </c>
      <c r="H105" s="553">
        <v>7.4</v>
      </c>
      <c r="I105" s="553"/>
      <c r="J105" s="553">
        <v>150</v>
      </c>
      <c r="K105" s="553">
        <f t="shared" si="63"/>
        <v>1110</v>
      </c>
      <c r="L105" s="553">
        <f>+[192]Metrado!E100</f>
        <v>101</v>
      </c>
      <c r="M105" s="553">
        <f t="shared" si="64"/>
        <v>747.4</v>
      </c>
      <c r="N105" s="553">
        <f t="shared" si="69"/>
        <v>0</v>
      </c>
      <c r="O105" s="553">
        <f t="shared" si="65"/>
        <v>0</v>
      </c>
      <c r="P105" s="553"/>
      <c r="Q105" s="553">
        <f t="shared" si="66"/>
        <v>0</v>
      </c>
      <c r="R105" s="553">
        <f t="shared" si="70"/>
        <v>49</v>
      </c>
      <c r="S105" s="553">
        <f t="shared" si="67"/>
        <v>362.6</v>
      </c>
      <c r="T105" s="553"/>
      <c r="U105" s="553">
        <f t="shared" si="68"/>
        <v>0</v>
      </c>
      <c r="V105" s="553"/>
      <c r="Y105" s="1147">
        <v>0</v>
      </c>
      <c r="AA105" s="1146"/>
    </row>
    <row r="106" spans="2:27" ht="21" customHeight="1" x14ac:dyDescent="0.25">
      <c r="B106" s="562">
        <v>12.059999999999999</v>
      </c>
      <c r="C106" s="576" t="e">
        <f t="shared" si="35"/>
        <v>#REF!</v>
      </c>
      <c r="D106" s="502" t="s">
        <v>454</v>
      </c>
      <c r="E106" s="513"/>
      <c r="F106" s="499"/>
      <c r="G106" s="530" t="s">
        <v>11</v>
      </c>
      <c r="H106" s="553">
        <v>0.47</v>
      </c>
      <c r="I106" s="553"/>
      <c r="J106" s="553">
        <v>140</v>
      </c>
      <c r="K106" s="553">
        <f t="shared" si="63"/>
        <v>65.8</v>
      </c>
      <c r="L106" s="553">
        <f>+[192]Metrado!E101</f>
        <v>40</v>
      </c>
      <c r="M106" s="553">
        <f t="shared" si="64"/>
        <v>18.8</v>
      </c>
      <c r="N106" s="553">
        <f t="shared" si="69"/>
        <v>0</v>
      </c>
      <c r="O106" s="553">
        <f t="shared" si="65"/>
        <v>0</v>
      </c>
      <c r="P106" s="585"/>
      <c r="Q106" s="553">
        <f t="shared" si="66"/>
        <v>0</v>
      </c>
      <c r="R106" s="553">
        <f t="shared" si="70"/>
        <v>100</v>
      </c>
      <c r="S106" s="553">
        <f t="shared" si="67"/>
        <v>47</v>
      </c>
      <c r="T106" s="585"/>
      <c r="U106" s="553">
        <f t="shared" si="68"/>
        <v>0</v>
      </c>
      <c r="V106" s="585"/>
      <c r="Y106" s="1147">
        <v>0</v>
      </c>
      <c r="AA106" s="1146"/>
    </row>
    <row r="107" spans="2:27" ht="21" customHeight="1" x14ac:dyDescent="0.25">
      <c r="B107" s="562">
        <v>12.069999999999999</v>
      </c>
      <c r="C107" s="576" t="e">
        <f t="shared" si="35"/>
        <v>#REF!</v>
      </c>
      <c r="D107" s="502" t="s">
        <v>349</v>
      </c>
      <c r="E107" s="511"/>
      <c r="F107" s="512"/>
      <c r="G107" s="530" t="s">
        <v>11</v>
      </c>
      <c r="H107" s="553">
        <v>2.39</v>
      </c>
      <c r="I107" s="553"/>
      <c r="J107" s="553">
        <v>34</v>
      </c>
      <c r="K107" s="553">
        <f t="shared" si="63"/>
        <v>81.260000000000005</v>
      </c>
      <c r="L107" s="553">
        <f>+[192]Metrado!E102</f>
        <v>59</v>
      </c>
      <c r="M107" s="553">
        <f t="shared" si="64"/>
        <v>141.01</v>
      </c>
      <c r="N107" s="553">
        <f t="shared" si="69"/>
        <v>25</v>
      </c>
      <c r="O107" s="553">
        <f t="shared" si="65"/>
        <v>59.75</v>
      </c>
      <c r="P107" s="553"/>
      <c r="Q107" s="553">
        <f t="shared" si="66"/>
        <v>0</v>
      </c>
      <c r="R107" s="553">
        <f t="shared" si="70"/>
        <v>0</v>
      </c>
      <c r="S107" s="553">
        <f t="shared" si="67"/>
        <v>0</v>
      </c>
      <c r="T107" s="553"/>
      <c r="U107" s="553">
        <f t="shared" si="68"/>
        <v>0</v>
      </c>
      <c r="V107" s="553"/>
      <c r="Y107" s="1147">
        <v>0</v>
      </c>
      <c r="AA107" s="1146"/>
    </row>
    <row r="108" spans="2:27" ht="21" customHeight="1" x14ac:dyDescent="0.25">
      <c r="B108" s="562">
        <v>12.079999999999998</v>
      </c>
      <c r="C108" s="576" t="e">
        <f t="shared" si="35"/>
        <v>#REF!</v>
      </c>
      <c r="D108" s="502" t="s">
        <v>453</v>
      </c>
      <c r="E108" s="496"/>
      <c r="F108" s="497"/>
      <c r="G108" s="530" t="s">
        <v>11</v>
      </c>
      <c r="H108" s="553">
        <v>17.43</v>
      </c>
      <c r="I108" s="553"/>
      <c r="J108" s="553">
        <v>2</v>
      </c>
      <c r="K108" s="553">
        <f t="shared" si="63"/>
        <v>34.86</v>
      </c>
      <c r="L108" s="553">
        <f>+[192]Metrado!E103</f>
        <v>0</v>
      </c>
      <c r="M108" s="553">
        <f t="shared" si="64"/>
        <v>0</v>
      </c>
      <c r="N108" s="553">
        <f t="shared" si="69"/>
        <v>0</v>
      </c>
      <c r="O108" s="553">
        <f t="shared" si="65"/>
        <v>0</v>
      </c>
      <c r="P108" s="553"/>
      <c r="Q108" s="553">
        <f t="shared" si="66"/>
        <v>0</v>
      </c>
      <c r="R108" s="553">
        <f t="shared" si="70"/>
        <v>2</v>
      </c>
      <c r="S108" s="553">
        <f t="shared" si="67"/>
        <v>34.86</v>
      </c>
      <c r="T108" s="553"/>
      <c r="U108" s="553">
        <f t="shared" si="68"/>
        <v>0</v>
      </c>
      <c r="V108" s="553"/>
      <c r="Y108" s="1147">
        <v>0</v>
      </c>
      <c r="AA108" s="1146"/>
    </row>
    <row r="109" spans="2:27" ht="21" customHeight="1" x14ac:dyDescent="0.25">
      <c r="B109" s="562">
        <v>12.089999999999998</v>
      </c>
      <c r="C109" s="576" t="e">
        <f t="shared" si="35"/>
        <v>#REF!</v>
      </c>
      <c r="D109" s="502" t="s">
        <v>26</v>
      </c>
      <c r="E109" s="496"/>
      <c r="F109" s="497"/>
      <c r="G109" s="530" t="s">
        <v>11</v>
      </c>
      <c r="H109" s="553">
        <v>16.25</v>
      </c>
      <c r="I109" s="553"/>
      <c r="J109" s="553">
        <v>34</v>
      </c>
      <c r="K109" s="553">
        <f t="shared" si="63"/>
        <v>552.5</v>
      </c>
      <c r="L109" s="553">
        <f>+[192]Metrado!E104</f>
        <v>15</v>
      </c>
      <c r="M109" s="553">
        <f t="shared" si="64"/>
        <v>243.75</v>
      </c>
      <c r="N109" s="553">
        <f t="shared" si="69"/>
        <v>0</v>
      </c>
      <c r="O109" s="553">
        <f t="shared" si="65"/>
        <v>0</v>
      </c>
      <c r="P109" s="553"/>
      <c r="Q109" s="553">
        <f t="shared" si="66"/>
        <v>0</v>
      </c>
      <c r="R109" s="553">
        <f t="shared" si="70"/>
        <v>19</v>
      </c>
      <c r="S109" s="553">
        <f t="shared" si="67"/>
        <v>308.75</v>
      </c>
      <c r="T109" s="553"/>
      <c r="U109" s="553">
        <f t="shared" si="68"/>
        <v>0</v>
      </c>
      <c r="V109" s="553"/>
      <c r="Y109" s="1147">
        <v>0</v>
      </c>
      <c r="Z109" s="547"/>
      <c r="AA109" s="1146"/>
    </row>
    <row r="110" spans="2:27" s="547" customFormat="1" ht="21" customHeight="1" x14ac:dyDescent="0.25">
      <c r="B110" s="559">
        <v>12.1</v>
      </c>
      <c r="C110" s="575" t="e">
        <f>+#REF!+1</f>
        <v>#REF!</v>
      </c>
      <c r="D110" s="501" t="s">
        <v>350</v>
      </c>
      <c r="E110" s="646"/>
      <c r="F110" s="636"/>
      <c r="G110" s="596" t="s">
        <v>11</v>
      </c>
      <c r="H110" s="640"/>
      <c r="I110" s="640">
        <v>30</v>
      </c>
      <c r="J110" s="640"/>
      <c r="K110" s="647">
        <f t="shared" si="63"/>
        <v>0</v>
      </c>
      <c r="L110" s="560">
        <f>+[192]Metrado!E105</f>
        <v>135</v>
      </c>
      <c r="M110" s="647">
        <f>+ROUND($I110*L110,2)</f>
        <v>4050</v>
      </c>
      <c r="N110" s="561"/>
      <c r="O110" s="561">
        <f t="shared" si="65"/>
        <v>0</v>
      </c>
      <c r="P110" s="659">
        <f>+L110</f>
        <v>135</v>
      </c>
      <c r="Q110" s="647">
        <f>+ROUND($I110*P110,2)</f>
        <v>4050</v>
      </c>
      <c r="R110" s="648"/>
      <c r="S110" s="561">
        <f t="shared" si="67"/>
        <v>0</v>
      </c>
      <c r="T110" s="648"/>
      <c r="U110" s="561">
        <f t="shared" si="68"/>
        <v>0</v>
      </c>
      <c r="V110" s="648"/>
      <c r="Y110" s="1149">
        <v>0</v>
      </c>
      <c r="Z110" s="414"/>
      <c r="AA110" s="1146"/>
    </row>
    <row r="111" spans="2:27" ht="21" customHeight="1" x14ac:dyDescent="0.25">
      <c r="B111" s="456"/>
      <c r="C111" s="466" t="e">
        <f>+#REF!+1</f>
        <v>#REF!</v>
      </c>
      <c r="D111" s="537"/>
      <c r="E111" s="538"/>
      <c r="F111" s="533" t="str">
        <f>+"SUB-TOTAL   "&amp;B100&amp;":  "</f>
        <v xml:space="preserve">SUB-TOTAL   12:  </v>
      </c>
      <c r="G111" s="567"/>
      <c r="H111" s="540"/>
      <c r="I111" s="540"/>
      <c r="J111" s="540"/>
      <c r="K111" s="589">
        <f>+SUM(K101:K110)</f>
        <v>8837.0800000000017</v>
      </c>
      <c r="L111" s="540"/>
      <c r="M111" s="589">
        <f>+SUM(M101:M110)</f>
        <v>12159.04</v>
      </c>
      <c r="N111" s="589"/>
      <c r="O111" s="589">
        <f>+SUM(O101:O110)</f>
        <v>534.04999999999995</v>
      </c>
      <c r="P111" s="589"/>
      <c r="Q111" s="589">
        <f>+SUM(Q101:Q110)</f>
        <v>4050</v>
      </c>
      <c r="R111" s="589"/>
      <c r="S111" s="589">
        <f>+SUM(S101:S110)</f>
        <v>1262.0900000000001</v>
      </c>
      <c r="T111" s="589"/>
      <c r="U111" s="589">
        <f>+SUM(U101:U110)</f>
        <v>0</v>
      </c>
      <c r="V111" s="589"/>
      <c r="Y111" s="1147">
        <v>0</v>
      </c>
      <c r="AA111" s="1146"/>
    </row>
    <row r="112" spans="2:27" ht="21" customHeight="1" x14ac:dyDescent="0.25">
      <c r="B112" s="452">
        <f>1+B100</f>
        <v>13</v>
      </c>
      <c r="C112" s="466" t="e">
        <f>+C46+1</f>
        <v>#REF!</v>
      </c>
      <c r="D112" s="453" t="s">
        <v>452</v>
      </c>
      <c r="E112" s="445"/>
      <c r="F112" s="446"/>
      <c r="G112" s="549"/>
      <c r="H112" s="438"/>
      <c r="I112" s="438"/>
      <c r="J112" s="438"/>
      <c r="K112" s="438"/>
      <c r="L112" s="756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Y112" s="1147">
        <v>0</v>
      </c>
      <c r="AA112" s="1146"/>
    </row>
    <row r="113" spans="2:27" ht="21" customHeight="1" x14ac:dyDescent="0.25">
      <c r="B113" s="562">
        <v>13.01</v>
      </c>
      <c r="C113" s="576" t="e">
        <f t="shared" si="35"/>
        <v>#REF!</v>
      </c>
      <c r="D113" s="502" t="s">
        <v>451</v>
      </c>
      <c r="E113" s="496"/>
      <c r="F113" s="497"/>
      <c r="G113" s="530" t="s">
        <v>11</v>
      </c>
      <c r="H113" s="553">
        <v>377.78</v>
      </c>
      <c r="I113" s="553"/>
      <c r="J113" s="553">
        <v>23</v>
      </c>
      <c r="K113" s="553">
        <f t="shared" ref="K113:K116" si="71">+ROUND($H113*J113,2)</f>
        <v>8688.94</v>
      </c>
      <c r="L113" s="553">
        <f>+[192]Metrado!E108</f>
        <v>22</v>
      </c>
      <c r="M113" s="553">
        <f t="shared" ref="M113:M115" si="72">+ROUND($H113*L113,2)</f>
        <v>8311.16</v>
      </c>
      <c r="N113" s="553">
        <f>+IF($L113-$J113&gt;=0,$L113-$J113,0)</f>
        <v>0</v>
      </c>
      <c r="O113" s="553">
        <f t="shared" ref="O113:O116" si="73">+ROUND($H113*N113,2)</f>
        <v>0</v>
      </c>
      <c r="P113" s="553"/>
      <c r="Q113" s="553">
        <f t="shared" ref="Q113:Q115" si="74">+ROUND($H113*P113,2)</f>
        <v>0</v>
      </c>
      <c r="R113" s="553">
        <f>+IF($L113-$J113&lt;=0,-$L113+$J113,0)</f>
        <v>1</v>
      </c>
      <c r="S113" s="553">
        <f t="shared" ref="S113:S116" si="75">+ROUND($H113*R113,2)</f>
        <v>377.78</v>
      </c>
      <c r="T113" s="553"/>
      <c r="U113" s="553">
        <f t="shared" ref="U113:U116" si="76">+ROUND($H113*T113,2)</f>
        <v>0</v>
      </c>
      <c r="V113" s="553"/>
      <c r="Y113" s="1147">
        <v>0</v>
      </c>
      <c r="AA113" s="1146"/>
    </row>
    <row r="114" spans="2:27" ht="21" customHeight="1" x14ac:dyDescent="0.25">
      <c r="B114" s="562">
        <v>13.02</v>
      </c>
      <c r="C114" s="576" t="e">
        <f t="shared" si="35"/>
        <v>#REF!</v>
      </c>
      <c r="D114" s="502" t="s">
        <v>622</v>
      </c>
      <c r="E114" s="496"/>
      <c r="F114" s="497"/>
      <c r="G114" s="530" t="s">
        <v>11</v>
      </c>
      <c r="H114" s="553">
        <v>7.19</v>
      </c>
      <c r="I114" s="553"/>
      <c r="J114" s="553">
        <v>23</v>
      </c>
      <c r="K114" s="553">
        <f t="shared" si="71"/>
        <v>165.37</v>
      </c>
      <c r="L114" s="553">
        <f>+[192]Metrado!E109</f>
        <v>22</v>
      </c>
      <c r="M114" s="553">
        <f t="shared" si="72"/>
        <v>158.18</v>
      </c>
      <c r="N114" s="553">
        <f t="shared" ref="N114:N115" si="77">+IF($L114-$J114&gt;=0,$L114-$J114,0)</f>
        <v>0</v>
      </c>
      <c r="O114" s="553">
        <f t="shared" si="73"/>
        <v>0</v>
      </c>
      <c r="P114" s="553"/>
      <c r="Q114" s="553">
        <f t="shared" si="74"/>
        <v>0</v>
      </c>
      <c r="R114" s="553">
        <f t="shared" ref="R114:R115" si="78">+IF($L114-$J114&lt;=0,-$L114+$J114,0)</f>
        <v>1</v>
      </c>
      <c r="S114" s="553">
        <f t="shared" si="75"/>
        <v>7.19</v>
      </c>
      <c r="T114" s="553"/>
      <c r="U114" s="553">
        <f t="shared" si="76"/>
        <v>0</v>
      </c>
      <c r="V114" s="553"/>
      <c r="Y114" s="1147">
        <v>0</v>
      </c>
      <c r="AA114" s="1146"/>
    </row>
    <row r="115" spans="2:27" ht="21" customHeight="1" x14ac:dyDescent="0.25">
      <c r="B115" s="562">
        <v>13.03</v>
      </c>
      <c r="C115" s="576" t="e">
        <f t="shared" si="35"/>
        <v>#REF!</v>
      </c>
      <c r="D115" s="502" t="s">
        <v>448</v>
      </c>
      <c r="E115" s="496"/>
      <c r="F115" s="497"/>
      <c r="G115" s="530" t="s">
        <v>11</v>
      </c>
      <c r="H115" s="553">
        <v>264.86</v>
      </c>
      <c r="I115" s="553"/>
      <c r="J115" s="553">
        <v>23</v>
      </c>
      <c r="K115" s="553">
        <f t="shared" si="71"/>
        <v>6091.78</v>
      </c>
      <c r="L115" s="553">
        <f>+[192]Metrado!E110</f>
        <v>12</v>
      </c>
      <c r="M115" s="553">
        <f t="shared" si="72"/>
        <v>3178.32</v>
      </c>
      <c r="N115" s="553">
        <f t="shared" si="77"/>
        <v>0</v>
      </c>
      <c r="O115" s="553">
        <f t="shared" si="73"/>
        <v>0</v>
      </c>
      <c r="P115" s="553"/>
      <c r="Q115" s="553">
        <f t="shared" si="74"/>
        <v>0</v>
      </c>
      <c r="R115" s="553">
        <f t="shared" si="78"/>
        <v>11</v>
      </c>
      <c r="S115" s="553">
        <f t="shared" si="75"/>
        <v>2913.46</v>
      </c>
      <c r="T115" s="553">
        <f>+P116</f>
        <v>10</v>
      </c>
      <c r="U115" s="553">
        <f t="shared" si="76"/>
        <v>2648.6</v>
      </c>
      <c r="V115" s="553" t="s">
        <v>873</v>
      </c>
      <c r="Y115" s="1147">
        <v>0</v>
      </c>
      <c r="Z115" s="547"/>
      <c r="AA115" s="1146"/>
    </row>
    <row r="116" spans="2:27" s="547" customFormat="1" ht="21" customHeight="1" x14ac:dyDescent="0.25">
      <c r="B116" s="559">
        <v>13.04</v>
      </c>
      <c r="C116" s="575" t="e">
        <f>+#REF!+1</f>
        <v>#REF!</v>
      </c>
      <c r="D116" s="501" t="s">
        <v>827</v>
      </c>
      <c r="E116" s="636"/>
      <c r="F116" s="785"/>
      <c r="G116" s="596" t="s">
        <v>11</v>
      </c>
      <c r="H116" s="640"/>
      <c r="I116" s="640">
        <v>264.86</v>
      </c>
      <c r="J116" s="640"/>
      <c r="K116" s="647">
        <f t="shared" si="71"/>
        <v>0</v>
      </c>
      <c r="L116" s="560">
        <f>+[192]Metrado!E111</f>
        <v>10</v>
      </c>
      <c r="M116" s="647">
        <f>+ROUND($I116*L116,2)</f>
        <v>2648.6</v>
      </c>
      <c r="N116" s="561"/>
      <c r="O116" s="561">
        <f t="shared" si="73"/>
        <v>0</v>
      </c>
      <c r="P116" s="659">
        <f>+L116</f>
        <v>10</v>
      </c>
      <c r="Q116" s="647">
        <f>+ROUND($I116*P116,2)</f>
        <v>2648.6</v>
      </c>
      <c r="R116" s="648"/>
      <c r="S116" s="561">
        <f t="shared" si="75"/>
        <v>0</v>
      </c>
      <c r="T116" s="648"/>
      <c r="U116" s="561">
        <f t="shared" si="76"/>
        <v>0</v>
      </c>
      <c r="V116" s="648"/>
      <c r="Y116" s="1149">
        <v>0</v>
      </c>
      <c r="Z116" s="414"/>
      <c r="AA116" s="1146"/>
    </row>
    <row r="117" spans="2:27" ht="21" customHeight="1" x14ac:dyDescent="0.25">
      <c r="B117" s="456"/>
      <c r="C117" s="466" t="e">
        <f>+#REF!+1</f>
        <v>#REF!</v>
      </c>
      <c r="D117" s="743"/>
      <c r="E117" s="445"/>
      <c r="F117" s="533" t="str">
        <f>+"SUB-TOTAL   "&amp;B112&amp;":  "</f>
        <v xml:space="preserve">SUB-TOTAL   13:  </v>
      </c>
      <c r="G117" s="567"/>
      <c r="H117" s="540"/>
      <c r="I117" s="540"/>
      <c r="J117" s="540"/>
      <c r="K117" s="589">
        <f>+SUM(K113:K116)</f>
        <v>14946.09</v>
      </c>
      <c r="L117" s="540"/>
      <c r="M117" s="589">
        <f>+SUM(M113:M116)</f>
        <v>14296.26</v>
      </c>
      <c r="N117" s="589"/>
      <c r="O117" s="589">
        <f>+SUM(O113:O116)</f>
        <v>0</v>
      </c>
      <c r="P117" s="589"/>
      <c r="Q117" s="589">
        <f>+SUM(Q113:Q116)</f>
        <v>2648.6</v>
      </c>
      <c r="R117" s="589"/>
      <c r="S117" s="589">
        <f>+SUM(S113:S116)</f>
        <v>3298.43</v>
      </c>
      <c r="T117" s="589"/>
      <c r="U117" s="589">
        <f>+SUM(U113:U115)</f>
        <v>2648.6</v>
      </c>
      <c r="V117" s="589"/>
      <c r="Y117" s="1147">
        <v>0</v>
      </c>
      <c r="AA117" s="1146"/>
    </row>
    <row r="118" spans="2:27" ht="21" customHeight="1" x14ac:dyDescent="0.25">
      <c r="B118" s="452">
        <f>1+B112</f>
        <v>14</v>
      </c>
      <c r="C118" s="466" t="e">
        <f>+C56+1</f>
        <v>#REF!</v>
      </c>
      <c r="D118" s="453" t="s">
        <v>623</v>
      </c>
      <c r="E118" s="445"/>
      <c r="F118" s="446"/>
      <c r="G118" s="549"/>
      <c r="H118" s="438"/>
      <c r="I118" s="438"/>
      <c r="J118" s="438"/>
      <c r="K118" s="438"/>
      <c r="L118" s="756"/>
      <c r="M118" s="438"/>
      <c r="N118" s="438"/>
      <c r="O118" s="438"/>
      <c r="P118" s="438"/>
      <c r="Q118" s="438"/>
      <c r="R118" s="438"/>
      <c r="S118" s="438"/>
      <c r="T118" s="438"/>
      <c r="U118" s="438"/>
      <c r="V118" s="438"/>
      <c r="Y118" s="1147">
        <v>0</v>
      </c>
      <c r="Z118" s="660"/>
      <c r="AA118" s="1146"/>
    </row>
    <row r="119" spans="2:27" ht="21" customHeight="1" x14ac:dyDescent="0.25">
      <c r="B119" s="562">
        <v>14.01</v>
      </c>
      <c r="C119" s="576" t="e">
        <f t="shared" si="35"/>
        <v>#REF!</v>
      </c>
      <c r="D119" s="502" t="s">
        <v>624</v>
      </c>
      <c r="E119" s="496"/>
      <c r="F119" s="497"/>
      <c r="G119" s="530" t="s">
        <v>11</v>
      </c>
      <c r="H119" s="553">
        <v>3066.26</v>
      </c>
      <c r="I119" s="553"/>
      <c r="J119" s="553">
        <v>13</v>
      </c>
      <c r="K119" s="553">
        <f t="shared" ref="K119:K123" si="79">+ROUND($H119*J119,2)</f>
        <v>39861.379999999997</v>
      </c>
      <c r="L119" s="553">
        <f>+[192]Metrado!E114</f>
        <v>8</v>
      </c>
      <c r="M119" s="553">
        <f t="shared" ref="M119:M121" si="80">+ROUND($H119*L119,2)</f>
        <v>24530.080000000002</v>
      </c>
      <c r="N119" s="553">
        <f>+IF($L119-$J119&gt;=0,$L119-$J119,0)</f>
        <v>0</v>
      </c>
      <c r="O119" s="553">
        <f t="shared" ref="O119:O123" si="81">+ROUND($H119*N119,2)</f>
        <v>0</v>
      </c>
      <c r="P119" s="553"/>
      <c r="Q119" s="553">
        <f t="shared" ref="Q119:Q121" si="82">+ROUND($H119*P119,2)</f>
        <v>0</v>
      </c>
      <c r="R119" s="553">
        <f>+IF($L119-$J119&lt;=0,-$L119+$J119,0)</f>
        <v>5</v>
      </c>
      <c r="S119" s="553">
        <f t="shared" ref="S119:S123" si="83">+ROUND($H119*R119,2)</f>
        <v>15331.3</v>
      </c>
      <c r="T119" s="553">
        <f>+P122</f>
        <v>2</v>
      </c>
      <c r="U119" s="553">
        <f t="shared" ref="U119:U123" si="84">+ROUND($H119*T119,2)</f>
        <v>6132.52</v>
      </c>
      <c r="V119" s="553" t="s">
        <v>874</v>
      </c>
      <c r="Y119" s="1147">
        <v>0</v>
      </c>
      <c r="Z119" s="660"/>
      <c r="AA119" s="1146"/>
    </row>
    <row r="120" spans="2:27" ht="21" customHeight="1" x14ac:dyDescent="0.25">
      <c r="B120" s="562">
        <v>14.02</v>
      </c>
      <c r="C120" s="576" t="e">
        <f t="shared" si="35"/>
        <v>#REF!</v>
      </c>
      <c r="D120" s="502" t="s">
        <v>625</v>
      </c>
      <c r="E120" s="496"/>
      <c r="F120" s="497"/>
      <c r="G120" s="530" t="s">
        <v>11</v>
      </c>
      <c r="H120" s="553">
        <v>2790</v>
      </c>
      <c r="I120" s="553"/>
      <c r="J120" s="553">
        <v>3</v>
      </c>
      <c r="K120" s="553">
        <f t="shared" si="79"/>
        <v>8370</v>
      </c>
      <c r="L120" s="553">
        <f>+[192]Metrado!E115</f>
        <v>1</v>
      </c>
      <c r="M120" s="553">
        <f t="shared" si="80"/>
        <v>2790</v>
      </c>
      <c r="N120" s="553">
        <f t="shared" ref="N120:N121" si="85">+IF($L120-$J120&gt;=0,$L120-$J120,0)</f>
        <v>0</v>
      </c>
      <c r="O120" s="553">
        <f t="shared" si="81"/>
        <v>0</v>
      </c>
      <c r="P120" s="553"/>
      <c r="Q120" s="553">
        <f t="shared" si="82"/>
        <v>0</v>
      </c>
      <c r="R120" s="553">
        <f t="shared" ref="R120:R121" si="86">+IF($L120-$J120&lt;=0,-$L120+$J120,0)</f>
        <v>2</v>
      </c>
      <c r="S120" s="553">
        <f t="shared" si="83"/>
        <v>5580</v>
      </c>
      <c r="T120" s="553">
        <f>+R120</f>
        <v>2</v>
      </c>
      <c r="U120" s="553">
        <f t="shared" si="84"/>
        <v>5580</v>
      </c>
      <c r="V120" s="553" t="s">
        <v>875</v>
      </c>
      <c r="Y120" s="1147">
        <v>0</v>
      </c>
      <c r="Z120" s="660"/>
      <c r="AA120" s="1146"/>
    </row>
    <row r="121" spans="2:27" ht="21" customHeight="1" x14ac:dyDescent="0.25">
      <c r="B121" s="562">
        <v>14.03</v>
      </c>
      <c r="C121" s="576" t="e">
        <f t="shared" si="35"/>
        <v>#REF!</v>
      </c>
      <c r="D121" s="502" t="s">
        <v>626</v>
      </c>
      <c r="E121" s="496"/>
      <c r="F121" s="497"/>
      <c r="G121" s="530" t="s">
        <v>11</v>
      </c>
      <c r="H121" s="553">
        <v>3538</v>
      </c>
      <c r="I121" s="553"/>
      <c r="J121" s="553">
        <v>2</v>
      </c>
      <c r="K121" s="553">
        <f t="shared" si="79"/>
        <v>7076</v>
      </c>
      <c r="L121" s="553">
        <f>+[192]Metrado!E116</f>
        <v>1</v>
      </c>
      <c r="M121" s="553">
        <f t="shared" si="80"/>
        <v>3538</v>
      </c>
      <c r="N121" s="553">
        <f t="shared" si="85"/>
        <v>0</v>
      </c>
      <c r="O121" s="553">
        <f t="shared" si="81"/>
        <v>0</v>
      </c>
      <c r="P121" s="553"/>
      <c r="Q121" s="553">
        <f t="shared" si="82"/>
        <v>0</v>
      </c>
      <c r="R121" s="553">
        <f t="shared" si="86"/>
        <v>1</v>
      </c>
      <c r="S121" s="553">
        <f t="shared" si="83"/>
        <v>3538</v>
      </c>
      <c r="T121" s="553">
        <f>+R121</f>
        <v>1</v>
      </c>
      <c r="U121" s="553">
        <f t="shared" si="84"/>
        <v>3538</v>
      </c>
      <c r="V121" s="553" t="s">
        <v>875</v>
      </c>
      <c r="Y121" s="1147">
        <v>0</v>
      </c>
      <c r="Z121" s="1127"/>
      <c r="AA121" s="1146"/>
    </row>
    <row r="122" spans="2:27" s="547" customFormat="1" ht="21" customHeight="1" x14ac:dyDescent="0.25">
      <c r="B122" s="559">
        <v>14.04</v>
      </c>
      <c r="C122" s="575" t="e">
        <f>+#REF!+1</f>
        <v>#REF!</v>
      </c>
      <c r="D122" s="501" t="s">
        <v>789</v>
      </c>
      <c r="E122" s="646"/>
      <c r="F122" s="636"/>
      <c r="G122" s="596" t="s">
        <v>11</v>
      </c>
      <c r="H122" s="640"/>
      <c r="I122" s="640">
        <v>3420</v>
      </c>
      <c r="J122" s="640"/>
      <c r="K122" s="647">
        <f t="shared" si="79"/>
        <v>0</v>
      </c>
      <c r="L122" s="560">
        <f>+[192]Metrado!E117</f>
        <v>2</v>
      </c>
      <c r="M122" s="647">
        <f>+ROUND($I122*L122,2)</f>
        <v>6840</v>
      </c>
      <c r="N122" s="561"/>
      <c r="O122" s="561">
        <f t="shared" si="81"/>
        <v>0</v>
      </c>
      <c r="P122" s="659">
        <f>+L122</f>
        <v>2</v>
      </c>
      <c r="Q122" s="647">
        <f>+ROUND($I122*P122,2)</f>
        <v>6840</v>
      </c>
      <c r="R122" s="648"/>
      <c r="S122" s="561">
        <f t="shared" si="83"/>
        <v>0</v>
      </c>
      <c r="T122" s="648"/>
      <c r="U122" s="561">
        <f t="shared" si="84"/>
        <v>0</v>
      </c>
      <c r="V122" s="648"/>
      <c r="Y122" s="1149">
        <v>0</v>
      </c>
      <c r="AA122" s="1146"/>
    </row>
    <row r="123" spans="2:27" s="547" customFormat="1" ht="21" customHeight="1" x14ac:dyDescent="0.25">
      <c r="B123" s="559">
        <v>14.05</v>
      </c>
      <c r="C123" s="575" t="e">
        <f>+#REF!+1</f>
        <v>#REF!</v>
      </c>
      <c r="D123" s="501" t="s">
        <v>790</v>
      </c>
      <c r="E123" s="646"/>
      <c r="F123" s="636"/>
      <c r="G123" s="596" t="s">
        <v>11</v>
      </c>
      <c r="H123" s="640"/>
      <c r="I123" s="640">
        <v>6698</v>
      </c>
      <c r="J123" s="640"/>
      <c r="K123" s="647">
        <f t="shared" si="79"/>
        <v>0</v>
      </c>
      <c r="L123" s="560">
        <f>+[192]Metrado!E118</f>
        <v>3</v>
      </c>
      <c r="M123" s="647">
        <f t="shared" ref="M123" si="87">+ROUND($I123*L123,2)</f>
        <v>20094</v>
      </c>
      <c r="N123" s="561"/>
      <c r="O123" s="561">
        <f t="shared" si="81"/>
        <v>0</v>
      </c>
      <c r="P123" s="659">
        <f t="shared" ref="P123" si="88">+L123</f>
        <v>3</v>
      </c>
      <c r="Q123" s="647">
        <f t="shared" ref="Q123" si="89">+ROUND($I123*P123,2)</f>
        <v>20094</v>
      </c>
      <c r="R123" s="648"/>
      <c r="S123" s="561">
        <f t="shared" si="83"/>
        <v>0</v>
      </c>
      <c r="T123" s="648"/>
      <c r="U123" s="561">
        <f t="shared" si="84"/>
        <v>0</v>
      </c>
      <c r="V123" s="648"/>
      <c r="Y123" s="1149">
        <v>0</v>
      </c>
      <c r="Z123" s="414"/>
      <c r="AA123" s="1146"/>
    </row>
    <row r="124" spans="2:27" ht="21" customHeight="1" x14ac:dyDescent="0.25">
      <c r="B124" s="456"/>
      <c r="C124" s="466" t="e">
        <f>+#REF!+1</f>
        <v>#REF!</v>
      </c>
      <c r="D124" s="537"/>
      <c r="E124" s="538"/>
      <c r="F124" s="533" t="str">
        <f>+"SUB-TOTAL   "&amp;B118&amp;":  "</f>
        <v xml:space="preserve">SUB-TOTAL   14:  </v>
      </c>
      <c r="G124" s="567"/>
      <c r="H124" s="540"/>
      <c r="I124" s="540"/>
      <c r="J124" s="540"/>
      <c r="K124" s="589">
        <f>+SUM(K119:K123)</f>
        <v>55307.38</v>
      </c>
      <c r="L124" s="540"/>
      <c r="M124" s="589">
        <f>+SUM(M119:M123)</f>
        <v>57792.08</v>
      </c>
      <c r="N124" s="589"/>
      <c r="O124" s="589">
        <f>+SUM(O119:O123)</f>
        <v>0</v>
      </c>
      <c r="P124" s="589"/>
      <c r="Q124" s="589">
        <f>+SUM(Q119:Q123)</f>
        <v>26934</v>
      </c>
      <c r="R124" s="589"/>
      <c r="S124" s="589">
        <f>+SUM(S119:S123)</f>
        <v>24449.3</v>
      </c>
      <c r="T124" s="589"/>
      <c r="U124" s="589">
        <f>+SUM(U119:U123)</f>
        <v>15250.52</v>
      </c>
      <c r="V124" s="589"/>
      <c r="Y124" s="1147">
        <v>0</v>
      </c>
      <c r="AA124" s="1146"/>
    </row>
    <row r="125" spans="2:27" ht="21" customHeight="1" x14ac:dyDescent="0.25">
      <c r="B125" s="452">
        <f>1+B118</f>
        <v>15</v>
      </c>
      <c r="C125" s="466" t="e">
        <f>+C69+1</f>
        <v>#REF!</v>
      </c>
      <c r="D125" s="453" t="s">
        <v>627</v>
      </c>
      <c r="E125" s="445"/>
      <c r="F125" s="446"/>
      <c r="G125" s="549"/>
      <c r="H125" s="438"/>
      <c r="I125" s="438"/>
      <c r="J125" s="438"/>
      <c r="K125" s="438"/>
      <c r="L125" s="756"/>
      <c r="M125" s="438"/>
      <c r="N125" s="438"/>
      <c r="O125" s="438"/>
      <c r="P125" s="438"/>
      <c r="Q125" s="438"/>
      <c r="R125" s="438"/>
      <c r="S125" s="438"/>
      <c r="T125" s="438"/>
      <c r="U125" s="438"/>
      <c r="V125" s="438"/>
      <c r="Y125" s="1147">
        <v>0</v>
      </c>
      <c r="AA125" s="1146"/>
    </row>
    <row r="126" spans="2:27" ht="21" customHeight="1" x14ac:dyDescent="0.25">
      <c r="B126" s="562">
        <v>15.01</v>
      </c>
      <c r="C126" s="576" t="e">
        <f t="shared" ref="C126:C187" si="90">+C125+1</f>
        <v>#REF!</v>
      </c>
      <c r="D126" s="502" t="s">
        <v>628</v>
      </c>
      <c r="E126" s="496"/>
      <c r="F126" s="497"/>
      <c r="G126" s="530" t="s">
        <v>11</v>
      </c>
      <c r="H126" s="553">
        <v>1884.53</v>
      </c>
      <c r="I126" s="553"/>
      <c r="J126" s="553">
        <v>16</v>
      </c>
      <c r="K126" s="553">
        <f t="shared" ref="K126:K129" si="91">+ROUND($H126*J126,2)</f>
        <v>30152.48</v>
      </c>
      <c r="L126" s="553">
        <f>+[192]Metrado!E121</f>
        <v>11</v>
      </c>
      <c r="M126" s="553">
        <f t="shared" ref="M126:M127" si="92">+ROUND($H126*L126,2)</f>
        <v>20729.830000000002</v>
      </c>
      <c r="N126" s="553">
        <f>+IF($L126-$J126&gt;=0,$L126-$J126,0)</f>
        <v>0</v>
      </c>
      <c r="O126" s="553">
        <f t="shared" ref="O126:O129" si="93">+ROUND($H126*N126,2)</f>
        <v>0</v>
      </c>
      <c r="P126" s="553"/>
      <c r="Q126" s="553">
        <f t="shared" ref="Q126:Q127" si="94">+ROUND($H126*P126,2)</f>
        <v>0</v>
      </c>
      <c r="R126" s="553">
        <f>+IF($L126-$J126&lt;=0,-$L126+$J126,0)</f>
        <v>5</v>
      </c>
      <c r="S126" s="553">
        <f t="shared" ref="S126:S129" si="95">+ROUND($H126*R126,2)</f>
        <v>9422.65</v>
      </c>
      <c r="T126" s="553">
        <f>+R126-P129</f>
        <v>2</v>
      </c>
      <c r="U126" s="553">
        <f t="shared" ref="U126:U129" si="96">+ROUND($H126*T126,2)</f>
        <v>3769.06</v>
      </c>
      <c r="V126" s="553" t="s">
        <v>876</v>
      </c>
      <c r="Y126" s="1147">
        <v>0</v>
      </c>
      <c r="AA126" s="1146"/>
    </row>
    <row r="127" spans="2:27" ht="21" customHeight="1" x14ac:dyDescent="0.25">
      <c r="B127" s="562">
        <v>15.02</v>
      </c>
      <c r="C127" s="576" t="e">
        <f>+C126+1</f>
        <v>#REF!</v>
      </c>
      <c r="D127" s="502" t="s">
        <v>629</v>
      </c>
      <c r="E127" s="496"/>
      <c r="F127" s="497"/>
      <c r="G127" s="530" t="s">
        <v>11</v>
      </c>
      <c r="H127" s="553">
        <v>1880.73</v>
      </c>
      <c r="I127" s="553"/>
      <c r="J127" s="553">
        <v>2</v>
      </c>
      <c r="K127" s="553">
        <f t="shared" si="91"/>
        <v>3761.46</v>
      </c>
      <c r="L127" s="553">
        <f>+[192]Metrado!E122</f>
        <v>1</v>
      </c>
      <c r="M127" s="553">
        <f t="shared" si="92"/>
        <v>1880.73</v>
      </c>
      <c r="N127" s="553">
        <f t="shared" ref="N127" si="97">+IF($L127-$J127&gt;=0,$L127-$J127,0)</f>
        <v>0</v>
      </c>
      <c r="O127" s="553">
        <f t="shared" si="93"/>
        <v>0</v>
      </c>
      <c r="P127" s="553"/>
      <c r="Q127" s="553">
        <f t="shared" si="94"/>
        <v>0</v>
      </c>
      <c r="R127" s="553">
        <f t="shared" ref="R127" si="98">+IF($L127-$J127&lt;=0,-$L127+$J127,0)</f>
        <v>1</v>
      </c>
      <c r="S127" s="553">
        <f t="shared" si="95"/>
        <v>1880.73</v>
      </c>
      <c r="T127" s="553">
        <f>+R127</f>
        <v>1</v>
      </c>
      <c r="U127" s="553">
        <f t="shared" si="96"/>
        <v>1880.73</v>
      </c>
      <c r="V127" s="553" t="s">
        <v>876</v>
      </c>
      <c r="Y127" s="1147">
        <v>0</v>
      </c>
      <c r="Z127" s="547"/>
      <c r="AA127" s="1146"/>
    </row>
    <row r="128" spans="2:27" ht="18" hidden="1" customHeight="1" x14ac:dyDescent="0.25">
      <c r="B128" s="559">
        <v>15.03</v>
      </c>
      <c r="C128" s="575" t="e">
        <f>+#REF!+1</f>
        <v>#REF!</v>
      </c>
      <c r="D128" s="501" t="s">
        <v>826</v>
      </c>
      <c r="E128" s="646"/>
      <c r="F128" s="636"/>
      <c r="G128" s="596" t="s">
        <v>11</v>
      </c>
      <c r="H128" s="640"/>
      <c r="I128" s="772"/>
      <c r="J128" s="640"/>
      <c r="K128" s="647">
        <f t="shared" si="91"/>
        <v>0</v>
      </c>
      <c r="L128" s="553">
        <f>+[192]Metrado!E123</f>
        <v>0</v>
      </c>
      <c r="M128" s="647">
        <f>+ROUND($I128*L128,2)</f>
        <v>0</v>
      </c>
      <c r="N128" s="561"/>
      <c r="O128" s="561">
        <f t="shared" si="93"/>
        <v>0</v>
      </c>
      <c r="P128" s="659">
        <f>+L128</f>
        <v>0</v>
      </c>
      <c r="Q128" s="647">
        <f>+ROUND($I128*P128,2)</f>
        <v>0</v>
      </c>
      <c r="R128" s="648"/>
      <c r="S128" s="561">
        <f t="shared" si="95"/>
        <v>0</v>
      </c>
      <c r="T128" s="648"/>
      <c r="U128" s="561">
        <f t="shared" si="96"/>
        <v>0</v>
      </c>
      <c r="V128" s="648"/>
      <c r="W128" s="547"/>
      <c r="Y128" s="1147">
        <v>0</v>
      </c>
      <c r="AA128" s="1146"/>
    </row>
    <row r="129" spans="2:27" s="547" customFormat="1" ht="21" customHeight="1" x14ac:dyDescent="0.25">
      <c r="B129" s="559">
        <v>15.04</v>
      </c>
      <c r="C129" s="575" t="e">
        <f>+#REF!+1</f>
        <v>#REF!</v>
      </c>
      <c r="D129" s="501" t="s">
        <v>791</v>
      </c>
      <c r="E129" s="646"/>
      <c r="F129" s="636"/>
      <c r="G129" s="596" t="s">
        <v>11</v>
      </c>
      <c r="H129" s="640"/>
      <c r="I129" s="640">
        <v>2378.71</v>
      </c>
      <c r="J129" s="640"/>
      <c r="K129" s="647">
        <f t="shared" si="91"/>
        <v>0</v>
      </c>
      <c r="L129" s="640">
        <f>+[192]Metrado!E124</f>
        <v>3</v>
      </c>
      <c r="M129" s="647">
        <f>+ROUND($I129*L129,2)</f>
        <v>7136.13</v>
      </c>
      <c r="N129" s="561"/>
      <c r="O129" s="561">
        <f t="shared" si="93"/>
        <v>0</v>
      </c>
      <c r="P129" s="659">
        <f>+L129</f>
        <v>3</v>
      </c>
      <c r="Q129" s="647">
        <f>+ROUND($I129*P129,2)</f>
        <v>7136.13</v>
      </c>
      <c r="R129" s="648"/>
      <c r="S129" s="561">
        <f t="shared" si="95"/>
        <v>0</v>
      </c>
      <c r="T129" s="648"/>
      <c r="U129" s="561">
        <f t="shared" si="96"/>
        <v>0</v>
      </c>
      <c r="V129" s="648"/>
      <c r="Y129" s="1149">
        <v>0</v>
      </c>
      <c r="Z129" s="414"/>
      <c r="AA129" s="1146"/>
    </row>
    <row r="130" spans="2:27" ht="21" customHeight="1" x14ac:dyDescent="0.25">
      <c r="B130" s="456"/>
      <c r="C130" s="466" t="e">
        <f>+#REF!+1</f>
        <v>#REF!</v>
      </c>
      <c r="D130" s="537"/>
      <c r="E130" s="538"/>
      <c r="F130" s="533" t="str">
        <f>+"SUB-TOTAL   "&amp;B125&amp;":  "</f>
        <v xml:space="preserve">SUB-TOTAL   15:  </v>
      </c>
      <c r="G130" s="567"/>
      <c r="H130" s="540"/>
      <c r="I130" s="540"/>
      <c r="J130" s="540"/>
      <c r="K130" s="589">
        <f>+SUM(K126:K129)</f>
        <v>33913.94</v>
      </c>
      <c r="L130" s="540"/>
      <c r="M130" s="589">
        <f>+SUM(M126:M129)</f>
        <v>29746.690000000002</v>
      </c>
      <c r="N130" s="589"/>
      <c r="O130" s="589">
        <f>+SUM(O126:O129)</f>
        <v>0</v>
      </c>
      <c r="P130" s="589"/>
      <c r="Q130" s="589">
        <f>+SUM(Q126:Q129)</f>
        <v>7136.13</v>
      </c>
      <c r="R130" s="589"/>
      <c r="S130" s="589">
        <f>+SUM(S126:S129)</f>
        <v>11303.38</v>
      </c>
      <c r="T130" s="589"/>
      <c r="U130" s="589">
        <f>+SUM(U126:U129)</f>
        <v>5649.79</v>
      </c>
      <c r="V130" s="589"/>
      <c r="Y130" s="1147">
        <v>0</v>
      </c>
      <c r="AA130" s="1146"/>
    </row>
    <row r="131" spans="2:27" ht="21" customHeight="1" x14ac:dyDescent="0.25">
      <c r="B131" s="452">
        <f>1+B125</f>
        <v>16</v>
      </c>
      <c r="C131" s="466" t="e">
        <f>+C85+1</f>
        <v>#REF!</v>
      </c>
      <c r="D131" s="453" t="s">
        <v>630</v>
      </c>
      <c r="E131" s="445"/>
      <c r="F131" s="446"/>
      <c r="G131" s="549"/>
      <c r="H131" s="438"/>
      <c r="I131" s="438"/>
      <c r="J131" s="438"/>
      <c r="K131" s="438"/>
      <c r="L131" s="756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Y131" s="1147">
        <v>0</v>
      </c>
      <c r="AA131" s="1146"/>
    </row>
    <row r="132" spans="2:27" ht="21" customHeight="1" x14ac:dyDescent="0.25">
      <c r="B132" s="562">
        <v>16.010000000000002</v>
      </c>
      <c r="C132" s="576" t="e">
        <f t="shared" si="90"/>
        <v>#REF!</v>
      </c>
      <c r="D132" s="502" t="s">
        <v>631</v>
      </c>
      <c r="E132" s="496"/>
      <c r="F132" s="497"/>
      <c r="G132" s="530" t="s">
        <v>13</v>
      </c>
      <c r="H132" s="553">
        <v>9.5299999999999994</v>
      </c>
      <c r="I132" s="553"/>
      <c r="J132" s="553">
        <v>90</v>
      </c>
      <c r="K132" s="553">
        <f t="shared" si="36"/>
        <v>857.7</v>
      </c>
      <c r="L132" s="553">
        <f>+[192]Metrado!E127</f>
        <v>60</v>
      </c>
      <c r="M132" s="553">
        <f t="shared" ref="M132:S134" si="99">+ROUND($H132*L132,2)</f>
        <v>571.79999999999995</v>
      </c>
      <c r="N132" s="553">
        <f>+IF($L132-$J132&gt;=0,$L132-$J132,0)</f>
        <v>0</v>
      </c>
      <c r="O132" s="553">
        <f t="shared" si="99"/>
        <v>0</v>
      </c>
      <c r="P132" s="553"/>
      <c r="Q132" s="553">
        <f t="shared" si="99"/>
        <v>0</v>
      </c>
      <c r="R132" s="553">
        <f>+IF($L132-$J132&lt;=0,-$L132+$J132,0)</f>
        <v>30</v>
      </c>
      <c r="S132" s="553">
        <f t="shared" si="99"/>
        <v>285.89999999999998</v>
      </c>
      <c r="T132" s="553"/>
      <c r="U132" s="553">
        <f t="shared" ref="U132:U134" si="100">+ROUND($H132*T132,2)</f>
        <v>0</v>
      </c>
      <c r="V132" s="553"/>
      <c r="Y132" s="1147">
        <v>0</v>
      </c>
      <c r="Z132" s="547"/>
      <c r="AA132" s="1146"/>
    </row>
    <row r="133" spans="2:27" ht="21" customHeight="1" x14ac:dyDescent="0.25">
      <c r="B133" s="562">
        <v>16.020000000000003</v>
      </c>
      <c r="C133" s="576" t="e">
        <f t="shared" si="90"/>
        <v>#REF!</v>
      </c>
      <c r="D133" s="502" t="s">
        <v>632</v>
      </c>
      <c r="E133" s="496"/>
      <c r="F133" s="497"/>
      <c r="G133" s="530" t="s">
        <v>13</v>
      </c>
      <c r="H133" s="553">
        <v>14.81</v>
      </c>
      <c r="I133" s="553"/>
      <c r="J133" s="553">
        <v>180</v>
      </c>
      <c r="K133" s="553">
        <f t="shared" ref="K133:K134" si="101">+ROUND($H133*J133,2)</f>
        <v>2665.8</v>
      </c>
      <c r="L133" s="553">
        <f>+[192]Metrado!E128</f>
        <v>128</v>
      </c>
      <c r="M133" s="553">
        <f t="shared" si="99"/>
        <v>1895.68</v>
      </c>
      <c r="N133" s="553">
        <f t="shared" ref="N133" si="102">+IF($L133-$J133&gt;=0,$L133-$J133,0)</f>
        <v>0</v>
      </c>
      <c r="O133" s="553">
        <f t="shared" si="99"/>
        <v>0</v>
      </c>
      <c r="P133" s="553"/>
      <c r="Q133" s="553">
        <f t="shared" si="99"/>
        <v>0</v>
      </c>
      <c r="R133" s="553">
        <f t="shared" ref="R133" si="103">+IF($L133-$J133&lt;=0,-$L133+$J133,0)</f>
        <v>52</v>
      </c>
      <c r="S133" s="553">
        <f t="shared" si="99"/>
        <v>770.12</v>
      </c>
      <c r="T133" s="553">
        <f>+P134</f>
        <v>36</v>
      </c>
      <c r="U133" s="553">
        <f t="shared" si="100"/>
        <v>533.16</v>
      </c>
      <c r="V133" s="553" t="s">
        <v>877</v>
      </c>
      <c r="Y133" s="1147">
        <v>0</v>
      </c>
      <c r="AA133" s="1146"/>
    </row>
    <row r="134" spans="2:27" s="547" customFormat="1" ht="21" customHeight="1" x14ac:dyDescent="0.3">
      <c r="B134" s="559">
        <v>16.03</v>
      </c>
      <c r="C134" s="575" t="e">
        <f>+#REF!+1</f>
        <v>#REF!</v>
      </c>
      <c r="D134" s="501" t="s">
        <v>792</v>
      </c>
      <c r="E134" s="646"/>
      <c r="F134" s="636"/>
      <c r="G134" s="596" t="s">
        <v>13</v>
      </c>
      <c r="H134" s="640"/>
      <c r="I134" s="640">
        <f>+H133*1.5</f>
        <v>22.215</v>
      </c>
      <c r="J134" s="640"/>
      <c r="K134" s="647">
        <f t="shared" si="101"/>
        <v>0</v>
      </c>
      <c r="L134" s="560">
        <f>+[192]Metrado!E129</f>
        <v>36</v>
      </c>
      <c r="M134" s="647">
        <f>+ROUND($I134*L134,2)</f>
        <v>799.74</v>
      </c>
      <c r="N134" s="561"/>
      <c r="O134" s="561">
        <f t="shared" si="99"/>
        <v>0</v>
      </c>
      <c r="P134" s="659">
        <f>+L134</f>
        <v>36</v>
      </c>
      <c r="Q134" s="647">
        <f>+ROUND($I134*P134,2)</f>
        <v>799.74</v>
      </c>
      <c r="R134" s="648"/>
      <c r="S134" s="561">
        <f t="shared" si="99"/>
        <v>0</v>
      </c>
      <c r="T134" s="648"/>
      <c r="U134" s="561">
        <f t="shared" si="100"/>
        <v>0</v>
      </c>
      <c r="V134" s="648"/>
      <c r="Y134" s="1149">
        <v>0</v>
      </c>
      <c r="Z134" s="630"/>
      <c r="AA134" s="1146"/>
    </row>
    <row r="135" spans="2:27" ht="21" customHeight="1" x14ac:dyDescent="0.3">
      <c r="B135" s="456"/>
      <c r="C135" s="466" t="e">
        <f>+#REF!+1</f>
        <v>#REF!</v>
      </c>
      <c r="D135" s="537"/>
      <c r="E135" s="538"/>
      <c r="F135" s="533" t="str">
        <f>+"SUB-TOTAL   "&amp;B131&amp;":  "</f>
        <v xml:space="preserve">SUB-TOTAL   16:  </v>
      </c>
      <c r="G135" s="597"/>
      <c r="H135" s="540"/>
      <c r="I135" s="540"/>
      <c r="J135" s="540"/>
      <c r="K135" s="589">
        <f>+SUM(K132:K134)</f>
        <v>3523.5</v>
      </c>
      <c r="L135" s="540"/>
      <c r="M135" s="589">
        <f>+SUM(M132:M134)</f>
        <v>3267.2200000000003</v>
      </c>
      <c r="N135" s="589"/>
      <c r="O135" s="589">
        <f>+SUM(O132:O134)</f>
        <v>0</v>
      </c>
      <c r="P135" s="589"/>
      <c r="Q135" s="589">
        <f>+SUM(Q132:Q134)</f>
        <v>799.74</v>
      </c>
      <c r="R135" s="589"/>
      <c r="S135" s="589">
        <f>+SUM(S132:S134)</f>
        <v>1056.02</v>
      </c>
      <c r="T135" s="589"/>
      <c r="U135" s="589">
        <f>+SUM(U132:U134)</f>
        <v>533.16</v>
      </c>
      <c r="V135" s="589"/>
      <c r="Z135" s="630"/>
      <c r="AA135" s="1146"/>
    </row>
    <row r="136" spans="2:27" s="630" customFormat="1" ht="45.75" customHeight="1" x14ac:dyDescent="0.3">
      <c r="B136" s="623"/>
      <c r="C136" s="624" t="e">
        <f t="shared" si="90"/>
        <v>#REF!</v>
      </c>
      <c r="D136" s="625" t="s">
        <v>27</v>
      </c>
      <c r="E136" s="626"/>
      <c r="F136" s="627"/>
      <c r="G136" s="628"/>
      <c r="H136" s="629"/>
      <c r="I136" s="629"/>
      <c r="J136" s="629"/>
      <c r="K136" s="629">
        <f>+K22+K28+K31+K35+K40+K47+K51+K54+K62+K65+K85+K99+K111+K117+K124+K130+K135</f>
        <v>202256.75</v>
      </c>
      <c r="L136" s="629"/>
      <c r="M136" s="629">
        <f>+M22+M28+M31+M35+M40+M47+M51+M54+M62+M65+M85+M99+M111+M117+M124+M130+M135</f>
        <v>223205.59</v>
      </c>
      <c r="N136" s="629"/>
      <c r="O136" s="629">
        <f>+O22+O28+O31+O35+O40+O47+O51+O54+O62+O65+O85+O99+O111+O117+O124+O130+O135</f>
        <v>17268.84</v>
      </c>
      <c r="P136" s="629"/>
      <c r="Q136" s="629">
        <f>+Q22+Q28+Q31+Q35+Q40+Q47+Q51+Q54+Q62+Q65+Q85+Q99+Q111+Q117+Q124+Q130+Q135</f>
        <v>55879.659999999996</v>
      </c>
      <c r="R136" s="629"/>
      <c r="S136" s="629">
        <f>+S22+S28+S31+S35+S40+S47+S51+S54+S62+S65+S85+S99+S111+S117+S124+S130+S135</f>
        <v>52199.659999999996</v>
      </c>
      <c r="T136" s="629"/>
      <c r="U136" s="629">
        <f>+U22+U28+U31+U35+U40+U47+U51+U54+U62+U65+U85+U99+U111+U117+U124+U130+U135</f>
        <v>29858.15</v>
      </c>
      <c r="V136" s="629"/>
      <c r="AA136" s="1146"/>
    </row>
    <row r="137" spans="2:27" ht="21" customHeight="1" x14ac:dyDescent="0.25">
      <c r="B137" s="467" t="s">
        <v>88</v>
      </c>
      <c r="C137" s="485" t="e">
        <f t="shared" si="90"/>
        <v>#REF!</v>
      </c>
      <c r="D137" s="468" t="s">
        <v>105</v>
      </c>
      <c r="E137" s="445"/>
      <c r="F137" s="446"/>
      <c r="G137" s="52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AA137" s="1146"/>
    </row>
    <row r="138" spans="2:27" ht="21" customHeight="1" x14ac:dyDescent="0.25">
      <c r="B138" s="439">
        <v>1</v>
      </c>
      <c r="C138" s="480">
        <f>+C16+1</f>
        <v>1</v>
      </c>
      <c r="D138" s="441" t="s">
        <v>357</v>
      </c>
      <c r="E138" s="486"/>
      <c r="F138" s="461"/>
      <c r="G138" s="440"/>
      <c r="H138" s="438"/>
      <c r="I138" s="438"/>
      <c r="J138" s="438"/>
      <c r="K138" s="600"/>
      <c r="L138" s="438"/>
      <c r="M138" s="600"/>
      <c r="N138" s="536"/>
      <c r="O138" s="600"/>
      <c r="P138" s="536"/>
      <c r="Q138" s="600"/>
      <c r="R138" s="536"/>
      <c r="S138" s="600"/>
      <c r="T138" s="536"/>
      <c r="U138" s="600"/>
      <c r="V138" s="536"/>
      <c r="AA138" s="1146"/>
    </row>
    <row r="139" spans="2:27" ht="21" customHeight="1" x14ac:dyDescent="0.25">
      <c r="B139" s="554">
        <v>1.01</v>
      </c>
      <c r="C139" s="584">
        <f t="shared" si="90"/>
        <v>2</v>
      </c>
      <c r="D139" s="495" t="s">
        <v>605</v>
      </c>
      <c r="E139" s="511"/>
      <c r="F139" s="512"/>
      <c r="G139" s="530" t="s">
        <v>11</v>
      </c>
      <c r="H139" s="553">
        <v>247.05</v>
      </c>
      <c r="I139" s="553"/>
      <c r="J139" s="553">
        <v>3</v>
      </c>
      <c r="K139" s="553">
        <f t="shared" ref="K139:K174" si="104">+ROUND($H139*J139,2)</f>
        <v>741.15</v>
      </c>
      <c r="L139" s="553">
        <f>+[192]Metrado!E134</f>
        <v>1</v>
      </c>
      <c r="M139" s="553">
        <f t="shared" ref="M139:M168" si="105">+ROUND($H139*L139,2)</f>
        <v>247.05</v>
      </c>
      <c r="N139" s="553">
        <f>+IF($L139-$J139&gt;=0,$L139-$J139,0)</f>
        <v>0</v>
      </c>
      <c r="O139" s="553">
        <f t="shared" ref="O139:O174" si="106">+ROUND($H139*N139,2)</f>
        <v>0</v>
      </c>
      <c r="P139" s="553"/>
      <c r="Q139" s="553">
        <f t="shared" ref="Q139:Q168" si="107">+ROUND($H139*P139,2)</f>
        <v>0</v>
      </c>
      <c r="R139" s="553">
        <f>+IF($L139-$J139&lt;=0,-$L139+$J139,0)</f>
        <v>2</v>
      </c>
      <c r="S139" s="553">
        <f t="shared" ref="S139:S174" si="108">+ROUND($H139*R139,2)</f>
        <v>494.1</v>
      </c>
      <c r="T139" s="553">
        <f>+R139</f>
        <v>2</v>
      </c>
      <c r="U139" s="553">
        <f t="shared" ref="U139:U174" si="109">+ROUND($H139*T139,2)</f>
        <v>494.1</v>
      </c>
      <c r="V139" s="553" t="s">
        <v>878</v>
      </c>
      <c r="Y139" s="1147">
        <v>0</v>
      </c>
      <c r="AA139" s="1146"/>
    </row>
    <row r="140" spans="2:27" ht="21" customHeight="1" x14ac:dyDescent="0.25">
      <c r="B140" s="554">
        <v>1.02</v>
      </c>
      <c r="C140" s="576">
        <f t="shared" si="90"/>
        <v>3</v>
      </c>
      <c r="D140" s="495" t="s">
        <v>603</v>
      </c>
      <c r="E140" s="496"/>
      <c r="F140" s="497"/>
      <c r="G140" s="530" t="s">
        <v>11</v>
      </c>
      <c r="H140" s="553">
        <v>270.58999999999997</v>
      </c>
      <c r="I140" s="553"/>
      <c r="J140" s="553">
        <v>11</v>
      </c>
      <c r="K140" s="553">
        <f t="shared" si="104"/>
        <v>2976.49</v>
      </c>
      <c r="L140" s="553">
        <f>+[192]Metrado!E135</f>
        <v>13</v>
      </c>
      <c r="M140" s="553">
        <f t="shared" si="105"/>
        <v>3517.67</v>
      </c>
      <c r="N140" s="553">
        <f t="shared" ref="N140:N168" si="110">+IF($L140-$J140&gt;=0,$L140-$J140,0)</f>
        <v>2</v>
      </c>
      <c r="O140" s="553">
        <f t="shared" si="106"/>
        <v>541.17999999999995</v>
      </c>
      <c r="P140" s="553"/>
      <c r="Q140" s="553">
        <f t="shared" si="107"/>
        <v>0</v>
      </c>
      <c r="R140" s="553">
        <f t="shared" ref="R140:R168" si="111">+IF($L140-$J140&lt;=0,-$L140+$J140,0)</f>
        <v>0</v>
      </c>
      <c r="S140" s="553">
        <f t="shared" si="108"/>
        <v>0</v>
      </c>
      <c r="T140" s="553"/>
      <c r="U140" s="553">
        <f t="shared" si="109"/>
        <v>0</v>
      </c>
      <c r="V140" s="553"/>
      <c r="Y140" s="1147">
        <v>0</v>
      </c>
      <c r="AA140" s="1146"/>
    </row>
    <row r="141" spans="2:27" ht="21" customHeight="1" x14ac:dyDescent="0.25">
      <c r="B141" s="554">
        <v>1.03</v>
      </c>
      <c r="C141" s="576">
        <f t="shared" si="90"/>
        <v>4</v>
      </c>
      <c r="D141" s="495" t="s">
        <v>601</v>
      </c>
      <c r="E141" s="496"/>
      <c r="F141" s="497"/>
      <c r="G141" s="530" t="s">
        <v>11</v>
      </c>
      <c r="H141" s="553">
        <v>301.45999999999998</v>
      </c>
      <c r="I141" s="553"/>
      <c r="J141" s="553">
        <v>10</v>
      </c>
      <c r="K141" s="553">
        <f t="shared" si="104"/>
        <v>3014.6</v>
      </c>
      <c r="L141" s="553">
        <f>+[192]Metrado!E136</f>
        <v>11</v>
      </c>
      <c r="M141" s="553">
        <f t="shared" si="105"/>
        <v>3316.06</v>
      </c>
      <c r="N141" s="553">
        <f t="shared" si="110"/>
        <v>1</v>
      </c>
      <c r="O141" s="553">
        <f t="shared" si="106"/>
        <v>301.45999999999998</v>
      </c>
      <c r="P141" s="553"/>
      <c r="Q141" s="553">
        <f t="shared" si="107"/>
        <v>0</v>
      </c>
      <c r="R141" s="553">
        <f t="shared" si="111"/>
        <v>0</v>
      </c>
      <c r="S141" s="553">
        <f t="shared" si="108"/>
        <v>0</v>
      </c>
      <c r="T141" s="553"/>
      <c r="U141" s="553">
        <f t="shared" si="109"/>
        <v>0</v>
      </c>
      <c r="V141" s="553"/>
      <c r="Y141" s="1147">
        <v>0</v>
      </c>
      <c r="AA141" s="1146"/>
    </row>
    <row r="142" spans="2:27" ht="21" customHeight="1" x14ac:dyDescent="0.25">
      <c r="B142" s="554">
        <v>1.04</v>
      </c>
      <c r="C142" s="576">
        <f t="shared" si="90"/>
        <v>5</v>
      </c>
      <c r="D142" s="495" t="s">
        <v>600</v>
      </c>
      <c r="E142" s="513"/>
      <c r="F142" s="499"/>
      <c r="G142" s="530" t="s">
        <v>11</v>
      </c>
      <c r="H142" s="553">
        <v>338.24</v>
      </c>
      <c r="I142" s="553"/>
      <c r="J142" s="553">
        <v>10</v>
      </c>
      <c r="K142" s="553">
        <f t="shared" si="104"/>
        <v>3382.4</v>
      </c>
      <c r="L142" s="553">
        <f>+[192]Metrado!E137</f>
        <v>14</v>
      </c>
      <c r="M142" s="553">
        <f t="shared" si="105"/>
        <v>4735.3599999999997</v>
      </c>
      <c r="N142" s="553">
        <f t="shared" si="110"/>
        <v>4</v>
      </c>
      <c r="O142" s="553">
        <f t="shared" si="106"/>
        <v>1352.96</v>
      </c>
      <c r="P142" s="557"/>
      <c r="Q142" s="553">
        <f t="shared" si="107"/>
        <v>0</v>
      </c>
      <c r="R142" s="553">
        <f t="shared" si="111"/>
        <v>0</v>
      </c>
      <c r="S142" s="553">
        <f t="shared" si="108"/>
        <v>0</v>
      </c>
      <c r="T142" s="557"/>
      <c r="U142" s="553">
        <f t="shared" si="109"/>
        <v>0</v>
      </c>
      <c r="V142" s="557"/>
      <c r="Y142" s="1147">
        <v>0</v>
      </c>
      <c r="AA142" s="1146"/>
    </row>
    <row r="143" spans="2:27" ht="21" customHeight="1" x14ac:dyDescent="0.25">
      <c r="B143" s="554">
        <v>1.05</v>
      </c>
      <c r="C143" s="584">
        <f>+C11+1</f>
        <v>1</v>
      </c>
      <c r="D143" s="495" t="s">
        <v>633</v>
      </c>
      <c r="E143" s="511"/>
      <c r="F143" s="512"/>
      <c r="G143" s="530" t="s">
        <v>11</v>
      </c>
      <c r="H143" s="553">
        <v>272.39</v>
      </c>
      <c r="I143" s="553"/>
      <c r="J143" s="553">
        <v>2</v>
      </c>
      <c r="K143" s="553">
        <f t="shared" si="104"/>
        <v>544.78</v>
      </c>
      <c r="L143" s="553">
        <f>+[192]Metrado!E138</f>
        <v>0</v>
      </c>
      <c r="M143" s="553">
        <f t="shared" si="105"/>
        <v>0</v>
      </c>
      <c r="N143" s="553">
        <f t="shared" si="110"/>
        <v>0</v>
      </c>
      <c r="O143" s="553">
        <f t="shared" si="106"/>
        <v>0</v>
      </c>
      <c r="P143" s="553"/>
      <c r="Q143" s="553">
        <f t="shared" si="107"/>
        <v>0</v>
      </c>
      <c r="R143" s="553">
        <f t="shared" si="111"/>
        <v>2</v>
      </c>
      <c r="S143" s="553">
        <f t="shared" si="108"/>
        <v>544.78</v>
      </c>
      <c r="T143" s="553">
        <f>+R143</f>
        <v>2</v>
      </c>
      <c r="U143" s="553">
        <f t="shared" si="109"/>
        <v>544.78</v>
      </c>
      <c r="V143" s="553" t="s">
        <v>878</v>
      </c>
      <c r="Y143" s="1147">
        <v>0</v>
      </c>
      <c r="AA143" s="1146"/>
    </row>
    <row r="144" spans="2:27" ht="21" customHeight="1" x14ac:dyDescent="0.25">
      <c r="B144" s="554">
        <v>1.06</v>
      </c>
      <c r="C144" s="584">
        <f t="shared" si="90"/>
        <v>2</v>
      </c>
      <c r="D144" s="495" t="s">
        <v>597</v>
      </c>
      <c r="E144" s="496"/>
      <c r="F144" s="497"/>
      <c r="G144" s="530" t="s">
        <v>11</v>
      </c>
      <c r="H144" s="553">
        <v>5.43</v>
      </c>
      <c r="I144" s="553"/>
      <c r="J144" s="553">
        <v>11</v>
      </c>
      <c r="K144" s="553">
        <f t="shared" si="104"/>
        <v>59.73</v>
      </c>
      <c r="L144" s="553">
        <f>+[192]Metrado!E139</f>
        <v>5</v>
      </c>
      <c r="M144" s="553">
        <f t="shared" si="105"/>
        <v>27.15</v>
      </c>
      <c r="N144" s="553">
        <f t="shared" si="110"/>
        <v>0</v>
      </c>
      <c r="O144" s="553">
        <f t="shared" si="106"/>
        <v>0</v>
      </c>
      <c r="P144" s="553"/>
      <c r="Q144" s="553">
        <f t="shared" si="107"/>
        <v>0</v>
      </c>
      <c r="R144" s="553">
        <f t="shared" si="111"/>
        <v>6</v>
      </c>
      <c r="S144" s="553">
        <f t="shared" si="108"/>
        <v>32.58</v>
      </c>
      <c r="T144" s="553">
        <f>+N145</f>
        <v>3</v>
      </c>
      <c r="U144" s="553">
        <f t="shared" si="109"/>
        <v>16.29</v>
      </c>
      <c r="V144" s="553" t="s">
        <v>879</v>
      </c>
      <c r="Y144" s="1147">
        <v>0</v>
      </c>
      <c r="AA144" s="1146"/>
    </row>
    <row r="145" spans="2:27" ht="21" customHeight="1" x14ac:dyDescent="0.25">
      <c r="B145" s="554">
        <v>1.07</v>
      </c>
      <c r="C145" s="584">
        <f t="shared" si="90"/>
        <v>3</v>
      </c>
      <c r="D145" s="495" t="s">
        <v>596</v>
      </c>
      <c r="E145" s="496"/>
      <c r="F145" s="497"/>
      <c r="G145" s="530" t="s">
        <v>11</v>
      </c>
      <c r="H145" s="553">
        <v>7.06</v>
      </c>
      <c r="I145" s="553"/>
      <c r="J145" s="553">
        <v>2</v>
      </c>
      <c r="K145" s="553">
        <f t="shared" si="104"/>
        <v>14.12</v>
      </c>
      <c r="L145" s="553">
        <f>+[192]Metrado!E140</f>
        <v>5</v>
      </c>
      <c r="M145" s="553">
        <f t="shared" si="105"/>
        <v>35.299999999999997</v>
      </c>
      <c r="N145" s="553">
        <f t="shared" si="110"/>
        <v>3</v>
      </c>
      <c r="O145" s="553">
        <f t="shared" si="106"/>
        <v>21.18</v>
      </c>
      <c r="P145" s="553"/>
      <c r="Q145" s="553">
        <f t="shared" si="107"/>
        <v>0</v>
      </c>
      <c r="R145" s="553">
        <f t="shared" si="111"/>
        <v>0</v>
      </c>
      <c r="S145" s="553">
        <f t="shared" si="108"/>
        <v>0</v>
      </c>
      <c r="T145" s="553"/>
      <c r="U145" s="553">
        <f t="shared" si="109"/>
        <v>0</v>
      </c>
      <c r="V145" s="553"/>
      <c r="Y145" s="1147">
        <v>0</v>
      </c>
      <c r="AA145" s="1146"/>
    </row>
    <row r="146" spans="2:27" ht="21" customHeight="1" x14ac:dyDescent="0.25">
      <c r="B146" s="554">
        <v>1.08</v>
      </c>
      <c r="C146" s="584">
        <f t="shared" si="90"/>
        <v>4</v>
      </c>
      <c r="D146" s="495" t="s">
        <v>593</v>
      </c>
      <c r="E146" s="496"/>
      <c r="F146" s="497"/>
      <c r="G146" s="530" t="s">
        <v>11</v>
      </c>
      <c r="H146" s="553">
        <v>10.62</v>
      </c>
      <c r="I146" s="553"/>
      <c r="J146" s="553">
        <v>14</v>
      </c>
      <c r="K146" s="553">
        <f t="shared" si="104"/>
        <v>148.68</v>
      </c>
      <c r="L146" s="553">
        <f>+[192]Metrado!E141</f>
        <v>21</v>
      </c>
      <c r="M146" s="553">
        <f t="shared" si="105"/>
        <v>223.02</v>
      </c>
      <c r="N146" s="553">
        <f t="shared" si="110"/>
        <v>7</v>
      </c>
      <c r="O146" s="553">
        <f t="shared" si="106"/>
        <v>74.34</v>
      </c>
      <c r="P146" s="553"/>
      <c r="Q146" s="553">
        <f t="shared" si="107"/>
        <v>0</v>
      </c>
      <c r="R146" s="553">
        <f t="shared" si="111"/>
        <v>0</v>
      </c>
      <c r="S146" s="553">
        <f t="shared" si="108"/>
        <v>0</v>
      </c>
      <c r="T146" s="553"/>
      <c r="U146" s="553">
        <f t="shared" si="109"/>
        <v>0</v>
      </c>
      <c r="V146" s="553"/>
      <c r="Y146" s="1147">
        <v>0</v>
      </c>
      <c r="AA146" s="1146"/>
    </row>
    <row r="147" spans="2:27" ht="21" customHeight="1" x14ac:dyDescent="0.25">
      <c r="B147" s="554">
        <v>1.0900000000000001</v>
      </c>
      <c r="C147" s="584">
        <f t="shared" si="90"/>
        <v>5</v>
      </c>
      <c r="D147" s="495" t="s">
        <v>592</v>
      </c>
      <c r="E147" s="513"/>
      <c r="F147" s="499"/>
      <c r="G147" s="530" t="s">
        <v>11</v>
      </c>
      <c r="H147" s="553">
        <v>13.11</v>
      </c>
      <c r="I147" s="553"/>
      <c r="J147" s="553">
        <v>2</v>
      </c>
      <c r="K147" s="553">
        <f t="shared" si="104"/>
        <v>26.22</v>
      </c>
      <c r="L147" s="553">
        <f>+[192]Metrado!E142</f>
        <v>4</v>
      </c>
      <c r="M147" s="553">
        <f t="shared" si="105"/>
        <v>52.44</v>
      </c>
      <c r="N147" s="553">
        <f t="shared" si="110"/>
        <v>2</v>
      </c>
      <c r="O147" s="553">
        <f t="shared" si="106"/>
        <v>26.22</v>
      </c>
      <c r="P147" s="553"/>
      <c r="Q147" s="553">
        <f t="shared" si="107"/>
        <v>0</v>
      </c>
      <c r="R147" s="553">
        <f t="shared" si="111"/>
        <v>0</v>
      </c>
      <c r="S147" s="553">
        <f t="shared" si="108"/>
        <v>0</v>
      </c>
      <c r="T147" s="553"/>
      <c r="U147" s="553">
        <f t="shared" si="109"/>
        <v>0</v>
      </c>
      <c r="V147" s="553"/>
      <c r="Y147" s="1147">
        <v>0</v>
      </c>
      <c r="AA147" s="1146"/>
    </row>
    <row r="148" spans="2:27" ht="21" customHeight="1" x14ac:dyDescent="0.25">
      <c r="B148" s="554">
        <v>1.1000000000000001</v>
      </c>
      <c r="C148" s="584">
        <f>+C16+1</f>
        <v>1</v>
      </c>
      <c r="D148" s="495" t="s">
        <v>591</v>
      </c>
      <c r="E148" s="511"/>
      <c r="F148" s="512"/>
      <c r="G148" s="530" t="s">
        <v>11</v>
      </c>
      <c r="H148" s="553">
        <v>13.1</v>
      </c>
      <c r="I148" s="553"/>
      <c r="J148" s="553">
        <v>40</v>
      </c>
      <c r="K148" s="553">
        <f t="shared" si="104"/>
        <v>524</v>
      </c>
      <c r="L148" s="553">
        <f>+[192]Metrado!E143</f>
        <v>50</v>
      </c>
      <c r="M148" s="553">
        <f t="shared" si="105"/>
        <v>655</v>
      </c>
      <c r="N148" s="553">
        <f t="shared" si="110"/>
        <v>10</v>
      </c>
      <c r="O148" s="553">
        <f t="shared" si="106"/>
        <v>131</v>
      </c>
      <c r="P148" s="553"/>
      <c r="Q148" s="553">
        <f t="shared" si="107"/>
        <v>0</v>
      </c>
      <c r="R148" s="553">
        <f t="shared" si="111"/>
        <v>0</v>
      </c>
      <c r="S148" s="553">
        <f t="shared" si="108"/>
        <v>0</v>
      </c>
      <c r="T148" s="553"/>
      <c r="U148" s="553">
        <f t="shared" si="109"/>
        <v>0</v>
      </c>
      <c r="V148" s="553"/>
      <c r="Y148" s="1147">
        <v>0</v>
      </c>
      <c r="AA148" s="1146"/>
    </row>
    <row r="149" spans="2:27" ht="21" customHeight="1" x14ac:dyDescent="0.25">
      <c r="B149" s="554">
        <v>1.1100000000000001</v>
      </c>
      <c r="C149" s="584">
        <f t="shared" si="90"/>
        <v>2</v>
      </c>
      <c r="D149" s="495" t="s">
        <v>590</v>
      </c>
      <c r="E149" s="496"/>
      <c r="F149" s="497"/>
      <c r="G149" s="530" t="s">
        <v>11</v>
      </c>
      <c r="H149" s="553">
        <v>5.43</v>
      </c>
      <c r="I149" s="553"/>
      <c r="J149" s="553">
        <v>25</v>
      </c>
      <c r="K149" s="553">
        <f t="shared" si="104"/>
        <v>135.75</v>
      </c>
      <c r="L149" s="553">
        <f>+[192]Metrado!E144</f>
        <v>22</v>
      </c>
      <c r="M149" s="553">
        <f t="shared" si="105"/>
        <v>119.46</v>
      </c>
      <c r="N149" s="553">
        <f t="shared" si="110"/>
        <v>0</v>
      </c>
      <c r="O149" s="553">
        <f t="shared" si="106"/>
        <v>0</v>
      </c>
      <c r="P149" s="553"/>
      <c r="Q149" s="553">
        <f t="shared" si="107"/>
        <v>0</v>
      </c>
      <c r="R149" s="553">
        <f t="shared" si="111"/>
        <v>3</v>
      </c>
      <c r="S149" s="553">
        <f t="shared" si="108"/>
        <v>16.29</v>
      </c>
      <c r="T149" s="553">
        <f>+R149</f>
        <v>3</v>
      </c>
      <c r="U149" s="553">
        <f t="shared" si="109"/>
        <v>16.29</v>
      </c>
      <c r="V149" s="553" t="s">
        <v>880</v>
      </c>
      <c r="Y149" s="1147">
        <v>0</v>
      </c>
      <c r="AA149" s="1146"/>
    </row>
    <row r="150" spans="2:27" ht="21" customHeight="1" x14ac:dyDescent="0.25">
      <c r="B150" s="554">
        <v>1.1200000000000001</v>
      </c>
      <c r="C150" s="584">
        <f t="shared" si="90"/>
        <v>3</v>
      </c>
      <c r="D150" s="495" t="s">
        <v>588</v>
      </c>
      <c r="E150" s="496"/>
      <c r="F150" s="497"/>
      <c r="G150" s="530" t="s">
        <v>12</v>
      </c>
      <c r="H150" s="553">
        <v>64.56</v>
      </c>
      <c r="I150" s="553"/>
      <c r="J150" s="553">
        <v>3.46</v>
      </c>
      <c r="K150" s="553">
        <f t="shared" si="104"/>
        <v>223.38</v>
      </c>
      <c r="L150" s="553">
        <f>+[192]Metrado!E145</f>
        <v>3.8289824999999995</v>
      </c>
      <c r="M150" s="553">
        <f t="shared" si="105"/>
        <v>247.2</v>
      </c>
      <c r="N150" s="553">
        <f t="shared" si="110"/>
        <v>0.36898249999999955</v>
      </c>
      <c r="O150" s="553">
        <f t="shared" si="106"/>
        <v>23.82</v>
      </c>
      <c r="P150" s="553"/>
      <c r="Q150" s="553">
        <f t="shared" si="107"/>
        <v>0</v>
      </c>
      <c r="R150" s="553">
        <f t="shared" si="111"/>
        <v>0</v>
      </c>
      <c r="S150" s="553">
        <f t="shared" si="108"/>
        <v>0</v>
      </c>
      <c r="T150" s="553"/>
      <c r="U150" s="553">
        <f t="shared" si="109"/>
        <v>0</v>
      </c>
      <c r="V150" s="553"/>
      <c r="Y150" s="1147">
        <v>0</v>
      </c>
      <c r="AA150" s="1146"/>
    </row>
    <row r="151" spans="2:27" ht="21" customHeight="1" x14ac:dyDescent="0.25">
      <c r="B151" s="554">
        <v>1.1300000000000001</v>
      </c>
      <c r="C151" s="584">
        <f t="shared" si="90"/>
        <v>4</v>
      </c>
      <c r="D151" s="495" t="s">
        <v>587</v>
      </c>
      <c r="E151" s="496"/>
      <c r="F151" s="497"/>
      <c r="G151" s="530" t="s">
        <v>12</v>
      </c>
      <c r="H151" s="553">
        <v>70.48</v>
      </c>
      <c r="I151" s="553"/>
      <c r="J151" s="553">
        <v>0.05</v>
      </c>
      <c r="K151" s="553">
        <f t="shared" si="104"/>
        <v>3.52</v>
      </c>
      <c r="L151" s="553">
        <f>+[192]Metrado!E146</f>
        <v>0.16019729999999996</v>
      </c>
      <c r="M151" s="553">
        <f t="shared" si="105"/>
        <v>11.29</v>
      </c>
      <c r="N151" s="553">
        <f t="shared" si="110"/>
        <v>0.11019729999999996</v>
      </c>
      <c r="O151" s="553">
        <f t="shared" si="106"/>
        <v>7.77</v>
      </c>
      <c r="P151" s="553"/>
      <c r="Q151" s="553">
        <f t="shared" si="107"/>
        <v>0</v>
      </c>
      <c r="R151" s="553">
        <f t="shared" si="111"/>
        <v>0</v>
      </c>
      <c r="S151" s="553">
        <f t="shared" si="108"/>
        <v>0</v>
      </c>
      <c r="T151" s="553"/>
      <c r="U151" s="553">
        <f t="shared" si="109"/>
        <v>0</v>
      </c>
      <c r="V151" s="553"/>
      <c r="Y151" s="1147">
        <v>0</v>
      </c>
      <c r="AA151" s="1146"/>
    </row>
    <row r="152" spans="2:27" ht="21" customHeight="1" x14ac:dyDescent="0.25">
      <c r="B152" s="554">
        <v>1.1400000000000001</v>
      </c>
      <c r="C152" s="584">
        <f t="shared" si="90"/>
        <v>5</v>
      </c>
      <c r="D152" s="495" t="s">
        <v>584</v>
      </c>
      <c r="E152" s="513"/>
      <c r="F152" s="499"/>
      <c r="G152" s="530" t="s">
        <v>11</v>
      </c>
      <c r="H152" s="553">
        <v>26.2</v>
      </c>
      <c r="I152" s="553"/>
      <c r="J152" s="553">
        <v>21</v>
      </c>
      <c r="K152" s="553">
        <f t="shared" si="104"/>
        <v>550.20000000000005</v>
      </c>
      <c r="L152" s="553">
        <f>+[192]Metrado!E147</f>
        <v>17</v>
      </c>
      <c r="M152" s="553">
        <f t="shared" si="105"/>
        <v>445.4</v>
      </c>
      <c r="N152" s="553">
        <f t="shared" si="110"/>
        <v>0</v>
      </c>
      <c r="O152" s="553">
        <f t="shared" si="106"/>
        <v>0</v>
      </c>
      <c r="P152" s="553"/>
      <c r="Q152" s="553">
        <f t="shared" si="107"/>
        <v>0</v>
      </c>
      <c r="R152" s="553">
        <f t="shared" si="111"/>
        <v>4</v>
      </c>
      <c r="S152" s="553">
        <f t="shared" si="108"/>
        <v>104.8</v>
      </c>
      <c r="T152" s="553">
        <f>+N153</f>
        <v>3</v>
      </c>
      <c r="U152" s="553">
        <f t="shared" si="109"/>
        <v>78.599999999999994</v>
      </c>
      <c r="V152" s="553" t="s">
        <v>881</v>
      </c>
      <c r="Y152" s="1147">
        <v>0</v>
      </c>
      <c r="AA152" s="1146"/>
    </row>
    <row r="153" spans="2:27" ht="21" customHeight="1" x14ac:dyDescent="0.25">
      <c r="B153" s="554">
        <v>1.1500000000000001</v>
      </c>
      <c r="C153" s="584">
        <f>+C16+1</f>
        <v>1</v>
      </c>
      <c r="D153" s="495" t="s">
        <v>583</v>
      </c>
      <c r="E153" s="511"/>
      <c r="F153" s="512"/>
      <c r="G153" s="530" t="s">
        <v>11</v>
      </c>
      <c r="H153" s="553">
        <v>28.35</v>
      </c>
      <c r="I153" s="553"/>
      <c r="J153" s="553">
        <v>2</v>
      </c>
      <c r="K153" s="553">
        <f t="shared" si="104"/>
        <v>56.7</v>
      </c>
      <c r="L153" s="553">
        <f>+[192]Metrado!E148</f>
        <v>5</v>
      </c>
      <c r="M153" s="553">
        <f t="shared" si="105"/>
        <v>141.75</v>
      </c>
      <c r="N153" s="553">
        <f t="shared" si="110"/>
        <v>3</v>
      </c>
      <c r="O153" s="553">
        <f t="shared" si="106"/>
        <v>85.05</v>
      </c>
      <c r="P153" s="553"/>
      <c r="Q153" s="553">
        <f t="shared" si="107"/>
        <v>0</v>
      </c>
      <c r="R153" s="553">
        <f t="shared" si="111"/>
        <v>0</v>
      </c>
      <c r="S153" s="553">
        <f t="shared" si="108"/>
        <v>0</v>
      </c>
      <c r="T153" s="553"/>
      <c r="U153" s="553">
        <f t="shared" si="109"/>
        <v>0</v>
      </c>
      <c r="V153" s="553"/>
      <c r="Y153" s="1147">
        <v>0</v>
      </c>
      <c r="AA153" s="1146"/>
    </row>
    <row r="154" spans="2:27" ht="21" customHeight="1" x14ac:dyDescent="0.25">
      <c r="B154" s="554">
        <v>1.1600000000000001</v>
      </c>
      <c r="C154" s="584">
        <f t="shared" si="90"/>
        <v>2</v>
      </c>
      <c r="D154" s="495" t="s">
        <v>582</v>
      </c>
      <c r="E154" s="496"/>
      <c r="F154" s="497"/>
      <c r="G154" s="530" t="s">
        <v>11</v>
      </c>
      <c r="H154" s="553">
        <v>10.27</v>
      </c>
      <c r="I154" s="553"/>
      <c r="J154" s="553">
        <v>21</v>
      </c>
      <c r="K154" s="553">
        <f t="shared" si="104"/>
        <v>215.67</v>
      </c>
      <c r="L154" s="553">
        <f>+[192]Metrado!E149</f>
        <v>17</v>
      </c>
      <c r="M154" s="553">
        <f t="shared" si="105"/>
        <v>174.59</v>
      </c>
      <c r="N154" s="553">
        <f t="shared" si="110"/>
        <v>0</v>
      </c>
      <c r="O154" s="553">
        <f t="shared" si="106"/>
        <v>0</v>
      </c>
      <c r="P154" s="553"/>
      <c r="Q154" s="553">
        <f t="shared" si="107"/>
        <v>0</v>
      </c>
      <c r="R154" s="553">
        <f t="shared" si="111"/>
        <v>4</v>
      </c>
      <c r="S154" s="553">
        <f t="shared" si="108"/>
        <v>41.08</v>
      </c>
      <c r="T154" s="553">
        <f>+N155+10</f>
        <v>13</v>
      </c>
      <c r="U154" s="553">
        <f t="shared" si="109"/>
        <v>133.51</v>
      </c>
      <c r="V154" s="765" t="s">
        <v>882</v>
      </c>
      <c r="Y154" s="1147">
        <v>0</v>
      </c>
      <c r="AA154" s="1146"/>
    </row>
    <row r="155" spans="2:27" ht="21" customHeight="1" x14ac:dyDescent="0.25">
      <c r="B155" s="554">
        <v>1.1700000000000002</v>
      </c>
      <c r="C155" s="584">
        <f t="shared" si="90"/>
        <v>3</v>
      </c>
      <c r="D155" s="495" t="s">
        <v>581</v>
      </c>
      <c r="E155" s="496"/>
      <c r="F155" s="497"/>
      <c r="G155" s="530" t="s">
        <v>11</v>
      </c>
      <c r="H155" s="553">
        <v>13.53</v>
      </c>
      <c r="I155" s="553"/>
      <c r="J155" s="553">
        <v>2</v>
      </c>
      <c r="K155" s="553">
        <f t="shared" si="104"/>
        <v>27.06</v>
      </c>
      <c r="L155" s="553">
        <f>+[192]Metrado!E150</f>
        <v>5</v>
      </c>
      <c r="M155" s="553">
        <f t="shared" si="105"/>
        <v>67.650000000000006</v>
      </c>
      <c r="N155" s="553">
        <f t="shared" si="110"/>
        <v>3</v>
      </c>
      <c r="O155" s="553">
        <f t="shared" si="106"/>
        <v>40.590000000000003</v>
      </c>
      <c r="P155" s="553"/>
      <c r="Q155" s="553">
        <f t="shared" si="107"/>
        <v>0</v>
      </c>
      <c r="R155" s="553">
        <f t="shared" si="111"/>
        <v>0</v>
      </c>
      <c r="S155" s="553">
        <f t="shared" si="108"/>
        <v>0</v>
      </c>
      <c r="T155" s="553"/>
      <c r="U155" s="553">
        <f t="shared" si="109"/>
        <v>0</v>
      </c>
      <c r="V155" s="553"/>
      <c r="Y155" s="1147">
        <v>0</v>
      </c>
      <c r="AA155" s="1146"/>
    </row>
    <row r="156" spans="2:27" ht="21" customHeight="1" x14ac:dyDescent="0.25">
      <c r="B156" s="554">
        <v>1.1800000000000002</v>
      </c>
      <c r="C156" s="584">
        <f t="shared" si="90"/>
        <v>4</v>
      </c>
      <c r="D156" s="495" t="s">
        <v>361</v>
      </c>
      <c r="E156" s="496"/>
      <c r="F156" s="497"/>
      <c r="G156" s="530" t="s">
        <v>11</v>
      </c>
      <c r="H156" s="553">
        <v>62.87</v>
      </c>
      <c r="I156" s="553"/>
      <c r="J156" s="553">
        <v>9</v>
      </c>
      <c r="K156" s="553">
        <f t="shared" si="104"/>
        <v>565.83000000000004</v>
      </c>
      <c r="L156" s="553">
        <f>+[192]Metrado!E151</f>
        <v>14</v>
      </c>
      <c r="M156" s="553">
        <f t="shared" si="105"/>
        <v>880.18</v>
      </c>
      <c r="N156" s="553">
        <f t="shared" si="110"/>
        <v>5</v>
      </c>
      <c r="O156" s="553">
        <f t="shared" si="106"/>
        <v>314.35000000000002</v>
      </c>
      <c r="P156" s="553"/>
      <c r="Q156" s="553">
        <f t="shared" si="107"/>
        <v>0</v>
      </c>
      <c r="R156" s="553">
        <f t="shared" si="111"/>
        <v>0</v>
      </c>
      <c r="S156" s="553">
        <f t="shared" si="108"/>
        <v>0</v>
      </c>
      <c r="T156" s="553"/>
      <c r="U156" s="553">
        <f t="shared" si="109"/>
        <v>0</v>
      </c>
      <c r="V156" s="553"/>
      <c r="Y156" s="1147">
        <v>0</v>
      </c>
      <c r="AA156" s="1146"/>
    </row>
    <row r="157" spans="2:27" ht="21" customHeight="1" x14ac:dyDescent="0.25">
      <c r="B157" s="554">
        <v>1.1900000000000002</v>
      </c>
      <c r="C157" s="584">
        <f t="shared" si="90"/>
        <v>5</v>
      </c>
      <c r="D157" s="495" t="s">
        <v>580</v>
      </c>
      <c r="E157" s="513"/>
      <c r="F157" s="499"/>
      <c r="G157" s="530" t="s">
        <v>11</v>
      </c>
      <c r="H157" s="553">
        <v>41.81</v>
      </c>
      <c r="I157" s="553"/>
      <c r="J157" s="553">
        <v>43</v>
      </c>
      <c r="K157" s="553">
        <f t="shared" si="104"/>
        <v>1797.83</v>
      </c>
      <c r="L157" s="553">
        <f>+[192]Metrado!E152</f>
        <v>30</v>
      </c>
      <c r="M157" s="553">
        <f t="shared" si="105"/>
        <v>1254.3</v>
      </c>
      <c r="N157" s="553">
        <f t="shared" si="110"/>
        <v>0</v>
      </c>
      <c r="O157" s="553">
        <f t="shared" si="106"/>
        <v>0</v>
      </c>
      <c r="P157" s="553"/>
      <c r="Q157" s="553">
        <f t="shared" si="107"/>
        <v>0</v>
      </c>
      <c r="R157" s="553">
        <f t="shared" si="111"/>
        <v>13</v>
      </c>
      <c r="S157" s="553">
        <f t="shared" si="108"/>
        <v>543.53</v>
      </c>
      <c r="T157" s="553">
        <f>+N158</f>
        <v>9</v>
      </c>
      <c r="U157" s="553">
        <f t="shared" si="109"/>
        <v>376.29</v>
      </c>
      <c r="V157" s="553" t="s">
        <v>883</v>
      </c>
      <c r="Y157" s="1147">
        <v>0</v>
      </c>
      <c r="AA157" s="1146"/>
    </row>
    <row r="158" spans="2:27" ht="21" customHeight="1" x14ac:dyDescent="0.25">
      <c r="B158" s="554">
        <v>1.2000000000000002</v>
      </c>
      <c r="C158" s="584">
        <f>+C142+1</f>
        <v>6</v>
      </c>
      <c r="D158" s="495" t="s">
        <v>579</v>
      </c>
      <c r="E158" s="511"/>
      <c r="F158" s="512"/>
      <c r="G158" s="530" t="s">
        <v>11</v>
      </c>
      <c r="H158" s="553">
        <v>54.11</v>
      </c>
      <c r="I158" s="553"/>
      <c r="J158" s="553">
        <v>6</v>
      </c>
      <c r="K158" s="553">
        <f t="shared" si="104"/>
        <v>324.66000000000003</v>
      </c>
      <c r="L158" s="553">
        <f>+[192]Metrado!E153</f>
        <v>15</v>
      </c>
      <c r="M158" s="553">
        <f t="shared" si="105"/>
        <v>811.65</v>
      </c>
      <c r="N158" s="553">
        <f t="shared" si="110"/>
        <v>9</v>
      </c>
      <c r="O158" s="553">
        <f t="shared" si="106"/>
        <v>486.99</v>
      </c>
      <c r="P158" s="553"/>
      <c r="Q158" s="553">
        <f t="shared" si="107"/>
        <v>0</v>
      </c>
      <c r="R158" s="553">
        <f t="shared" si="111"/>
        <v>0</v>
      </c>
      <c r="S158" s="553">
        <f t="shared" si="108"/>
        <v>0</v>
      </c>
      <c r="T158" s="553"/>
      <c r="U158" s="553">
        <f t="shared" si="109"/>
        <v>0</v>
      </c>
      <c r="V158" s="553"/>
      <c r="Y158" s="1147">
        <v>0</v>
      </c>
      <c r="AA158" s="1146"/>
    </row>
    <row r="159" spans="2:27" ht="21" customHeight="1" x14ac:dyDescent="0.25">
      <c r="B159" s="554">
        <v>1.2100000000000002</v>
      </c>
      <c r="C159" s="584">
        <f t="shared" si="90"/>
        <v>7</v>
      </c>
      <c r="D159" s="495" t="s">
        <v>634</v>
      </c>
      <c r="E159" s="496"/>
      <c r="F159" s="497"/>
      <c r="G159" s="530" t="s">
        <v>12</v>
      </c>
      <c r="H159" s="553">
        <v>70.349999999999994</v>
      </c>
      <c r="I159" s="553"/>
      <c r="J159" s="553">
        <v>0.67999999999999994</v>
      </c>
      <c r="K159" s="553">
        <f t="shared" si="104"/>
        <v>47.84</v>
      </c>
      <c r="L159" s="553">
        <f>+[192]Metrado!E154</f>
        <v>0.32</v>
      </c>
      <c r="M159" s="553">
        <f t="shared" si="105"/>
        <v>22.51</v>
      </c>
      <c r="N159" s="553">
        <f t="shared" si="110"/>
        <v>0</v>
      </c>
      <c r="O159" s="553">
        <f t="shared" si="106"/>
        <v>0</v>
      </c>
      <c r="P159" s="553"/>
      <c r="Q159" s="553">
        <f t="shared" si="107"/>
        <v>0</v>
      </c>
      <c r="R159" s="553">
        <f t="shared" si="111"/>
        <v>0.35999999999999993</v>
      </c>
      <c r="S159" s="553">
        <f t="shared" si="108"/>
        <v>25.33</v>
      </c>
      <c r="T159" s="553"/>
      <c r="U159" s="553">
        <f t="shared" si="109"/>
        <v>0</v>
      </c>
      <c r="V159" s="553"/>
      <c r="Y159" s="1147">
        <v>0</v>
      </c>
      <c r="AA159" s="1146"/>
    </row>
    <row r="160" spans="2:27" ht="21" customHeight="1" x14ac:dyDescent="0.25">
      <c r="B160" s="554">
        <v>1.2200000000000002</v>
      </c>
      <c r="C160" s="584">
        <f t="shared" si="90"/>
        <v>8</v>
      </c>
      <c r="D160" s="495" t="s">
        <v>635</v>
      </c>
      <c r="E160" s="496"/>
      <c r="F160" s="497"/>
      <c r="G160" s="530" t="s">
        <v>12</v>
      </c>
      <c r="H160" s="553">
        <v>91.14</v>
      </c>
      <c r="I160" s="553"/>
      <c r="J160" s="553">
        <v>0.04</v>
      </c>
      <c r="K160" s="553">
        <f t="shared" si="104"/>
        <v>3.65</v>
      </c>
      <c r="L160" s="553">
        <f>+[192]Metrado!E155</f>
        <v>0.12</v>
      </c>
      <c r="M160" s="553">
        <f t="shared" si="105"/>
        <v>10.94</v>
      </c>
      <c r="N160" s="553">
        <f t="shared" si="110"/>
        <v>7.9999999999999988E-2</v>
      </c>
      <c r="O160" s="553">
        <f t="shared" si="106"/>
        <v>7.29</v>
      </c>
      <c r="P160" s="553"/>
      <c r="Q160" s="553">
        <f t="shared" si="107"/>
        <v>0</v>
      </c>
      <c r="R160" s="553">
        <f t="shared" si="111"/>
        <v>0</v>
      </c>
      <c r="S160" s="553">
        <f t="shared" si="108"/>
        <v>0</v>
      </c>
      <c r="T160" s="553"/>
      <c r="U160" s="553">
        <f t="shared" si="109"/>
        <v>0</v>
      </c>
      <c r="V160" s="553"/>
      <c r="Y160" s="1147">
        <v>0</v>
      </c>
      <c r="AA160" s="1146"/>
    </row>
    <row r="161" spans="2:27" ht="21" customHeight="1" x14ac:dyDescent="0.25">
      <c r="B161" s="554">
        <v>1.2300000000000002</v>
      </c>
      <c r="C161" s="584">
        <f t="shared" si="90"/>
        <v>9</v>
      </c>
      <c r="D161" s="495" t="s">
        <v>363</v>
      </c>
      <c r="E161" s="496"/>
      <c r="F161" s="497"/>
      <c r="G161" s="530" t="s">
        <v>29</v>
      </c>
      <c r="H161" s="553">
        <v>1571.83</v>
      </c>
      <c r="I161" s="553"/>
      <c r="J161" s="553">
        <v>1</v>
      </c>
      <c r="K161" s="553">
        <f t="shared" si="104"/>
        <v>1571.83</v>
      </c>
      <c r="L161" s="553">
        <f>+[192]Metrado!E156</f>
        <v>1</v>
      </c>
      <c r="M161" s="553">
        <f t="shared" si="105"/>
        <v>1571.83</v>
      </c>
      <c r="N161" s="553">
        <f t="shared" si="110"/>
        <v>0</v>
      </c>
      <c r="O161" s="553">
        <f t="shared" si="106"/>
        <v>0</v>
      </c>
      <c r="P161" s="553"/>
      <c r="Q161" s="553">
        <f t="shared" si="107"/>
        <v>0</v>
      </c>
      <c r="R161" s="553">
        <f t="shared" si="111"/>
        <v>0</v>
      </c>
      <c r="S161" s="553">
        <f t="shared" si="108"/>
        <v>0</v>
      </c>
      <c r="T161" s="553"/>
      <c r="U161" s="553">
        <f t="shared" si="109"/>
        <v>0</v>
      </c>
      <c r="V161" s="553"/>
      <c r="Y161" s="1147">
        <v>0</v>
      </c>
      <c r="AA161" s="1146"/>
    </row>
    <row r="162" spans="2:27" ht="21" customHeight="1" x14ac:dyDescent="0.25">
      <c r="B162" s="554">
        <v>1.2400000000000002</v>
      </c>
      <c r="C162" s="584">
        <f t="shared" si="90"/>
        <v>10</v>
      </c>
      <c r="D162" s="495" t="s">
        <v>364</v>
      </c>
      <c r="E162" s="513"/>
      <c r="F162" s="499"/>
      <c r="G162" s="530" t="s">
        <v>29</v>
      </c>
      <c r="H162" s="553">
        <v>2275.69</v>
      </c>
      <c r="I162" s="553"/>
      <c r="J162" s="553">
        <v>1</v>
      </c>
      <c r="K162" s="553">
        <f t="shared" si="104"/>
        <v>2275.69</v>
      </c>
      <c r="L162" s="553">
        <f>+[192]Metrado!E157</f>
        <v>1</v>
      </c>
      <c r="M162" s="553">
        <f t="shared" si="105"/>
        <v>2275.69</v>
      </c>
      <c r="N162" s="553">
        <f t="shared" si="110"/>
        <v>0</v>
      </c>
      <c r="O162" s="553">
        <f t="shared" si="106"/>
        <v>0</v>
      </c>
      <c r="P162" s="553"/>
      <c r="Q162" s="553">
        <f t="shared" si="107"/>
        <v>0</v>
      </c>
      <c r="R162" s="553">
        <f t="shared" si="111"/>
        <v>0</v>
      </c>
      <c r="S162" s="553">
        <f t="shared" si="108"/>
        <v>0</v>
      </c>
      <c r="T162" s="553"/>
      <c r="U162" s="553">
        <f t="shared" si="109"/>
        <v>0</v>
      </c>
      <c r="V162" s="553"/>
      <c r="Y162" s="1147">
        <v>0</v>
      </c>
      <c r="AA162" s="1146"/>
    </row>
    <row r="163" spans="2:27" ht="21" customHeight="1" x14ac:dyDescent="0.25">
      <c r="B163" s="554">
        <v>1.2500000000000002</v>
      </c>
      <c r="C163" s="584">
        <f t="shared" si="90"/>
        <v>11</v>
      </c>
      <c r="D163" s="495" t="s">
        <v>636</v>
      </c>
      <c r="E163" s="511"/>
      <c r="F163" s="512"/>
      <c r="G163" s="530" t="s">
        <v>11</v>
      </c>
      <c r="H163" s="553">
        <v>104.79</v>
      </c>
      <c r="I163" s="553"/>
      <c r="J163" s="553">
        <v>11</v>
      </c>
      <c r="K163" s="553">
        <f t="shared" si="104"/>
        <v>1152.69</v>
      </c>
      <c r="L163" s="553">
        <f>+[192]Metrado!E158</f>
        <v>3</v>
      </c>
      <c r="M163" s="553">
        <f t="shared" si="105"/>
        <v>314.37</v>
      </c>
      <c r="N163" s="553">
        <f t="shared" si="110"/>
        <v>0</v>
      </c>
      <c r="O163" s="553">
        <f t="shared" si="106"/>
        <v>0</v>
      </c>
      <c r="P163" s="553"/>
      <c r="Q163" s="553">
        <f t="shared" si="107"/>
        <v>0</v>
      </c>
      <c r="R163" s="553">
        <f t="shared" si="111"/>
        <v>8</v>
      </c>
      <c r="S163" s="553">
        <f t="shared" si="108"/>
        <v>838.32</v>
      </c>
      <c r="T163" s="553">
        <f>+N164</f>
        <v>3</v>
      </c>
      <c r="U163" s="553">
        <f t="shared" si="109"/>
        <v>314.37</v>
      </c>
      <c r="V163" s="553" t="s">
        <v>884</v>
      </c>
      <c r="Y163" s="1147">
        <v>0</v>
      </c>
      <c r="AA163" s="1146"/>
    </row>
    <row r="164" spans="2:27" ht="21" customHeight="1" x14ac:dyDescent="0.25">
      <c r="B164" s="554">
        <v>1.2600000000000002</v>
      </c>
      <c r="C164" s="584">
        <f t="shared" si="90"/>
        <v>12</v>
      </c>
      <c r="D164" s="495" t="s">
        <v>637</v>
      </c>
      <c r="E164" s="496"/>
      <c r="F164" s="497"/>
      <c r="G164" s="530" t="s">
        <v>11</v>
      </c>
      <c r="H164" s="553">
        <v>136.87</v>
      </c>
      <c r="I164" s="553"/>
      <c r="J164" s="553">
        <v>2</v>
      </c>
      <c r="K164" s="553">
        <f t="shared" si="104"/>
        <v>273.74</v>
      </c>
      <c r="L164" s="553">
        <f>+[192]Metrado!E159</f>
        <v>5</v>
      </c>
      <c r="M164" s="553">
        <f t="shared" si="105"/>
        <v>684.35</v>
      </c>
      <c r="N164" s="553">
        <f t="shared" si="110"/>
        <v>3</v>
      </c>
      <c r="O164" s="553">
        <f t="shared" si="106"/>
        <v>410.61</v>
      </c>
      <c r="P164" s="553"/>
      <c r="Q164" s="553">
        <f t="shared" si="107"/>
        <v>0</v>
      </c>
      <c r="R164" s="553">
        <f t="shared" si="111"/>
        <v>0</v>
      </c>
      <c r="S164" s="553">
        <f t="shared" si="108"/>
        <v>0</v>
      </c>
      <c r="T164" s="553"/>
      <c r="U164" s="553">
        <f t="shared" si="109"/>
        <v>0</v>
      </c>
      <c r="V164" s="553"/>
      <c r="Y164" s="1147">
        <v>0</v>
      </c>
      <c r="AA164" s="1146"/>
    </row>
    <row r="165" spans="2:27" ht="21" customHeight="1" x14ac:dyDescent="0.25">
      <c r="B165" s="554">
        <v>1.2700000000000002</v>
      </c>
      <c r="C165" s="584">
        <f t="shared" si="90"/>
        <v>13</v>
      </c>
      <c r="D165" s="495" t="s">
        <v>638</v>
      </c>
      <c r="E165" s="496"/>
      <c r="F165" s="497"/>
      <c r="G165" s="530" t="s">
        <v>11</v>
      </c>
      <c r="H165" s="553">
        <v>120.59</v>
      </c>
      <c r="I165" s="553"/>
      <c r="J165" s="553">
        <v>3</v>
      </c>
      <c r="K165" s="553">
        <f t="shared" si="104"/>
        <v>361.77</v>
      </c>
      <c r="L165" s="553">
        <f>+[192]Metrado!E160</f>
        <v>3</v>
      </c>
      <c r="M165" s="553">
        <f t="shared" si="105"/>
        <v>361.77</v>
      </c>
      <c r="N165" s="553">
        <f t="shared" si="110"/>
        <v>0</v>
      </c>
      <c r="O165" s="553">
        <f t="shared" si="106"/>
        <v>0</v>
      </c>
      <c r="P165" s="553"/>
      <c r="Q165" s="553">
        <f t="shared" si="107"/>
        <v>0</v>
      </c>
      <c r="R165" s="553">
        <f t="shared" si="111"/>
        <v>0</v>
      </c>
      <c r="S165" s="553">
        <f t="shared" si="108"/>
        <v>0</v>
      </c>
      <c r="T165" s="553"/>
      <c r="U165" s="553">
        <f t="shared" si="109"/>
        <v>0</v>
      </c>
      <c r="V165" s="553"/>
      <c r="Y165" s="1147">
        <v>0</v>
      </c>
      <c r="AA165" s="1146"/>
    </row>
    <row r="166" spans="2:27" ht="21" customHeight="1" x14ac:dyDescent="0.25">
      <c r="B166" s="554">
        <v>1.2800000000000002</v>
      </c>
      <c r="C166" s="584">
        <f t="shared" si="90"/>
        <v>14</v>
      </c>
      <c r="D166" s="495" t="s">
        <v>639</v>
      </c>
      <c r="E166" s="513"/>
      <c r="F166" s="499"/>
      <c r="G166" s="530" t="s">
        <v>11</v>
      </c>
      <c r="H166" s="553">
        <v>157.19</v>
      </c>
      <c r="I166" s="553"/>
      <c r="J166" s="553">
        <v>2</v>
      </c>
      <c r="K166" s="553">
        <f t="shared" si="104"/>
        <v>314.38</v>
      </c>
      <c r="L166" s="553">
        <f>+[192]Metrado!E161</f>
        <v>1</v>
      </c>
      <c r="M166" s="553">
        <f t="shared" si="105"/>
        <v>157.19</v>
      </c>
      <c r="N166" s="553">
        <f t="shared" si="110"/>
        <v>0</v>
      </c>
      <c r="O166" s="553">
        <f t="shared" si="106"/>
        <v>0</v>
      </c>
      <c r="P166" s="553"/>
      <c r="Q166" s="553">
        <f t="shared" si="107"/>
        <v>0</v>
      </c>
      <c r="R166" s="553">
        <f t="shared" si="111"/>
        <v>1</v>
      </c>
      <c r="S166" s="553">
        <f t="shared" si="108"/>
        <v>157.19</v>
      </c>
      <c r="T166" s="553"/>
      <c r="U166" s="553">
        <f t="shared" si="109"/>
        <v>0</v>
      </c>
      <c r="V166" s="553"/>
      <c r="Y166" s="1147">
        <v>0</v>
      </c>
      <c r="AA166" s="1146"/>
    </row>
    <row r="167" spans="2:27" ht="21" customHeight="1" x14ac:dyDescent="0.25">
      <c r="B167" s="554">
        <v>1.2900000000000003</v>
      </c>
      <c r="C167" s="584">
        <f t="shared" si="90"/>
        <v>15</v>
      </c>
      <c r="D167" s="495" t="s">
        <v>595</v>
      </c>
      <c r="E167" s="511"/>
      <c r="F167" s="512"/>
      <c r="G167" s="530" t="s">
        <v>11</v>
      </c>
      <c r="H167" s="553">
        <v>13.3</v>
      </c>
      <c r="I167" s="553"/>
      <c r="J167" s="553">
        <v>45</v>
      </c>
      <c r="K167" s="553">
        <f t="shared" si="104"/>
        <v>598.5</v>
      </c>
      <c r="L167" s="553">
        <f>+[192]Metrado!E162</f>
        <v>65</v>
      </c>
      <c r="M167" s="553">
        <f t="shared" si="105"/>
        <v>864.5</v>
      </c>
      <c r="N167" s="553">
        <f t="shared" si="110"/>
        <v>20</v>
      </c>
      <c r="O167" s="553">
        <f t="shared" si="106"/>
        <v>266</v>
      </c>
      <c r="P167" s="553"/>
      <c r="Q167" s="553">
        <f t="shared" si="107"/>
        <v>0</v>
      </c>
      <c r="R167" s="553">
        <f t="shared" si="111"/>
        <v>0</v>
      </c>
      <c r="S167" s="553">
        <f t="shared" si="108"/>
        <v>0</v>
      </c>
      <c r="T167" s="553"/>
      <c r="U167" s="553">
        <f t="shared" si="109"/>
        <v>0</v>
      </c>
      <c r="V167" s="553"/>
      <c r="Y167" s="1147">
        <v>0</v>
      </c>
      <c r="Z167" s="547"/>
      <c r="AA167" s="1146"/>
    </row>
    <row r="168" spans="2:27" ht="21" customHeight="1" x14ac:dyDescent="0.25">
      <c r="B168" s="554">
        <v>1.3000000000000003</v>
      </c>
      <c r="C168" s="584">
        <f t="shared" si="90"/>
        <v>16</v>
      </c>
      <c r="D168" s="495" t="s">
        <v>640</v>
      </c>
      <c r="E168" s="496"/>
      <c r="F168" s="497"/>
      <c r="G168" s="530" t="s">
        <v>11</v>
      </c>
      <c r="H168" s="553">
        <v>99.31</v>
      </c>
      <c r="I168" s="553"/>
      <c r="J168" s="553">
        <v>5</v>
      </c>
      <c r="K168" s="553">
        <f t="shared" si="104"/>
        <v>496.55</v>
      </c>
      <c r="L168" s="553">
        <f>+[192]Metrado!E163</f>
        <v>5</v>
      </c>
      <c r="M168" s="553">
        <f t="shared" si="105"/>
        <v>496.55</v>
      </c>
      <c r="N168" s="553">
        <f t="shared" si="110"/>
        <v>0</v>
      </c>
      <c r="O168" s="553">
        <f t="shared" si="106"/>
        <v>0</v>
      </c>
      <c r="P168" s="553"/>
      <c r="Q168" s="553">
        <f t="shared" si="107"/>
        <v>0</v>
      </c>
      <c r="R168" s="553">
        <f t="shared" si="111"/>
        <v>0</v>
      </c>
      <c r="S168" s="553">
        <f t="shared" si="108"/>
        <v>0</v>
      </c>
      <c r="T168" s="553"/>
      <c r="U168" s="553">
        <f t="shared" si="109"/>
        <v>0</v>
      </c>
      <c r="V168" s="553"/>
      <c r="Y168" s="1147">
        <v>0</v>
      </c>
      <c r="Z168" s="547"/>
      <c r="AA168" s="1146"/>
    </row>
    <row r="169" spans="2:27" s="547" customFormat="1" ht="21" customHeight="1" x14ac:dyDescent="0.25">
      <c r="B169" s="559">
        <v>1.3100000000000003</v>
      </c>
      <c r="C169" s="577" t="e">
        <f>+#REF!+1</f>
        <v>#REF!</v>
      </c>
      <c r="D169" s="516" t="s">
        <v>793</v>
      </c>
      <c r="E169" s="646"/>
      <c r="F169" s="636"/>
      <c r="G169" s="531" t="s">
        <v>11</v>
      </c>
      <c r="H169" s="560"/>
      <c r="I169" s="560"/>
      <c r="J169" s="560"/>
      <c r="K169" s="560">
        <f t="shared" si="104"/>
        <v>0</v>
      </c>
      <c r="L169" s="560">
        <f>+[192]Metrado!E164</f>
        <v>0</v>
      </c>
      <c r="M169" s="560">
        <f t="shared" ref="M169:M174" si="112">+ROUND($I169*L169,2)</f>
        <v>0</v>
      </c>
      <c r="N169" s="560"/>
      <c r="O169" s="560">
        <f t="shared" si="106"/>
        <v>0</v>
      </c>
      <c r="P169" s="560">
        <f t="shared" ref="P169:P174" si="113">+L169</f>
        <v>0</v>
      </c>
      <c r="Q169" s="560">
        <f t="shared" ref="Q169:Q174" si="114">+ROUND($I169*P169,2)</f>
        <v>0</v>
      </c>
      <c r="R169" s="560"/>
      <c r="S169" s="560">
        <f t="shared" si="108"/>
        <v>0</v>
      </c>
      <c r="T169" s="560"/>
      <c r="U169" s="560">
        <f t="shared" si="109"/>
        <v>0</v>
      </c>
      <c r="V169" s="560"/>
      <c r="Y169" s="1149">
        <v>0</v>
      </c>
      <c r="AA169" s="1146"/>
    </row>
    <row r="170" spans="2:27" s="547" customFormat="1" ht="21" customHeight="1" x14ac:dyDescent="0.25">
      <c r="B170" s="559">
        <v>1.3200000000000003</v>
      </c>
      <c r="C170" s="577" t="e">
        <f>+#REF!+1</f>
        <v>#REF!</v>
      </c>
      <c r="D170" s="516" t="s">
        <v>794</v>
      </c>
      <c r="E170" s="646"/>
      <c r="F170" s="636"/>
      <c r="G170" s="531" t="s">
        <v>11</v>
      </c>
      <c r="H170" s="560"/>
      <c r="I170" s="560">
        <v>146.82599999999999</v>
      </c>
      <c r="J170" s="560"/>
      <c r="K170" s="560">
        <f t="shared" si="104"/>
        <v>0</v>
      </c>
      <c r="L170" s="560">
        <f>+[192]Metrado!E165</f>
        <v>5</v>
      </c>
      <c r="M170" s="560">
        <f t="shared" si="112"/>
        <v>734.13</v>
      </c>
      <c r="N170" s="560"/>
      <c r="O170" s="560">
        <f t="shared" si="106"/>
        <v>0</v>
      </c>
      <c r="P170" s="560">
        <f t="shared" si="113"/>
        <v>5</v>
      </c>
      <c r="Q170" s="560">
        <f t="shared" si="114"/>
        <v>734.13</v>
      </c>
      <c r="R170" s="560"/>
      <c r="S170" s="560">
        <f t="shared" si="108"/>
        <v>0</v>
      </c>
      <c r="T170" s="560"/>
      <c r="U170" s="560">
        <f t="shared" si="109"/>
        <v>0</v>
      </c>
      <c r="V170" s="560"/>
      <c r="Y170" s="1149">
        <v>0</v>
      </c>
      <c r="AA170" s="1146"/>
    </row>
    <row r="171" spans="2:27" s="547" customFormat="1" ht="21" customHeight="1" x14ac:dyDescent="0.25">
      <c r="B171" s="559">
        <v>1.3300000000000003</v>
      </c>
      <c r="C171" s="577" t="e">
        <f>+#REF!+1</f>
        <v>#REF!</v>
      </c>
      <c r="D171" s="516" t="s">
        <v>795</v>
      </c>
      <c r="E171" s="646"/>
      <c r="F171" s="636"/>
      <c r="G171" s="531" t="s">
        <v>11</v>
      </c>
      <c r="H171" s="560"/>
      <c r="I171" s="560">
        <f>+H144*1.5</f>
        <v>8.1449999999999996</v>
      </c>
      <c r="J171" s="560"/>
      <c r="K171" s="560">
        <f t="shared" si="104"/>
        <v>0</v>
      </c>
      <c r="L171" s="560">
        <f>+[192]Metrado!E166</f>
        <v>2</v>
      </c>
      <c r="M171" s="560">
        <f t="shared" si="112"/>
        <v>16.29</v>
      </c>
      <c r="N171" s="560"/>
      <c r="O171" s="560">
        <f t="shared" si="106"/>
        <v>0</v>
      </c>
      <c r="P171" s="560">
        <f t="shared" si="113"/>
        <v>2</v>
      </c>
      <c r="Q171" s="560">
        <f t="shared" si="114"/>
        <v>16.29</v>
      </c>
      <c r="R171" s="560"/>
      <c r="S171" s="560">
        <f t="shared" si="108"/>
        <v>0</v>
      </c>
      <c r="T171" s="560"/>
      <c r="U171" s="560">
        <f t="shared" si="109"/>
        <v>0</v>
      </c>
      <c r="V171" s="560"/>
      <c r="Y171" s="1149">
        <v>0</v>
      </c>
      <c r="AA171" s="1146"/>
    </row>
    <row r="172" spans="2:27" s="547" customFormat="1" ht="21" customHeight="1" x14ac:dyDescent="0.25">
      <c r="B172" s="559">
        <v>1.34</v>
      </c>
      <c r="C172" s="577" t="e">
        <f>+#REF!+1</f>
        <v>#REF!</v>
      </c>
      <c r="D172" s="516" t="s">
        <v>796</v>
      </c>
      <c r="E172" s="646"/>
      <c r="F172" s="636"/>
      <c r="G172" s="531" t="s">
        <v>11</v>
      </c>
      <c r="H172" s="560"/>
      <c r="I172" s="560">
        <f>+H144*2</f>
        <v>10.86</v>
      </c>
      <c r="J172" s="560"/>
      <c r="K172" s="560">
        <f t="shared" si="104"/>
        <v>0</v>
      </c>
      <c r="L172" s="560">
        <f>+[192]Metrado!E167</f>
        <v>3</v>
      </c>
      <c r="M172" s="560">
        <f t="shared" si="112"/>
        <v>32.58</v>
      </c>
      <c r="N172" s="560"/>
      <c r="O172" s="560">
        <f t="shared" si="106"/>
        <v>0</v>
      </c>
      <c r="P172" s="560">
        <f t="shared" si="113"/>
        <v>3</v>
      </c>
      <c r="Q172" s="560">
        <f t="shared" si="114"/>
        <v>32.58</v>
      </c>
      <c r="R172" s="560"/>
      <c r="S172" s="560">
        <f t="shared" si="108"/>
        <v>0</v>
      </c>
      <c r="T172" s="560"/>
      <c r="U172" s="560">
        <f t="shared" si="109"/>
        <v>0</v>
      </c>
      <c r="V172" s="560"/>
      <c r="Y172" s="1149">
        <v>0</v>
      </c>
      <c r="Z172" s="414"/>
      <c r="AA172" s="1146"/>
    </row>
    <row r="173" spans="2:27" s="547" customFormat="1" ht="21" customHeight="1" x14ac:dyDescent="0.25">
      <c r="B173" s="559">
        <v>1.35</v>
      </c>
      <c r="C173" s="577" t="e">
        <f>+#REF!+1</f>
        <v>#REF!</v>
      </c>
      <c r="D173" s="516" t="s">
        <v>797</v>
      </c>
      <c r="E173" s="646"/>
      <c r="F173" s="636"/>
      <c r="G173" s="531" t="s">
        <v>11</v>
      </c>
      <c r="H173" s="560"/>
      <c r="I173" s="560">
        <v>6.57</v>
      </c>
      <c r="J173" s="560"/>
      <c r="K173" s="560">
        <f t="shared" si="104"/>
        <v>0</v>
      </c>
      <c r="L173" s="560">
        <f>+[192]Metrado!E168</f>
        <v>1</v>
      </c>
      <c r="M173" s="560">
        <f t="shared" si="112"/>
        <v>6.57</v>
      </c>
      <c r="N173" s="560"/>
      <c r="O173" s="560">
        <f t="shared" si="106"/>
        <v>0</v>
      </c>
      <c r="P173" s="560">
        <f t="shared" si="113"/>
        <v>1</v>
      </c>
      <c r="Q173" s="560">
        <f t="shared" si="114"/>
        <v>6.57</v>
      </c>
      <c r="R173" s="560"/>
      <c r="S173" s="560">
        <f t="shared" si="108"/>
        <v>0</v>
      </c>
      <c r="T173" s="560"/>
      <c r="U173" s="560">
        <f t="shared" si="109"/>
        <v>0</v>
      </c>
      <c r="V173" s="560"/>
      <c r="Y173" s="1149">
        <v>0</v>
      </c>
      <c r="Z173" s="414"/>
      <c r="AA173" s="1146"/>
    </row>
    <row r="174" spans="2:27" s="547" customFormat="1" ht="21" customHeight="1" x14ac:dyDescent="0.25">
      <c r="B174" s="559">
        <v>1.36</v>
      </c>
      <c r="C174" s="577" t="e">
        <f>+C169+1</f>
        <v>#REF!</v>
      </c>
      <c r="D174" s="516" t="s">
        <v>1010</v>
      </c>
      <c r="E174" s="646"/>
      <c r="F174" s="636"/>
      <c r="G174" s="596" t="s">
        <v>11</v>
      </c>
      <c r="H174" s="640"/>
      <c r="I174" s="640">
        <f>+H166*2</f>
        <v>314.38</v>
      </c>
      <c r="J174" s="560"/>
      <c r="K174" s="560">
        <f t="shared" si="104"/>
        <v>0</v>
      </c>
      <c r="L174" s="560">
        <f>+[192]Metrado!E169</f>
        <v>3</v>
      </c>
      <c r="M174" s="560">
        <f t="shared" si="112"/>
        <v>943.14</v>
      </c>
      <c r="N174" s="560"/>
      <c r="O174" s="560">
        <f t="shared" si="106"/>
        <v>0</v>
      </c>
      <c r="P174" s="560">
        <f t="shared" si="113"/>
        <v>3</v>
      </c>
      <c r="Q174" s="560">
        <f t="shared" si="114"/>
        <v>943.14</v>
      </c>
      <c r="R174" s="640"/>
      <c r="S174" s="560">
        <f t="shared" si="108"/>
        <v>0</v>
      </c>
      <c r="T174" s="640"/>
      <c r="U174" s="560">
        <f t="shared" si="109"/>
        <v>0</v>
      </c>
      <c r="V174" s="640"/>
      <c r="Y174" s="1149">
        <v>0</v>
      </c>
      <c r="Z174" s="414"/>
      <c r="AA174" s="1146"/>
    </row>
    <row r="175" spans="2:27" ht="21" customHeight="1" x14ac:dyDescent="0.25">
      <c r="B175" s="598"/>
      <c r="C175" s="575" t="e">
        <f t="shared" si="90"/>
        <v>#REF!</v>
      </c>
      <c r="D175" s="542"/>
      <c r="E175" s="599"/>
      <c r="F175" s="544" t="str">
        <f>+"SUB-TOTAL   "&amp;B138&amp;":  "</f>
        <v xml:space="preserve">SUB-TOTAL   1:  </v>
      </c>
      <c r="G175" s="567"/>
      <c r="H175" s="540"/>
      <c r="I175" s="540"/>
      <c r="J175" s="540"/>
      <c r="K175" s="610">
        <f>+SUM(K139:K174)</f>
        <v>22429.41</v>
      </c>
      <c r="L175" s="540"/>
      <c r="M175" s="610">
        <f>+SUM(M139:M174)</f>
        <v>25454.929999999993</v>
      </c>
      <c r="N175" s="540"/>
      <c r="O175" s="610">
        <f>+SUM(O139:O174)</f>
        <v>4090.81</v>
      </c>
      <c r="P175" s="540"/>
      <c r="Q175" s="610">
        <f>+SUM(Q139:Q174)</f>
        <v>1732.71</v>
      </c>
      <c r="R175" s="540"/>
      <c r="S175" s="610">
        <f>+SUM(S139:S174)</f>
        <v>2798</v>
      </c>
      <c r="T175" s="540"/>
      <c r="U175" s="610">
        <f>+SUM(U139:U174)</f>
        <v>1974.23</v>
      </c>
      <c r="V175" s="540"/>
      <c r="Y175" s="1147">
        <v>0</v>
      </c>
      <c r="AA175" s="1146"/>
    </row>
    <row r="176" spans="2:27" ht="21" customHeight="1" x14ac:dyDescent="0.25">
      <c r="B176" s="439">
        <v>2</v>
      </c>
      <c r="C176" s="480" t="e">
        <f>+C47+1</f>
        <v>#REF!</v>
      </c>
      <c r="D176" s="441" t="s">
        <v>641</v>
      </c>
      <c r="E176" s="486"/>
      <c r="F176" s="461"/>
      <c r="G176" s="440"/>
      <c r="H176" s="438"/>
      <c r="I176" s="438"/>
      <c r="J176" s="438"/>
      <c r="K176" s="600"/>
      <c r="L176" s="756"/>
      <c r="M176" s="600"/>
      <c r="N176" s="536"/>
      <c r="O176" s="600"/>
      <c r="P176" s="536"/>
      <c r="Q176" s="600"/>
      <c r="R176" s="536"/>
      <c r="S176" s="600"/>
      <c r="T176" s="536"/>
      <c r="U176" s="600"/>
      <c r="V176" s="536"/>
      <c r="Y176" s="1147">
        <v>0</v>
      </c>
      <c r="AA176" s="1146"/>
    </row>
    <row r="177" spans="2:27" ht="21" customHeight="1" x14ac:dyDescent="0.25">
      <c r="B177" s="554">
        <v>2.0099999999999998</v>
      </c>
      <c r="C177" s="584" t="e">
        <f t="shared" si="90"/>
        <v>#REF!</v>
      </c>
      <c r="D177" s="495" t="s">
        <v>537</v>
      </c>
      <c r="E177" s="511"/>
      <c r="F177" s="512"/>
      <c r="G177" s="530" t="s">
        <v>642</v>
      </c>
      <c r="H177" s="553">
        <v>61.15</v>
      </c>
      <c r="I177" s="553"/>
      <c r="J177" s="553">
        <v>29.790000000000006</v>
      </c>
      <c r="K177" s="553">
        <f t="shared" ref="K177:K189" si="115">+ROUND($H177*J177,2)</f>
        <v>1821.66</v>
      </c>
      <c r="L177" s="553">
        <f>+[192]Metrado!E172</f>
        <v>42.962999999999994</v>
      </c>
      <c r="M177" s="553">
        <f t="shared" ref="M177:M187" si="116">+ROUND($H177*L177,2)</f>
        <v>2627.19</v>
      </c>
      <c r="N177" s="553">
        <f>+IF($L177-$J177&gt;=0,$L177-$J177,0)</f>
        <v>13.172999999999988</v>
      </c>
      <c r="O177" s="553">
        <f t="shared" ref="O177:O189" si="117">+ROUND($H177*N177,2)</f>
        <v>805.53</v>
      </c>
      <c r="P177" s="553"/>
      <c r="Q177" s="553">
        <f t="shared" ref="Q177:Q187" si="118">+ROUND($H177*P177,2)</f>
        <v>0</v>
      </c>
      <c r="R177" s="553">
        <f>+IF($L177-$J177&lt;=0,-$L177+$J177,0)</f>
        <v>0</v>
      </c>
      <c r="S177" s="553">
        <f t="shared" ref="S177:S189" si="119">+ROUND($H177*R177,2)</f>
        <v>0</v>
      </c>
      <c r="T177" s="553"/>
      <c r="U177" s="553">
        <f t="shared" ref="U177:U189" si="120">+ROUND($H177*T177,2)</f>
        <v>0</v>
      </c>
      <c r="V177" s="553"/>
      <c r="X177" s="660">
        <f>+L177+L178</f>
        <v>44.998999999999995</v>
      </c>
      <c r="Y177" s="1147">
        <v>0</v>
      </c>
      <c r="AA177" s="1146"/>
    </row>
    <row r="178" spans="2:27" ht="21" customHeight="1" x14ac:dyDescent="0.25">
      <c r="B178" s="554">
        <v>2.0199999999999996</v>
      </c>
      <c r="C178" s="576" t="e">
        <f t="shared" si="90"/>
        <v>#REF!</v>
      </c>
      <c r="D178" s="495" t="s">
        <v>536</v>
      </c>
      <c r="E178" s="496"/>
      <c r="F178" s="497"/>
      <c r="G178" s="530" t="s">
        <v>642</v>
      </c>
      <c r="H178" s="553">
        <v>208.14</v>
      </c>
      <c r="I178" s="553"/>
      <c r="J178" s="553">
        <v>7.14</v>
      </c>
      <c r="K178" s="553">
        <f t="shared" si="115"/>
        <v>1486.12</v>
      </c>
      <c r="L178" s="553">
        <f>+[192]Metrado!E173</f>
        <v>2.036</v>
      </c>
      <c r="M178" s="553">
        <f t="shared" si="116"/>
        <v>423.77</v>
      </c>
      <c r="N178" s="553">
        <f t="shared" ref="N178:N187" si="121">+IF($L178-$J178&gt;=0,$L178-$J178,0)</f>
        <v>0</v>
      </c>
      <c r="O178" s="553">
        <f t="shared" si="117"/>
        <v>0</v>
      </c>
      <c r="P178" s="553"/>
      <c r="Q178" s="553">
        <f t="shared" si="118"/>
        <v>0</v>
      </c>
      <c r="R178" s="553">
        <f t="shared" ref="R178:R187" si="122">+IF($L178-$J178&lt;=0,-$L178+$J178,0)</f>
        <v>5.1039999999999992</v>
      </c>
      <c r="S178" s="553">
        <f t="shared" si="119"/>
        <v>1062.3499999999999</v>
      </c>
      <c r="T178" s="553">
        <f>+R178</f>
        <v>5.1039999999999992</v>
      </c>
      <c r="U178" s="553">
        <f t="shared" si="120"/>
        <v>1062.3499999999999</v>
      </c>
      <c r="V178" s="553" t="s">
        <v>885</v>
      </c>
      <c r="X178" s="1143">
        <v>0</v>
      </c>
      <c r="Y178" s="1147">
        <v>0</v>
      </c>
      <c r="AA178" s="1146"/>
    </row>
    <row r="179" spans="2:27" ht="21" customHeight="1" x14ac:dyDescent="0.25">
      <c r="B179" s="554">
        <v>2.0299999999999994</v>
      </c>
      <c r="C179" s="576" t="e">
        <f t="shared" si="90"/>
        <v>#REF!</v>
      </c>
      <c r="D179" s="495" t="s">
        <v>572</v>
      </c>
      <c r="E179" s="496"/>
      <c r="F179" s="497"/>
      <c r="G179" s="530" t="s">
        <v>11</v>
      </c>
      <c r="H179" s="553">
        <v>123.37</v>
      </c>
      <c r="I179" s="553"/>
      <c r="J179" s="553">
        <v>3</v>
      </c>
      <c r="K179" s="553">
        <f t="shared" si="115"/>
        <v>370.11</v>
      </c>
      <c r="L179" s="553">
        <f>+[192]Metrado!E174</f>
        <v>1</v>
      </c>
      <c r="M179" s="553">
        <f t="shared" si="116"/>
        <v>123.37</v>
      </c>
      <c r="N179" s="553">
        <f t="shared" si="121"/>
        <v>0</v>
      </c>
      <c r="O179" s="553">
        <f t="shared" si="117"/>
        <v>0</v>
      </c>
      <c r="P179" s="553"/>
      <c r="Q179" s="553">
        <f t="shared" si="118"/>
        <v>0</v>
      </c>
      <c r="R179" s="553">
        <f t="shared" si="122"/>
        <v>2</v>
      </c>
      <c r="S179" s="553">
        <f t="shared" si="119"/>
        <v>246.74</v>
      </c>
      <c r="T179" s="553">
        <f>+R179</f>
        <v>2</v>
      </c>
      <c r="U179" s="553">
        <f t="shared" si="120"/>
        <v>246.74</v>
      </c>
      <c r="V179" s="553" t="s">
        <v>830</v>
      </c>
      <c r="Y179" s="1147">
        <v>0</v>
      </c>
      <c r="AA179" s="1146"/>
    </row>
    <row r="180" spans="2:27" ht="21" customHeight="1" x14ac:dyDescent="0.25">
      <c r="B180" s="554">
        <v>2.0399999999999991</v>
      </c>
      <c r="C180" s="576" t="e">
        <f t="shared" si="90"/>
        <v>#REF!</v>
      </c>
      <c r="D180" s="495" t="s">
        <v>573</v>
      </c>
      <c r="E180" s="513"/>
      <c r="F180" s="499"/>
      <c r="G180" s="530" t="s">
        <v>11</v>
      </c>
      <c r="H180" s="553">
        <v>128.47</v>
      </c>
      <c r="I180" s="553"/>
      <c r="J180" s="553">
        <v>11</v>
      </c>
      <c r="K180" s="553">
        <f t="shared" si="115"/>
        <v>1413.17</v>
      </c>
      <c r="L180" s="553">
        <f>+[192]Metrado!E175</f>
        <v>13</v>
      </c>
      <c r="M180" s="553">
        <f t="shared" si="116"/>
        <v>1670.11</v>
      </c>
      <c r="N180" s="553">
        <f t="shared" si="121"/>
        <v>2</v>
      </c>
      <c r="O180" s="553">
        <f t="shared" si="117"/>
        <v>256.94</v>
      </c>
      <c r="P180" s="557"/>
      <c r="Q180" s="553">
        <f t="shared" si="118"/>
        <v>0</v>
      </c>
      <c r="R180" s="553">
        <f t="shared" si="122"/>
        <v>0</v>
      </c>
      <c r="S180" s="553">
        <f t="shared" si="119"/>
        <v>0</v>
      </c>
      <c r="T180" s="557"/>
      <c r="U180" s="553">
        <f t="shared" si="120"/>
        <v>0</v>
      </c>
      <c r="V180" s="557"/>
      <c r="Y180" s="1147">
        <v>0</v>
      </c>
      <c r="AA180" s="1146"/>
    </row>
    <row r="181" spans="2:27" ht="21" customHeight="1" x14ac:dyDescent="0.25">
      <c r="B181" s="554">
        <v>2.0499999999999989</v>
      </c>
      <c r="C181" s="584" t="e">
        <f>+C43+1</f>
        <v>#REF!</v>
      </c>
      <c r="D181" s="495" t="s">
        <v>575</v>
      </c>
      <c r="E181" s="511"/>
      <c r="F181" s="512"/>
      <c r="G181" s="530" t="s">
        <v>11</v>
      </c>
      <c r="H181" s="553">
        <v>154.07</v>
      </c>
      <c r="I181" s="553"/>
      <c r="J181" s="553">
        <v>10</v>
      </c>
      <c r="K181" s="553">
        <f t="shared" si="115"/>
        <v>1540.7</v>
      </c>
      <c r="L181" s="553">
        <f>+[192]Metrado!E176</f>
        <v>11</v>
      </c>
      <c r="M181" s="553">
        <f t="shared" si="116"/>
        <v>1694.77</v>
      </c>
      <c r="N181" s="553">
        <f t="shared" si="121"/>
        <v>1</v>
      </c>
      <c r="O181" s="553">
        <f t="shared" si="117"/>
        <v>154.07</v>
      </c>
      <c r="P181" s="553"/>
      <c r="Q181" s="553">
        <f t="shared" si="118"/>
        <v>0</v>
      </c>
      <c r="R181" s="553">
        <f t="shared" si="122"/>
        <v>0</v>
      </c>
      <c r="S181" s="553">
        <f t="shared" si="119"/>
        <v>0</v>
      </c>
      <c r="T181" s="553"/>
      <c r="U181" s="553">
        <f t="shared" si="120"/>
        <v>0</v>
      </c>
      <c r="V181" s="553"/>
      <c r="Y181" s="1147">
        <v>0</v>
      </c>
      <c r="AA181" s="1146"/>
    </row>
    <row r="182" spans="2:27" ht="21" customHeight="1" x14ac:dyDescent="0.25">
      <c r="B182" s="554">
        <v>2.0599999999999987</v>
      </c>
      <c r="C182" s="584" t="e">
        <f t="shared" si="90"/>
        <v>#REF!</v>
      </c>
      <c r="D182" s="495" t="s">
        <v>574</v>
      </c>
      <c r="E182" s="496"/>
      <c r="F182" s="497"/>
      <c r="G182" s="530" t="s">
        <v>11</v>
      </c>
      <c r="H182" s="553">
        <v>194.85</v>
      </c>
      <c r="I182" s="553"/>
      <c r="J182" s="553">
        <v>10</v>
      </c>
      <c r="K182" s="553">
        <f t="shared" si="115"/>
        <v>1948.5</v>
      </c>
      <c r="L182" s="553">
        <f>+[192]Metrado!E177</f>
        <v>14</v>
      </c>
      <c r="M182" s="553">
        <f t="shared" si="116"/>
        <v>2727.9</v>
      </c>
      <c r="N182" s="553">
        <f t="shared" si="121"/>
        <v>4</v>
      </c>
      <c r="O182" s="553">
        <f t="shared" si="117"/>
        <v>779.4</v>
      </c>
      <c r="P182" s="553"/>
      <c r="Q182" s="553">
        <f t="shared" si="118"/>
        <v>0</v>
      </c>
      <c r="R182" s="553">
        <f t="shared" si="122"/>
        <v>0</v>
      </c>
      <c r="S182" s="553">
        <f t="shared" si="119"/>
        <v>0</v>
      </c>
      <c r="T182" s="553"/>
      <c r="U182" s="553">
        <f t="shared" si="120"/>
        <v>0</v>
      </c>
      <c r="V182" s="553"/>
      <c r="Y182" s="1147">
        <v>0</v>
      </c>
      <c r="AA182" s="1146"/>
    </row>
    <row r="183" spans="2:27" ht="21" customHeight="1" x14ac:dyDescent="0.25">
      <c r="B183" s="554">
        <v>2.0699999999999985</v>
      </c>
      <c r="C183" s="584" t="e">
        <f t="shared" si="90"/>
        <v>#REF!</v>
      </c>
      <c r="D183" s="495" t="s">
        <v>643</v>
      </c>
      <c r="E183" s="496"/>
      <c r="F183" s="497"/>
      <c r="G183" s="530" t="s">
        <v>11</v>
      </c>
      <c r="H183" s="553">
        <v>105.19</v>
      </c>
      <c r="I183" s="553"/>
      <c r="J183" s="553">
        <v>2</v>
      </c>
      <c r="K183" s="553">
        <f t="shared" si="115"/>
        <v>210.38</v>
      </c>
      <c r="L183" s="553">
        <f>+[192]Metrado!E178</f>
        <v>0</v>
      </c>
      <c r="M183" s="553">
        <f t="shared" si="116"/>
        <v>0</v>
      </c>
      <c r="N183" s="553">
        <f t="shared" si="121"/>
        <v>0</v>
      </c>
      <c r="O183" s="553">
        <f t="shared" si="117"/>
        <v>0</v>
      </c>
      <c r="P183" s="553"/>
      <c r="Q183" s="553">
        <f t="shared" si="118"/>
        <v>0</v>
      </c>
      <c r="R183" s="553">
        <f t="shared" si="122"/>
        <v>2</v>
      </c>
      <c r="S183" s="553">
        <f t="shared" si="119"/>
        <v>210.38</v>
      </c>
      <c r="T183" s="553">
        <f>+R183</f>
        <v>2</v>
      </c>
      <c r="U183" s="553">
        <f t="shared" si="120"/>
        <v>210.38</v>
      </c>
      <c r="V183" s="553" t="s">
        <v>886</v>
      </c>
      <c r="Y183" s="1147">
        <v>0</v>
      </c>
      <c r="AA183" s="1146"/>
    </row>
    <row r="184" spans="2:27" ht="21" customHeight="1" x14ac:dyDescent="0.25">
      <c r="B184" s="554">
        <v>2.0799999999999983</v>
      </c>
      <c r="C184" s="584" t="e">
        <f t="shared" si="90"/>
        <v>#REF!</v>
      </c>
      <c r="D184" s="495" t="s">
        <v>571</v>
      </c>
      <c r="E184" s="496"/>
      <c r="F184" s="497"/>
      <c r="G184" s="530" t="s">
        <v>642</v>
      </c>
      <c r="H184" s="553">
        <v>109.4</v>
      </c>
      <c r="I184" s="553"/>
      <c r="J184" s="553">
        <v>12.320000000000004</v>
      </c>
      <c r="K184" s="553">
        <f t="shared" si="115"/>
        <v>1347.81</v>
      </c>
      <c r="L184" s="553">
        <f>+[192]Metrado!E179</f>
        <v>17.194999999999997</v>
      </c>
      <c r="M184" s="553">
        <f t="shared" si="116"/>
        <v>1881.13</v>
      </c>
      <c r="N184" s="553">
        <f t="shared" si="121"/>
        <v>4.8749999999999929</v>
      </c>
      <c r="O184" s="553">
        <f t="shared" si="117"/>
        <v>533.32000000000005</v>
      </c>
      <c r="P184" s="553"/>
      <c r="Q184" s="553">
        <f t="shared" si="118"/>
        <v>0</v>
      </c>
      <c r="R184" s="553">
        <f t="shared" si="122"/>
        <v>0</v>
      </c>
      <c r="S184" s="553">
        <f t="shared" si="119"/>
        <v>0</v>
      </c>
      <c r="T184" s="553"/>
      <c r="U184" s="553">
        <f t="shared" si="120"/>
        <v>0</v>
      </c>
      <c r="V184" s="553"/>
      <c r="Y184" s="1147">
        <v>0</v>
      </c>
      <c r="AA184" s="1146"/>
    </row>
    <row r="185" spans="2:27" ht="21" customHeight="1" x14ac:dyDescent="0.25">
      <c r="B185" s="554">
        <v>2.0899999999999981</v>
      </c>
      <c r="C185" s="584" t="e">
        <f t="shared" si="90"/>
        <v>#REF!</v>
      </c>
      <c r="D185" s="495" t="s">
        <v>569</v>
      </c>
      <c r="E185" s="513"/>
      <c r="F185" s="499"/>
      <c r="G185" s="530" t="s">
        <v>11</v>
      </c>
      <c r="H185" s="553">
        <v>279.45</v>
      </c>
      <c r="I185" s="553"/>
      <c r="J185" s="553">
        <v>13</v>
      </c>
      <c r="K185" s="553">
        <f t="shared" si="115"/>
        <v>3632.85</v>
      </c>
      <c r="L185" s="553">
        <f>+[192]Metrado!E180</f>
        <v>25</v>
      </c>
      <c r="M185" s="553">
        <f t="shared" si="116"/>
        <v>6986.25</v>
      </c>
      <c r="N185" s="553">
        <f t="shared" si="121"/>
        <v>12</v>
      </c>
      <c r="O185" s="553">
        <f t="shared" si="117"/>
        <v>3353.4</v>
      </c>
      <c r="P185" s="553"/>
      <c r="Q185" s="553">
        <f t="shared" si="118"/>
        <v>0</v>
      </c>
      <c r="R185" s="553">
        <f t="shared" si="122"/>
        <v>0</v>
      </c>
      <c r="S185" s="553">
        <f t="shared" si="119"/>
        <v>0</v>
      </c>
      <c r="T185" s="553"/>
      <c r="U185" s="553">
        <f t="shared" si="120"/>
        <v>0</v>
      </c>
      <c r="V185" s="553"/>
      <c r="Y185" s="1147">
        <v>0</v>
      </c>
      <c r="Z185" s="547"/>
      <c r="AA185" s="1146"/>
    </row>
    <row r="186" spans="2:27" ht="21" customHeight="1" x14ac:dyDescent="0.25">
      <c r="B186" s="554">
        <v>2.0999999999999979</v>
      </c>
      <c r="C186" s="584" t="e">
        <f>+C47+1</f>
        <v>#REF!</v>
      </c>
      <c r="D186" s="495" t="s">
        <v>644</v>
      </c>
      <c r="E186" s="511"/>
      <c r="F186" s="512"/>
      <c r="G186" s="530" t="s">
        <v>11</v>
      </c>
      <c r="H186" s="553">
        <v>270.54000000000002</v>
      </c>
      <c r="I186" s="553"/>
      <c r="J186" s="553">
        <v>7</v>
      </c>
      <c r="K186" s="553">
        <f t="shared" si="115"/>
        <v>1893.78</v>
      </c>
      <c r="L186" s="553">
        <f>+[192]Metrado!E181</f>
        <v>0</v>
      </c>
      <c r="M186" s="553">
        <f t="shared" si="116"/>
        <v>0</v>
      </c>
      <c r="N186" s="553">
        <f t="shared" si="121"/>
        <v>0</v>
      </c>
      <c r="O186" s="553">
        <f t="shared" si="117"/>
        <v>0</v>
      </c>
      <c r="P186" s="553"/>
      <c r="Q186" s="553">
        <f t="shared" si="118"/>
        <v>0</v>
      </c>
      <c r="R186" s="553">
        <f t="shared" si="122"/>
        <v>7</v>
      </c>
      <c r="S186" s="553">
        <f t="shared" si="119"/>
        <v>1893.78</v>
      </c>
      <c r="T186" s="553">
        <f>+R186</f>
        <v>7</v>
      </c>
      <c r="U186" s="553">
        <f t="shared" si="120"/>
        <v>1893.78</v>
      </c>
      <c r="V186" s="553" t="s">
        <v>887</v>
      </c>
      <c r="Y186" s="1147">
        <v>0</v>
      </c>
      <c r="Z186" s="547"/>
      <c r="AA186" s="1146"/>
    </row>
    <row r="187" spans="2:27" ht="21" customHeight="1" x14ac:dyDescent="0.25">
      <c r="B187" s="554">
        <v>2.1099999999999977</v>
      </c>
      <c r="C187" s="584" t="e">
        <f t="shared" si="90"/>
        <v>#REF!</v>
      </c>
      <c r="D187" s="495" t="s">
        <v>567</v>
      </c>
      <c r="E187" s="496"/>
      <c r="F187" s="497"/>
      <c r="G187" s="530" t="s">
        <v>11</v>
      </c>
      <c r="H187" s="553">
        <v>25.38</v>
      </c>
      <c r="I187" s="553"/>
      <c r="J187" s="553">
        <v>20</v>
      </c>
      <c r="K187" s="553">
        <f t="shared" si="115"/>
        <v>507.6</v>
      </c>
      <c r="L187" s="553">
        <f>+[192]Metrado!E182</f>
        <v>25</v>
      </c>
      <c r="M187" s="553">
        <f t="shared" si="116"/>
        <v>634.5</v>
      </c>
      <c r="N187" s="553">
        <f t="shared" si="121"/>
        <v>5</v>
      </c>
      <c r="O187" s="553">
        <f t="shared" si="117"/>
        <v>126.9</v>
      </c>
      <c r="P187" s="553"/>
      <c r="Q187" s="553">
        <f t="shared" si="118"/>
        <v>0</v>
      </c>
      <c r="R187" s="553">
        <f t="shared" si="122"/>
        <v>0</v>
      </c>
      <c r="S187" s="553">
        <f t="shared" si="119"/>
        <v>0</v>
      </c>
      <c r="T187" s="553"/>
      <c r="U187" s="553">
        <f t="shared" si="120"/>
        <v>0</v>
      </c>
      <c r="V187" s="553"/>
      <c r="Y187" s="1147">
        <v>0</v>
      </c>
      <c r="AA187" s="1146"/>
    </row>
    <row r="188" spans="2:27" s="547" customFormat="1" ht="21" hidden="1" customHeight="1" x14ac:dyDescent="0.25">
      <c r="B188" s="559">
        <v>2.12</v>
      </c>
      <c r="C188" s="577" t="e">
        <f>+#REF!+1</f>
        <v>#REF!</v>
      </c>
      <c r="D188" s="516" t="s">
        <v>798</v>
      </c>
      <c r="E188" s="646"/>
      <c r="F188" s="636"/>
      <c r="G188" s="531" t="s">
        <v>11</v>
      </c>
      <c r="H188" s="560"/>
      <c r="I188" s="560"/>
      <c r="J188" s="560"/>
      <c r="K188" s="560">
        <f t="shared" si="115"/>
        <v>0</v>
      </c>
      <c r="L188" s="553">
        <f>+[192]Metrado!E183</f>
        <v>0</v>
      </c>
      <c r="M188" s="560">
        <f t="shared" ref="M188:M189" si="123">+ROUND($I188*L188,2)</f>
        <v>0</v>
      </c>
      <c r="N188" s="560"/>
      <c r="O188" s="560">
        <f t="shared" si="117"/>
        <v>0</v>
      </c>
      <c r="P188" s="560">
        <f t="shared" ref="P188:P189" si="124">+L188</f>
        <v>0</v>
      </c>
      <c r="Q188" s="560">
        <f t="shared" ref="Q188:Q189" si="125">+ROUND($I188*P188,2)</f>
        <v>0</v>
      </c>
      <c r="R188" s="560"/>
      <c r="S188" s="560">
        <f t="shared" si="119"/>
        <v>0</v>
      </c>
      <c r="T188" s="560"/>
      <c r="U188" s="560">
        <f t="shared" si="120"/>
        <v>0</v>
      </c>
      <c r="V188" s="560"/>
      <c r="Y188" s="1147">
        <v>0</v>
      </c>
      <c r="Z188" s="414"/>
      <c r="AA188" s="1146"/>
    </row>
    <row r="189" spans="2:27" s="547" customFormat="1" ht="21" customHeight="1" x14ac:dyDescent="0.25">
      <c r="B189" s="559">
        <v>2.13</v>
      </c>
      <c r="C189" s="577" t="e">
        <f t="shared" ref="C189:C233" si="126">+C188+1</f>
        <v>#REF!</v>
      </c>
      <c r="D189" s="516" t="s">
        <v>799</v>
      </c>
      <c r="E189" s="646"/>
      <c r="F189" s="636"/>
      <c r="G189" s="596" t="s">
        <v>11</v>
      </c>
      <c r="H189" s="640"/>
      <c r="I189" s="640">
        <v>57.552</v>
      </c>
      <c r="J189" s="560"/>
      <c r="K189" s="560">
        <f t="shared" si="115"/>
        <v>0</v>
      </c>
      <c r="L189" s="560">
        <f>+[192]Metrado!E184</f>
        <v>5</v>
      </c>
      <c r="M189" s="560">
        <f t="shared" si="123"/>
        <v>287.76</v>
      </c>
      <c r="N189" s="560"/>
      <c r="O189" s="560">
        <f t="shared" si="117"/>
        <v>0</v>
      </c>
      <c r="P189" s="560">
        <f t="shared" si="124"/>
        <v>5</v>
      </c>
      <c r="Q189" s="560">
        <f t="shared" si="125"/>
        <v>287.76</v>
      </c>
      <c r="R189" s="640"/>
      <c r="S189" s="560">
        <f t="shared" si="119"/>
        <v>0</v>
      </c>
      <c r="T189" s="640"/>
      <c r="U189" s="560">
        <f t="shared" si="120"/>
        <v>0</v>
      </c>
      <c r="V189" s="640"/>
      <c r="Y189" s="1149">
        <v>0</v>
      </c>
      <c r="Z189" s="414"/>
      <c r="AA189" s="1146"/>
    </row>
    <row r="190" spans="2:27" ht="21" customHeight="1" x14ac:dyDescent="0.25">
      <c r="B190" s="598"/>
      <c r="C190" s="575" t="e">
        <f t="shared" si="126"/>
        <v>#REF!</v>
      </c>
      <c r="D190" s="542"/>
      <c r="E190" s="599"/>
      <c r="F190" s="544" t="str">
        <f>+"SUB-TOTAL   "&amp;B176&amp;":  "</f>
        <v xml:space="preserve">SUB-TOTAL   2:  </v>
      </c>
      <c r="G190" s="567"/>
      <c r="H190" s="540"/>
      <c r="I190" s="540"/>
      <c r="J190" s="540"/>
      <c r="K190" s="610">
        <f>+SUM(K177:K189)</f>
        <v>16172.679999999998</v>
      </c>
      <c r="L190" s="540"/>
      <c r="M190" s="610">
        <f>+SUM(M177:M189)</f>
        <v>19056.749999999996</v>
      </c>
      <c r="N190" s="540"/>
      <c r="O190" s="610">
        <f>+SUM(O177:O189)</f>
        <v>6009.5599999999995</v>
      </c>
      <c r="P190" s="540"/>
      <c r="Q190" s="610">
        <f>+SUM(Q177:Q189)</f>
        <v>287.76</v>
      </c>
      <c r="R190" s="540"/>
      <c r="S190" s="610">
        <f>+SUM(S177:S189)</f>
        <v>3413.25</v>
      </c>
      <c r="T190" s="540"/>
      <c r="U190" s="610">
        <f>+SUM(U177:U189)</f>
        <v>3413.25</v>
      </c>
      <c r="V190" s="540"/>
      <c r="Y190" s="1147">
        <v>0</v>
      </c>
      <c r="AA190" s="1146"/>
    </row>
    <row r="191" spans="2:27" ht="21" customHeight="1" x14ac:dyDescent="0.25">
      <c r="B191" s="439">
        <v>3</v>
      </c>
      <c r="C191" s="480" t="e">
        <f>+C75+1</f>
        <v>#REF!</v>
      </c>
      <c r="D191" s="441" t="s">
        <v>30</v>
      </c>
      <c r="E191" s="486"/>
      <c r="F191" s="461"/>
      <c r="G191" s="440"/>
      <c r="H191" s="438"/>
      <c r="I191" s="438"/>
      <c r="J191" s="438"/>
      <c r="K191" s="600"/>
      <c r="L191" s="756"/>
      <c r="M191" s="600"/>
      <c r="N191" s="536"/>
      <c r="O191" s="600"/>
      <c r="P191" s="536"/>
      <c r="Q191" s="600"/>
      <c r="R191" s="536"/>
      <c r="S191" s="600"/>
      <c r="T191" s="536"/>
      <c r="U191" s="600"/>
      <c r="V191" s="536"/>
      <c r="Y191" s="1147">
        <v>0</v>
      </c>
      <c r="AA191" s="1146"/>
    </row>
    <row r="192" spans="2:27" ht="21" customHeight="1" x14ac:dyDescent="0.25">
      <c r="B192" s="554">
        <v>3.01</v>
      </c>
      <c r="C192" s="584" t="e">
        <f t="shared" si="126"/>
        <v>#REF!</v>
      </c>
      <c r="D192" s="495" t="s">
        <v>537</v>
      </c>
      <c r="E192" s="511"/>
      <c r="F192" s="512"/>
      <c r="G192" s="530" t="s">
        <v>642</v>
      </c>
      <c r="H192" s="553">
        <v>61.15</v>
      </c>
      <c r="I192" s="553"/>
      <c r="J192" s="553">
        <v>7.8400000000000007</v>
      </c>
      <c r="K192" s="553">
        <f t="shared" ref="K192:K197" si="127">+ROUND($H192*J192,2)</f>
        <v>479.42</v>
      </c>
      <c r="L192" s="553">
        <f>+[192]Metrado!E187</f>
        <v>14.534000000000002</v>
      </c>
      <c r="M192" s="553">
        <f t="shared" ref="M192:M197" si="128">+ROUND($H192*L192,2)</f>
        <v>888.75</v>
      </c>
      <c r="N192" s="553">
        <f>+IF($L192-$J192&gt;=0,$L192-$J192,0)</f>
        <v>6.6940000000000017</v>
      </c>
      <c r="O192" s="553">
        <f t="shared" ref="O192:O197" si="129">+ROUND($H192*N192,2)</f>
        <v>409.34</v>
      </c>
      <c r="P192" s="553"/>
      <c r="Q192" s="553">
        <f t="shared" ref="Q192:Q197" si="130">+ROUND($H192*P192,2)</f>
        <v>0</v>
      </c>
      <c r="R192" s="553">
        <f>+IF($L192-$J192&lt;=0,-$L192+$J192,0)</f>
        <v>0</v>
      </c>
      <c r="S192" s="553">
        <f t="shared" ref="S192:S197" si="131">+ROUND($H192*R192,2)</f>
        <v>0</v>
      </c>
      <c r="T192" s="553"/>
      <c r="U192" s="553">
        <f t="shared" ref="U192:U197" si="132">+ROUND($H192*T192,2)</f>
        <v>0</v>
      </c>
      <c r="V192" s="553"/>
      <c r="X192" s="660">
        <f>+L193+L192</f>
        <v>15.652000000000003</v>
      </c>
      <c r="Y192" s="1147">
        <v>0</v>
      </c>
      <c r="AA192" s="1146"/>
    </row>
    <row r="193" spans="2:27" ht="21" customHeight="1" x14ac:dyDescent="0.25">
      <c r="B193" s="554">
        <v>3.0199999999999996</v>
      </c>
      <c r="C193" s="576" t="e">
        <f t="shared" si="126"/>
        <v>#REF!</v>
      </c>
      <c r="D193" s="495" t="s">
        <v>536</v>
      </c>
      <c r="E193" s="496"/>
      <c r="F193" s="497"/>
      <c r="G193" s="530" t="s">
        <v>642</v>
      </c>
      <c r="H193" s="553">
        <v>208.14</v>
      </c>
      <c r="I193" s="553"/>
      <c r="J193" s="553">
        <v>2.2400000000000002</v>
      </c>
      <c r="K193" s="553">
        <f t="shared" si="127"/>
        <v>466.23</v>
      </c>
      <c r="L193" s="553">
        <f>+[192]Metrado!E188</f>
        <v>1.1180000000000001</v>
      </c>
      <c r="M193" s="553">
        <f t="shared" si="128"/>
        <v>232.7</v>
      </c>
      <c r="N193" s="553">
        <f t="shared" ref="N193:N197" si="133">+IF($L193-$J193&gt;=0,$L193-$J193,0)</f>
        <v>0</v>
      </c>
      <c r="O193" s="553">
        <f t="shared" si="129"/>
        <v>0</v>
      </c>
      <c r="P193" s="553"/>
      <c r="Q193" s="553">
        <f t="shared" si="130"/>
        <v>0</v>
      </c>
      <c r="R193" s="553">
        <f t="shared" ref="R193:R197" si="134">+IF($L193-$J193&lt;=0,-$L193+$J193,0)</f>
        <v>1.1220000000000001</v>
      </c>
      <c r="S193" s="553">
        <f t="shared" si="131"/>
        <v>233.53</v>
      </c>
      <c r="T193" s="553">
        <f>+R193</f>
        <v>1.1220000000000001</v>
      </c>
      <c r="U193" s="553">
        <f t="shared" si="132"/>
        <v>233.53</v>
      </c>
      <c r="V193" s="553" t="s">
        <v>888</v>
      </c>
      <c r="X193" s="1144">
        <v>0</v>
      </c>
      <c r="Y193" s="1147">
        <v>0</v>
      </c>
      <c r="AA193" s="1146"/>
    </row>
    <row r="194" spans="2:27" ht="21" customHeight="1" x14ac:dyDescent="0.25">
      <c r="B194" s="554">
        <v>3.0299999999999994</v>
      </c>
      <c r="C194" s="576" t="e">
        <f t="shared" si="126"/>
        <v>#REF!</v>
      </c>
      <c r="D194" s="495" t="s">
        <v>566</v>
      </c>
      <c r="E194" s="496"/>
      <c r="F194" s="497"/>
      <c r="G194" s="530" t="s">
        <v>11</v>
      </c>
      <c r="H194" s="553">
        <v>87.45</v>
      </c>
      <c r="I194" s="553"/>
      <c r="J194" s="553">
        <v>4</v>
      </c>
      <c r="K194" s="553">
        <f t="shared" si="127"/>
        <v>349.8</v>
      </c>
      <c r="L194" s="553">
        <f>+[192]Metrado!E189</f>
        <v>6</v>
      </c>
      <c r="M194" s="553">
        <f t="shared" si="128"/>
        <v>524.70000000000005</v>
      </c>
      <c r="N194" s="553">
        <f t="shared" si="133"/>
        <v>2</v>
      </c>
      <c r="O194" s="553">
        <f t="shared" si="129"/>
        <v>174.9</v>
      </c>
      <c r="P194" s="553"/>
      <c r="Q194" s="553">
        <f t="shared" si="130"/>
        <v>0</v>
      </c>
      <c r="R194" s="553">
        <f t="shared" si="134"/>
        <v>0</v>
      </c>
      <c r="S194" s="553">
        <f t="shared" si="131"/>
        <v>0</v>
      </c>
      <c r="T194" s="553"/>
      <c r="U194" s="553">
        <f t="shared" si="132"/>
        <v>0</v>
      </c>
      <c r="V194" s="553"/>
      <c r="Y194" s="1147">
        <v>0</v>
      </c>
      <c r="AA194" s="1146"/>
    </row>
    <row r="195" spans="2:27" ht="21" customHeight="1" x14ac:dyDescent="0.25">
      <c r="B195" s="554">
        <v>3.0399999999999991</v>
      </c>
      <c r="C195" s="576" t="e">
        <f t="shared" si="126"/>
        <v>#REF!</v>
      </c>
      <c r="D195" s="495" t="s">
        <v>565</v>
      </c>
      <c r="E195" s="513"/>
      <c r="F195" s="499"/>
      <c r="G195" s="530" t="s">
        <v>11</v>
      </c>
      <c r="H195" s="553">
        <v>103.71</v>
      </c>
      <c r="I195" s="553"/>
      <c r="J195" s="553">
        <v>5</v>
      </c>
      <c r="K195" s="553">
        <f t="shared" si="127"/>
        <v>518.54999999999995</v>
      </c>
      <c r="L195" s="553">
        <f>+[192]Metrado!E190</f>
        <v>8</v>
      </c>
      <c r="M195" s="553">
        <f t="shared" si="128"/>
        <v>829.68</v>
      </c>
      <c r="N195" s="553">
        <f t="shared" si="133"/>
        <v>3</v>
      </c>
      <c r="O195" s="553">
        <f t="shared" si="129"/>
        <v>311.13</v>
      </c>
      <c r="P195" s="557"/>
      <c r="Q195" s="553">
        <f t="shared" si="130"/>
        <v>0</v>
      </c>
      <c r="R195" s="553">
        <f t="shared" si="134"/>
        <v>0</v>
      </c>
      <c r="S195" s="553">
        <f t="shared" si="131"/>
        <v>0</v>
      </c>
      <c r="T195" s="557"/>
      <c r="U195" s="553">
        <f t="shared" si="132"/>
        <v>0</v>
      </c>
      <c r="V195" s="557"/>
      <c r="Y195" s="1147">
        <v>0</v>
      </c>
      <c r="AA195" s="1146"/>
    </row>
    <row r="196" spans="2:27" ht="21" customHeight="1" x14ac:dyDescent="0.25">
      <c r="B196" s="554">
        <v>3.0499999999999989</v>
      </c>
      <c r="C196" s="584" t="e">
        <f>+C70+1</f>
        <v>#REF!</v>
      </c>
      <c r="D196" s="495" t="s">
        <v>31</v>
      </c>
      <c r="E196" s="511"/>
      <c r="F196" s="512"/>
      <c r="G196" s="530" t="s">
        <v>642</v>
      </c>
      <c r="H196" s="553">
        <v>90.22</v>
      </c>
      <c r="I196" s="553"/>
      <c r="J196" s="553">
        <v>7.7000000000000011</v>
      </c>
      <c r="K196" s="553">
        <f t="shared" si="127"/>
        <v>694.69</v>
      </c>
      <c r="L196" s="553">
        <f>+[192]Metrado!E191</f>
        <v>14.222000000000003</v>
      </c>
      <c r="M196" s="553">
        <f t="shared" si="128"/>
        <v>1283.1099999999999</v>
      </c>
      <c r="N196" s="553">
        <f t="shared" si="133"/>
        <v>6.522000000000002</v>
      </c>
      <c r="O196" s="553">
        <f t="shared" si="129"/>
        <v>588.41</v>
      </c>
      <c r="P196" s="553"/>
      <c r="Q196" s="553">
        <f t="shared" si="130"/>
        <v>0</v>
      </c>
      <c r="R196" s="553">
        <f t="shared" si="134"/>
        <v>0</v>
      </c>
      <c r="S196" s="553">
        <f t="shared" si="131"/>
        <v>0</v>
      </c>
      <c r="T196" s="553"/>
      <c r="U196" s="553">
        <f t="shared" si="132"/>
        <v>0</v>
      </c>
      <c r="V196" s="553"/>
      <c r="Y196" s="1147">
        <v>0</v>
      </c>
      <c r="AA196" s="1146"/>
    </row>
    <row r="197" spans="2:27" ht="21" customHeight="1" x14ac:dyDescent="0.25">
      <c r="B197" s="554">
        <v>3.0599999999999987</v>
      </c>
      <c r="C197" s="584" t="e">
        <f t="shared" si="126"/>
        <v>#REF!</v>
      </c>
      <c r="D197" s="495" t="s">
        <v>391</v>
      </c>
      <c r="E197" s="496"/>
      <c r="F197" s="497"/>
      <c r="G197" s="530" t="s">
        <v>642</v>
      </c>
      <c r="H197" s="553">
        <v>96.57</v>
      </c>
      <c r="I197" s="553"/>
      <c r="J197" s="553">
        <v>2.2000000000000002</v>
      </c>
      <c r="K197" s="553">
        <f t="shared" si="127"/>
        <v>212.45</v>
      </c>
      <c r="L197" s="553">
        <f>+[192]Metrado!E192</f>
        <v>1.0940000000000001</v>
      </c>
      <c r="M197" s="553">
        <f t="shared" si="128"/>
        <v>105.65</v>
      </c>
      <c r="N197" s="553">
        <f t="shared" si="133"/>
        <v>0</v>
      </c>
      <c r="O197" s="553">
        <f t="shared" si="129"/>
        <v>0</v>
      </c>
      <c r="P197" s="553"/>
      <c r="Q197" s="553">
        <f t="shared" si="130"/>
        <v>0</v>
      </c>
      <c r="R197" s="553">
        <f t="shared" si="134"/>
        <v>1.1060000000000001</v>
      </c>
      <c r="S197" s="553">
        <f t="shared" si="131"/>
        <v>106.81</v>
      </c>
      <c r="T197" s="553">
        <f>+R197</f>
        <v>1.1060000000000001</v>
      </c>
      <c r="U197" s="553">
        <f t="shared" si="132"/>
        <v>106.81</v>
      </c>
      <c r="V197" s="553" t="s">
        <v>851</v>
      </c>
      <c r="Y197" s="1147">
        <v>0</v>
      </c>
      <c r="AA197" s="1146"/>
    </row>
    <row r="198" spans="2:27" ht="21" customHeight="1" x14ac:dyDescent="0.25">
      <c r="B198" s="598"/>
      <c r="C198" s="575" t="e">
        <f>+#REF!+1</f>
        <v>#REF!</v>
      </c>
      <c r="D198" s="542"/>
      <c r="E198" s="599"/>
      <c r="F198" s="544" t="str">
        <f>+"SUB-TOTAL   "&amp;B191&amp;":  "</f>
        <v xml:space="preserve">SUB-TOTAL   3:  </v>
      </c>
      <c r="G198" s="567"/>
      <c r="H198" s="540"/>
      <c r="I198" s="540"/>
      <c r="J198" s="540"/>
      <c r="K198" s="610">
        <f>+SUM(K192:K197)</f>
        <v>2721.14</v>
      </c>
      <c r="L198" s="540"/>
      <c r="M198" s="610">
        <f>+SUM(M192:M197)</f>
        <v>3864.5899999999997</v>
      </c>
      <c r="N198" s="540"/>
      <c r="O198" s="610">
        <f>+SUM(O192:O197)</f>
        <v>1483.78</v>
      </c>
      <c r="P198" s="540"/>
      <c r="Q198" s="610">
        <f>+SUM(Q192:Q197)</f>
        <v>0</v>
      </c>
      <c r="R198" s="540"/>
      <c r="S198" s="610">
        <f>+SUM(S192:S197)</f>
        <v>340.34000000000003</v>
      </c>
      <c r="T198" s="540"/>
      <c r="U198" s="610">
        <f>+SUM(U192:U197)</f>
        <v>340.34000000000003</v>
      </c>
      <c r="V198" s="540"/>
      <c r="Y198" s="1147">
        <v>0</v>
      </c>
      <c r="AA198" s="1146"/>
    </row>
    <row r="199" spans="2:27" ht="21" customHeight="1" x14ac:dyDescent="0.25">
      <c r="B199" s="439">
        <v>4</v>
      </c>
      <c r="C199" s="480" t="e">
        <f>+C109+1</f>
        <v>#REF!</v>
      </c>
      <c r="D199" s="441" t="s">
        <v>32</v>
      </c>
      <c r="E199" s="486"/>
      <c r="F199" s="461"/>
      <c r="G199" s="440"/>
      <c r="H199" s="438"/>
      <c r="I199" s="438"/>
      <c r="J199" s="438"/>
      <c r="K199" s="600"/>
      <c r="L199" s="756"/>
      <c r="M199" s="600"/>
      <c r="N199" s="536"/>
      <c r="O199" s="600"/>
      <c r="P199" s="536"/>
      <c r="Q199" s="600"/>
      <c r="R199" s="536"/>
      <c r="S199" s="600"/>
      <c r="T199" s="536"/>
      <c r="U199" s="600"/>
      <c r="V199" s="536"/>
      <c r="Y199" s="1147">
        <v>0</v>
      </c>
      <c r="AA199" s="1146"/>
    </row>
    <row r="200" spans="2:27" ht="21" customHeight="1" x14ac:dyDescent="0.25">
      <c r="B200" s="554">
        <v>4.01</v>
      </c>
      <c r="C200" s="584" t="e">
        <f t="shared" si="126"/>
        <v>#REF!</v>
      </c>
      <c r="D200" s="495" t="s">
        <v>562</v>
      </c>
      <c r="E200" s="511"/>
      <c r="F200" s="512"/>
      <c r="G200" s="530" t="s">
        <v>18</v>
      </c>
      <c r="H200" s="553">
        <v>61.22</v>
      </c>
      <c r="I200" s="553"/>
      <c r="J200" s="553">
        <v>13</v>
      </c>
      <c r="K200" s="553">
        <f t="shared" ref="K200:K217" si="135">+ROUND($H200*J200,2)</f>
        <v>795.86</v>
      </c>
      <c r="L200" s="553">
        <f>+[192]Metrado!E195</f>
        <v>7</v>
      </c>
      <c r="M200" s="553">
        <f t="shared" ref="M200:M209" si="136">+ROUND($H200*L200,2)</f>
        <v>428.54</v>
      </c>
      <c r="N200" s="553">
        <f>+IF($L200-$J200&gt;=0,$L200-$J200,0)</f>
        <v>0</v>
      </c>
      <c r="O200" s="553">
        <f t="shared" ref="O200:O217" si="137">+ROUND($H200*N200,2)</f>
        <v>0</v>
      </c>
      <c r="P200" s="553"/>
      <c r="Q200" s="553">
        <f t="shared" ref="Q200:Q209" si="138">+ROUND($H200*P200,2)</f>
        <v>0</v>
      </c>
      <c r="R200" s="553">
        <f>+IF($L200-$J200&lt;=0,-$L200+$J200,0)</f>
        <v>6</v>
      </c>
      <c r="S200" s="553">
        <f t="shared" ref="S200:S217" si="139">+ROUND($H200*R200,2)</f>
        <v>367.32</v>
      </c>
      <c r="T200" s="553">
        <f>+R200</f>
        <v>6</v>
      </c>
      <c r="U200" s="553">
        <f t="shared" ref="U200:U217" si="140">+ROUND($H200*T200,2)</f>
        <v>367.32</v>
      </c>
      <c r="V200" s="553"/>
      <c r="Y200" s="1147">
        <v>0</v>
      </c>
      <c r="AA200" s="1146"/>
    </row>
    <row r="201" spans="2:27" ht="21" customHeight="1" x14ac:dyDescent="0.25">
      <c r="B201" s="554">
        <v>4.0199999999999996</v>
      </c>
      <c r="C201" s="576" t="e">
        <f t="shared" si="126"/>
        <v>#REF!</v>
      </c>
      <c r="D201" s="495" t="s">
        <v>559</v>
      </c>
      <c r="E201" s="496"/>
      <c r="F201" s="497"/>
      <c r="G201" s="530" t="s">
        <v>18</v>
      </c>
      <c r="H201" s="553">
        <v>80.37</v>
      </c>
      <c r="I201" s="553"/>
      <c r="J201" s="553">
        <v>3</v>
      </c>
      <c r="K201" s="553">
        <f t="shared" si="135"/>
        <v>241.11</v>
      </c>
      <c r="L201" s="553">
        <f>+[192]Metrado!E196</f>
        <v>4</v>
      </c>
      <c r="M201" s="553">
        <f t="shared" si="136"/>
        <v>321.48</v>
      </c>
      <c r="N201" s="553">
        <f t="shared" ref="N201:N209" si="141">+IF($L201-$J201&gt;=0,$L201-$J201,0)</f>
        <v>1</v>
      </c>
      <c r="O201" s="553">
        <f t="shared" si="137"/>
        <v>80.37</v>
      </c>
      <c r="P201" s="553"/>
      <c r="Q201" s="553">
        <f t="shared" si="138"/>
        <v>0</v>
      </c>
      <c r="R201" s="553">
        <f t="shared" ref="R201:R209" si="142">+IF($L201-$J201&lt;=0,-$L201+$J201,0)</f>
        <v>0</v>
      </c>
      <c r="S201" s="553">
        <f t="shared" si="139"/>
        <v>0</v>
      </c>
      <c r="T201" s="553"/>
      <c r="U201" s="553">
        <f t="shared" si="140"/>
        <v>0</v>
      </c>
      <c r="V201" s="553"/>
      <c r="Y201" s="1147">
        <v>0</v>
      </c>
      <c r="AA201" s="1146"/>
    </row>
    <row r="202" spans="2:27" ht="21" customHeight="1" x14ac:dyDescent="0.25">
      <c r="B202" s="554">
        <v>4.0299999999999994</v>
      </c>
      <c r="C202" s="576" t="e">
        <f t="shared" si="126"/>
        <v>#REF!</v>
      </c>
      <c r="D202" s="495" t="s">
        <v>645</v>
      </c>
      <c r="E202" s="496"/>
      <c r="F202" s="497"/>
      <c r="G202" s="530" t="s">
        <v>18</v>
      </c>
      <c r="H202" s="553">
        <v>69.13</v>
      </c>
      <c r="I202" s="553"/>
      <c r="J202" s="553">
        <v>1</v>
      </c>
      <c r="K202" s="553">
        <f t="shared" si="135"/>
        <v>69.13</v>
      </c>
      <c r="L202" s="553">
        <f>+[192]Metrado!E197</f>
        <v>0</v>
      </c>
      <c r="M202" s="553">
        <f t="shared" si="136"/>
        <v>0</v>
      </c>
      <c r="N202" s="553">
        <f t="shared" si="141"/>
        <v>0</v>
      </c>
      <c r="O202" s="553">
        <f t="shared" si="137"/>
        <v>0</v>
      </c>
      <c r="P202" s="553"/>
      <c r="Q202" s="553">
        <f t="shared" si="138"/>
        <v>0</v>
      </c>
      <c r="R202" s="553">
        <f t="shared" si="142"/>
        <v>1</v>
      </c>
      <c r="S202" s="553">
        <f t="shared" si="139"/>
        <v>69.13</v>
      </c>
      <c r="T202" s="553">
        <f>+R202</f>
        <v>1</v>
      </c>
      <c r="U202" s="553">
        <f t="shared" si="140"/>
        <v>69.13</v>
      </c>
      <c r="V202" s="553"/>
      <c r="Y202" s="1147">
        <v>0</v>
      </c>
      <c r="AA202" s="1146"/>
    </row>
    <row r="203" spans="2:27" ht="21" customHeight="1" x14ac:dyDescent="0.25">
      <c r="B203" s="554">
        <v>4.0399999999999991</v>
      </c>
      <c r="C203" s="576" t="e">
        <f t="shared" si="126"/>
        <v>#REF!</v>
      </c>
      <c r="D203" s="495" t="s">
        <v>557</v>
      </c>
      <c r="E203" s="513"/>
      <c r="F203" s="499"/>
      <c r="G203" s="530" t="s">
        <v>18</v>
      </c>
      <c r="H203" s="553">
        <v>31.21</v>
      </c>
      <c r="I203" s="553"/>
      <c r="J203" s="553">
        <v>6</v>
      </c>
      <c r="K203" s="553">
        <f t="shared" si="135"/>
        <v>187.26</v>
      </c>
      <c r="L203" s="553">
        <f>+[192]Metrado!E198</f>
        <v>8</v>
      </c>
      <c r="M203" s="553">
        <f t="shared" si="136"/>
        <v>249.68</v>
      </c>
      <c r="N203" s="553">
        <f t="shared" si="141"/>
        <v>2</v>
      </c>
      <c r="O203" s="553">
        <f t="shared" si="137"/>
        <v>62.42</v>
      </c>
      <c r="P203" s="557"/>
      <c r="Q203" s="553">
        <f t="shared" si="138"/>
        <v>0</v>
      </c>
      <c r="R203" s="553">
        <f t="shared" si="142"/>
        <v>0</v>
      </c>
      <c r="S203" s="553">
        <f t="shared" si="139"/>
        <v>0</v>
      </c>
      <c r="T203" s="557"/>
      <c r="U203" s="553">
        <f t="shared" si="140"/>
        <v>0</v>
      </c>
      <c r="V203" s="557"/>
      <c r="Y203" s="1147">
        <v>0</v>
      </c>
      <c r="AA203" s="1146"/>
    </row>
    <row r="204" spans="2:27" ht="21" customHeight="1" x14ac:dyDescent="0.25">
      <c r="B204" s="554">
        <v>4.0499999999999989</v>
      </c>
      <c r="C204" s="584" t="e">
        <f>+C104+1</f>
        <v>#REF!</v>
      </c>
      <c r="D204" s="495" t="s">
        <v>646</v>
      </c>
      <c r="E204" s="511"/>
      <c r="F204" s="512"/>
      <c r="G204" s="530" t="s">
        <v>18</v>
      </c>
      <c r="H204" s="553">
        <v>37.549999999999997</v>
      </c>
      <c r="I204" s="553"/>
      <c r="J204" s="553">
        <v>5</v>
      </c>
      <c r="K204" s="553">
        <f t="shared" si="135"/>
        <v>187.75</v>
      </c>
      <c r="L204" s="553">
        <f>+[192]Metrado!E199</f>
        <v>0</v>
      </c>
      <c r="M204" s="553">
        <f t="shared" si="136"/>
        <v>0</v>
      </c>
      <c r="N204" s="553">
        <f t="shared" si="141"/>
        <v>0</v>
      </c>
      <c r="O204" s="553">
        <f t="shared" si="137"/>
        <v>0</v>
      </c>
      <c r="P204" s="553"/>
      <c r="Q204" s="553">
        <f t="shared" si="138"/>
        <v>0</v>
      </c>
      <c r="R204" s="553">
        <f t="shared" si="142"/>
        <v>5</v>
      </c>
      <c r="S204" s="553">
        <f t="shared" si="139"/>
        <v>187.75</v>
      </c>
      <c r="T204" s="553">
        <f>+R204</f>
        <v>5</v>
      </c>
      <c r="U204" s="553">
        <f t="shared" si="140"/>
        <v>187.75</v>
      </c>
      <c r="V204" s="553"/>
      <c r="Y204" s="1147">
        <v>0</v>
      </c>
      <c r="AA204" s="1146"/>
    </row>
    <row r="205" spans="2:27" ht="21" customHeight="1" x14ac:dyDescent="0.25">
      <c r="B205" s="554">
        <v>4.0599999999999987</v>
      </c>
      <c r="C205" s="584" t="e">
        <f t="shared" si="126"/>
        <v>#REF!</v>
      </c>
      <c r="D205" s="495" t="s">
        <v>647</v>
      </c>
      <c r="E205" s="496"/>
      <c r="F205" s="497"/>
      <c r="G205" s="530" t="s">
        <v>18</v>
      </c>
      <c r="H205" s="553">
        <v>110.21</v>
      </c>
      <c r="I205" s="553"/>
      <c r="J205" s="553">
        <v>6</v>
      </c>
      <c r="K205" s="553">
        <f t="shared" si="135"/>
        <v>661.26</v>
      </c>
      <c r="L205" s="553">
        <f>+[192]Metrado!E200</f>
        <v>8</v>
      </c>
      <c r="M205" s="553">
        <f t="shared" si="136"/>
        <v>881.68</v>
      </c>
      <c r="N205" s="553">
        <f t="shared" si="141"/>
        <v>2</v>
      </c>
      <c r="O205" s="553">
        <f t="shared" si="137"/>
        <v>220.42</v>
      </c>
      <c r="P205" s="553"/>
      <c r="Q205" s="553">
        <f t="shared" si="138"/>
        <v>0</v>
      </c>
      <c r="R205" s="553">
        <f t="shared" si="142"/>
        <v>0</v>
      </c>
      <c r="S205" s="553">
        <f t="shared" si="139"/>
        <v>0</v>
      </c>
      <c r="T205" s="553"/>
      <c r="U205" s="553">
        <f t="shared" si="140"/>
        <v>0</v>
      </c>
      <c r="V205" s="553"/>
      <c r="Y205" s="1147">
        <v>0</v>
      </c>
      <c r="AA205" s="1146"/>
    </row>
    <row r="206" spans="2:27" ht="21" customHeight="1" x14ac:dyDescent="0.25">
      <c r="B206" s="554">
        <v>4.0699999999999985</v>
      </c>
      <c r="C206" s="584" t="e">
        <f t="shared" si="126"/>
        <v>#REF!</v>
      </c>
      <c r="D206" s="495" t="s">
        <v>648</v>
      </c>
      <c r="E206" s="496"/>
      <c r="F206" s="497"/>
      <c r="G206" s="530" t="s">
        <v>18</v>
      </c>
      <c r="H206" s="553">
        <v>102.97</v>
      </c>
      <c r="I206" s="553"/>
      <c r="J206" s="553">
        <v>1</v>
      </c>
      <c r="K206" s="553">
        <f t="shared" si="135"/>
        <v>102.97</v>
      </c>
      <c r="L206" s="553">
        <f>+[192]Metrado!E201</f>
        <v>0</v>
      </c>
      <c r="M206" s="553">
        <f t="shared" si="136"/>
        <v>0</v>
      </c>
      <c r="N206" s="553">
        <f t="shared" si="141"/>
        <v>0</v>
      </c>
      <c r="O206" s="553">
        <f t="shared" si="137"/>
        <v>0</v>
      </c>
      <c r="P206" s="553"/>
      <c r="Q206" s="553">
        <f t="shared" si="138"/>
        <v>0</v>
      </c>
      <c r="R206" s="553">
        <f t="shared" si="142"/>
        <v>1</v>
      </c>
      <c r="S206" s="553">
        <f t="shared" si="139"/>
        <v>102.97</v>
      </c>
      <c r="T206" s="553">
        <f>+R206</f>
        <v>1</v>
      </c>
      <c r="U206" s="553">
        <f t="shared" si="140"/>
        <v>102.97</v>
      </c>
      <c r="V206" s="553"/>
      <c r="Y206" s="1147">
        <v>0</v>
      </c>
      <c r="AA206" s="1146"/>
    </row>
    <row r="207" spans="2:27" ht="21" customHeight="1" x14ac:dyDescent="0.25">
      <c r="B207" s="554">
        <v>4.0799999999999983</v>
      </c>
      <c r="C207" s="584" t="e">
        <f t="shared" si="126"/>
        <v>#REF!</v>
      </c>
      <c r="D207" s="495" t="s">
        <v>554</v>
      </c>
      <c r="E207" s="496"/>
      <c r="F207" s="497"/>
      <c r="G207" s="530" t="s">
        <v>18</v>
      </c>
      <c r="H207" s="553">
        <v>50.37</v>
      </c>
      <c r="I207" s="553"/>
      <c r="J207" s="553">
        <v>13</v>
      </c>
      <c r="K207" s="553">
        <f t="shared" si="135"/>
        <v>654.80999999999995</v>
      </c>
      <c r="L207" s="553">
        <f>+[192]Metrado!E202</f>
        <v>17</v>
      </c>
      <c r="M207" s="553">
        <f t="shared" si="136"/>
        <v>856.29</v>
      </c>
      <c r="N207" s="553">
        <f t="shared" si="141"/>
        <v>4</v>
      </c>
      <c r="O207" s="553">
        <f t="shared" si="137"/>
        <v>201.48</v>
      </c>
      <c r="P207" s="553"/>
      <c r="Q207" s="553">
        <f t="shared" si="138"/>
        <v>0</v>
      </c>
      <c r="R207" s="553">
        <f t="shared" si="142"/>
        <v>0</v>
      </c>
      <c r="S207" s="553">
        <f t="shared" si="139"/>
        <v>0</v>
      </c>
      <c r="T207" s="553"/>
      <c r="U207" s="553">
        <f t="shared" si="140"/>
        <v>0</v>
      </c>
      <c r="V207" s="553"/>
      <c r="Y207" s="1147">
        <v>0</v>
      </c>
      <c r="Z207" s="547"/>
      <c r="AA207" s="1146"/>
    </row>
    <row r="208" spans="2:27" ht="21" customHeight="1" x14ac:dyDescent="0.25">
      <c r="B208" s="554">
        <v>4.0899999999999981</v>
      </c>
      <c r="C208" s="584" t="e">
        <f t="shared" si="126"/>
        <v>#REF!</v>
      </c>
      <c r="D208" s="495" t="s">
        <v>649</v>
      </c>
      <c r="E208" s="513"/>
      <c r="F208" s="499"/>
      <c r="G208" s="530" t="s">
        <v>18</v>
      </c>
      <c r="H208" s="553">
        <v>295.25</v>
      </c>
      <c r="I208" s="553"/>
      <c r="J208" s="553">
        <v>13</v>
      </c>
      <c r="K208" s="553">
        <f t="shared" si="135"/>
        <v>3838.25</v>
      </c>
      <c r="L208" s="553">
        <f>+[192]Metrado!E203</f>
        <v>6</v>
      </c>
      <c r="M208" s="553">
        <f t="shared" si="136"/>
        <v>1771.5</v>
      </c>
      <c r="N208" s="553">
        <f t="shared" si="141"/>
        <v>0</v>
      </c>
      <c r="O208" s="553">
        <f t="shared" si="137"/>
        <v>0</v>
      </c>
      <c r="P208" s="553"/>
      <c r="Q208" s="553">
        <f t="shared" si="138"/>
        <v>0</v>
      </c>
      <c r="R208" s="553">
        <f t="shared" si="142"/>
        <v>7</v>
      </c>
      <c r="S208" s="553">
        <f t="shared" si="139"/>
        <v>2066.75</v>
      </c>
      <c r="T208" s="553">
        <f>+R208</f>
        <v>7</v>
      </c>
      <c r="U208" s="553">
        <f t="shared" si="140"/>
        <v>2066.75</v>
      </c>
      <c r="V208" s="553"/>
      <c r="Y208" s="1147">
        <v>0</v>
      </c>
      <c r="Z208" s="547"/>
      <c r="AA208" s="1146"/>
    </row>
    <row r="209" spans="2:27" ht="21" customHeight="1" x14ac:dyDescent="0.25">
      <c r="B209" s="554">
        <v>4.0999999999999979</v>
      </c>
      <c r="C209" s="584" t="e">
        <f>+C109+1</f>
        <v>#REF!</v>
      </c>
      <c r="D209" s="495" t="s">
        <v>650</v>
      </c>
      <c r="E209" s="511"/>
      <c r="F209" s="512"/>
      <c r="G209" s="530" t="s">
        <v>18</v>
      </c>
      <c r="H209" s="553">
        <v>306.70999999999998</v>
      </c>
      <c r="I209" s="553"/>
      <c r="J209" s="553">
        <v>5</v>
      </c>
      <c r="K209" s="553">
        <f t="shared" si="135"/>
        <v>1533.55</v>
      </c>
      <c r="L209" s="553">
        <f>+[192]Metrado!E204</f>
        <v>5</v>
      </c>
      <c r="M209" s="553">
        <f t="shared" si="136"/>
        <v>1533.55</v>
      </c>
      <c r="N209" s="553">
        <f t="shared" si="141"/>
        <v>0</v>
      </c>
      <c r="O209" s="553">
        <f t="shared" si="137"/>
        <v>0</v>
      </c>
      <c r="P209" s="553"/>
      <c r="Q209" s="553">
        <f t="shared" si="138"/>
        <v>0</v>
      </c>
      <c r="R209" s="553">
        <f t="shared" si="142"/>
        <v>0</v>
      </c>
      <c r="S209" s="553">
        <f t="shared" si="139"/>
        <v>0</v>
      </c>
      <c r="T209" s="553"/>
      <c r="U209" s="553">
        <f t="shared" si="140"/>
        <v>0</v>
      </c>
      <c r="V209" s="553"/>
      <c r="Y209" s="1147">
        <v>0</v>
      </c>
      <c r="Z209" s="547"/>
      <c r="AA209" s="1146"/>
    </row>
    <row r="210" spans="2:27" s="547" customFormat="1" ht="21" customHeight="1" x14ac:dyDescent="0.25">
      <c r="B210" s="559">
        <v>4.1099999999999977</v>
      </c>
      <c r="C210" s="577" t="e">
        <f>+#REF!+1</f>
        <v>#REF!</v>
      </c>
      <c r="D210" s="516" t="s">
        <v>800</v>
      </c>
      <c r="E210" s="646"/>
      <c r="F210" s="636"/>
      <c r="G210" s="531" t="s">
        <v>18</v>
      </c>
      <c r="H210" s="560"/>
      <c r="I210" s="560">
        <f>+H203*1.5</f>
        <v>46.814999999999998</v>
      </c>
      <c r="J210" s="560"/>
      <c r="K210" s="560">
        <f t="shared" si="135"/>
        <v>0</v>
      </c>
      <c r="L210" s="560">
        <f>+[192]Metrado!E205</f>
        <v>2</v>
      </c>
      <c r="M210" s="560">
        <f t="shared" ref="M210:M217" si="143">+ROUND($I210*L210,2)</f>
        <v>93.63</v>
      </c>
      <c r="N210" s="560"/>
      <c r="O210" s="560">
        <f t="shared" si="137"/>
        <v>0</v>
      </c>
      <c r="P210" s="560">
        <f t="shared" ref="P210:P217" si="144">+L210</f>
        <v>2</v>
      </c>
      <c r="Q210" s="560">
        <f t="shared" ref="Q210:Q217" si="145">+ROUND($I210*P210,2)</f>
        <v>93.63</v>
      </c>
      <c r="R210" s="560"/>
      <c r="S210" s="560">
        <f t="shared" si="139"/>
        <v>0</v>
      </c>
      <c r="T210" s="560"/>
      <c r="U210" s="560">
        <f t="shared" si="140"/>
        <v>0</v>
      </c>
      <c r="V210" s="560"/>
      <c r="Y210" s="1149">
        <v>0</v>
      </c>
      <c r="AA210" s="1146"/>
    </row>
    <row r="211" spans="2:27" s="547" customFormat="1" ht="21" customHeight="1" x14ac:dyDescent="0.25">
      <c r="B211" s="559">
        <v>4.1199999999999974</v>
      </c>
      <c r="C211" s="577" t="e">
        <f>+#REF!+1</f>
        <v>#REF!</v>
      </c>
      <c r="D211" s="516" t="s">
        <v>801</v>
      </c>
      <c r="E211" s="646"/>
      <c r="F211" s="636"/>
      <c r="G211" s="531" t="s">
        <v>18</v>
      </c>
      <c r="H211" s="560"/>
      <c r="I211" s="560">
        <f>+H200*1.3</f>
        <v>79.585999999999999</v>
      </c>
      <c r="J211" s="560"/>
      <c r="K211" s="560">
        <f t="shared" si="135"/>
        <v>0</v>
      </c>
      <c r="L211" s="560">
        <f>+[192]Metrado!E206</f>
        <v>3</v>
      </c>
      <c r="M211" s="560">
        <f t="shared" si="143"/>
        <v>238.76</v>
      </c>
      <c r="N211" s="560"/>
      <c r="O211" s="560">
        <f t="shared" si="137"/>
        <v>0</v>
      </c>
      <c r="P211" s="560">
        <f t="shared" si="144"/>
        <v>3</v>
      </c>
      <c r="Q211" s="560">
        <f t="shared" si="145"/>
        <v>238.76</v>
      </c>
      <c r="R211" s="560"/>
      <c r="S211" s="560">
        <f t="shared" si="139"/>
        <v>0</v>
      </c>
      <c r="T211" s="560"/>
      <c r="U211" s="560">
        <f t="shared" si="140"/>
        <v>0</v>
      </c>
      <c r="V211" s="560"/>
      <c r="Y211" s="1149">
        <v>0</v>
      </c>
      <c r="AA211" s="1146"/>
    </row>
    <row r="212" spans="2:27" s="547" customFormat="1" ht="21" customHeight="1" x14ac:dyDescent="0.25">
      <c r="B212" s="559">
        <v>4.1299999999999972</v>
      </c>
      <c r="C212" s="577" t="e">
        <f>+#REF!+1</f>
        <v>#REF!</v>
      </c>
      <c r="D212" s="516" t="s">
        <v>802</v>
      </c>
      <c r="E212" s="646"/>
      <c r="F212" s="636"/>
      <c r="G212" s="531" t="s">
        <v>18</v>
      </c>
      <c r="H212" s="560"/>
      <c r="I212" s="560">
        <f>+H201*0.9</f>
        <v>72.333000000000013</v>
      </c>
      <c r="J212" s="560"/>
      <c r="K212" s="560">
        <f t="shared" si="135"/>
        <v>0</v>
      </c>
      <c r="L212" s="560">
        <f>+[192]Metrado!E207</f>
        <v>2</v>
      </c>
      <c r="M212" s="560">
        <f t="shared" si="143"/>
        <v>144.66999999999999</v>
      </c>
      <c r="N212" s="560"/>
      <c r="O212" s="560">
        <f t="shared" si="137"/>
        <v>0</v>
      </c>
      <c r="P212" s="560">
        <f t="shared" si="144"/>
        <v>2</v>
      </c>
      <c r="Q212" s="560">
        <f t="shared" si="145"/>
        <v>144.66999999999999</v>
      </c>
      <c r="R212" s="560"/>
      <c r="S212" s="560">
        <f t="shared" si="139"/>
        <v>0</v>
      </c>
      <c r="T212" s="560"/>
      <c r="U212" s="560">
        <f t="shared" si="140"/>
        <v>0</v>
      </c>
      <c r="V212" s="560"/>
      <c r="Y212" s="1149">
        <v>0</v>
      </c>
      <c r="AA212" s="1146"/>
    </row>
    <row r="213" spans="2:27" s="547" customFormat="1" ht="21" customHeight="1" x14ac:dyDescent="0.25">
      <c r="B213" s="559">
        <v>4.139999999999997</v>
      </c>
      <c r="C213" s="577" t="e">
        <f>+#REF!+1</f>
        <v>#REF!</v>
      </c>
      <c r="D213" s="516" t="s">
        <v>803</v>
      </c>
      <c r="E213" s="646"/>
      <c r="F213" s="636"/>
      <c r="G213" s="531" t="s">
        <v>18</v>
      </c>
      <c r="H213" s="560"/>
      <c r="I213" s="560">
        <f>+H208</f>
        <v>295.25</v>
      </c>
      <c r="J213" s="560"/>
      <c r="K213" s="560">
        <f t="shared" si="135"/>
        <v>0</v>
      </c>
      <c r="L213" s="560">
        <f>+[192]Metrado!E208</f>
        <v>2</v>
      </c>
      <c r="M213" s="560">
        <f t="shared" si="143"/>
        <v>590.5</v>
      </c>
      <c r="N213" s="560"/>
      <c r="O213" s="560">
        <f t="shared" si="137"/>
        <v>0</v>
      </c>
      <c r="P213" s="560">
        <f t="shared" si="144"/>
        <v>2</v>
      </c>
      <c r="Q213" s="560">
        <f t="shared" si="145"/>
        <v>590.5</v>
      </c>
      <c r="R213" s="560"/>
      <c r="S213" s="560">
        <f t="shared" si="139"/>
        <v>0</v>
      </c>
      <c r="T213" s="560"/>
      <c r="U213" s="560">
        <f t="shared" si="140"/>
        <v>0</v>
      </c>
      <c r="V213" s="560"/>
      <c r="Y213" s="1149">
        <v>0</v>
      </c>
      <c r="AA213" s="1146"/>
    </row>
    <row r="214" spans="2:27" s="547" customFormat="1" ht="21" customHeight="1" x14ac:dyDescent="0.25">
      <c r="B214" s="559">
        <v>4.1499999999999968</v>
      </c>
      <c r="C214" s="577" t="e">
        <f>+#REF!+1</f>
        <v>#REF!</v>
      </c>
      <c r="D214" s="516" t="s">
        <v>556</v>
      </c>
      <c r="E214" s="646"/>
      <c r="F214" s="636"/>
      <c r="G214" s="531" t="s">
        <v>18</v>
      </c>
      <c r="H214" s="560"/>
      <c r="I214" s="560">
        <f>+H204</f>
        <v>37.549999999999997</v>
      </c>
      <c r="J214" s="560"/>
      <c r="K214" s="560">
        <f t="shared" si="135"/>
        <v>0</v>
      </c>
      <c r="L214" s="560">
        <f>+[192]Metrado!E209</f>
        <v>4</v>
      </c>
      <c r="M214" s="560">
        <f t="shared" si="143"/>
        <v>150.19999999999999</v>
      </c>
      <c r="N214" s="560"/>
      <c r="O214" s="560">
        <f t="shared" si="137"/>
        <v>0</v>
      </c>
      <c r="P214" s="560">
        <f t="shared" si="144"/>
        <v>4</v>
      </c>
      <c r="Q214" s="560">
        <f t="shared" si="145"/>
        <v>150.19999999999999</v>
      </c>
      <c r="R214" s="560"/>
      <c r="S214" s="560">
        <f t="shared" si="139"/>
        <v>0</v>
      </c>
      <c r="T214" s="560"/>
      <c r="U214" s="560">
        <f t="shared" si="140"/>
        <v>0</v>
      </c>
      <c r="V214" s="560"/>
      <c r="Y214" s="1149">
        <v>0</v>
      </c>
      <c r="AA214" s="1146"/>
    </row>
    <row r="215" spans="2:27" s="547" customFormat="1" ht="21" customHeight="1" x14ac:dyDescent="0.25">
      <c r="B215" s="559">
        <v>4.1599999999999966</v>
      </c>
      <c r="C215" s="577" t="e">
        <f>+#REF!+1</f>
        <v>#REF!</v>
      </c>
      <c r="D215" s="516" t="s">
        <v>804</v>
      </c>
      <c r="E215" s="646"/>
      <c r="F215" s="636"/>
      <c r="G215" s="531" t="s">
        <v>18</v>
      </c>
      <c r="H215" s="560"/>
      <c r="I215" s="560">
        <f>+H200*1.5</f>
        <v>91.83</v>
      </c>
      <c r="J215" s="560"/>
      <c r="K215" s="560">
        <f t="shared" si="135"/>
        <v>0</v>
      </c>
      <c r="L215" s="560">
        <f>+[192]Metrado!E210</f>
        <v>3</v>
      </c>
      <c r="M215" s="560">
        <f t="shared" si="143"/>
        <v>275.49</v>
      </c>
      <c r="N215" s="560"/>
      <c r="O215" s="560">
        <f t="shared" si="137"/>
        <v>0</v>
      </c>
      <c r="P215" s="560">
        <f t="shared" si="144"/>
        <v>3</v>
      </c>
      <c r="Q215" s="560">
        <f t="shared" si="145"/>
        <v>275.49</v>
      </c>
      <c r="R215" s="560"/>
      <c r="S215" s="560">
        <f t="shared" si="139"/>
        <v>0</v>
      </c>
      <c r="T215" s="560"/>
      <c r="U215" s="560">
        <f t="shared" si="140"/>
        <v>0</v>
      </c>
      <c r="V215" s="560"/>
      <c r="Y215" s="1149">
        <v>0</v>
      </c>
      <c r="Z215" s="414"/>
      <c r="AA215" s="1146"/>
    </row>
    <row r="216" spans="2:27" s="547" customFormat="1" ht="21" customHeight="1" x14ac:dyDescent="0.25">
      <c r="B216" s="559">
        <v>4.1699999999999964</v>
      </c>
      <c r="C216" s="577" t="e">
        <f>+C209+1</f>
        <v>#REF!</v>
      </c>
      <c r="D216" s="516" t="s">
        <v>805</v>
      </c>
      <c r="E216" s="646"/>
      <c r="F216" s="636"/>
      <c r="G216" s="596" t="s">
        <v>18</v>
      </c>
      <c r="H216" s="640"/>
      <c r="I216" s="640">
        <f>+H208</f>
        <v>295.25</v>
      </c>
      <c r="J216" s="560"/>
      <c r="K216" s="560">
        <f t="shared" si="135"/>
        <v>0</v>
      </c>
      <c r="L216" s="560">
        <f>+[192]Metrado!E211</f>
        <v>2</v>
      </c>
      <c r="M216" s="560">
        <f t="shared" si="143"/>
        <v>590.5</v>
      </c>
      <c r="N216" s="560"/>
      <c r="O216" s="560">
        <f t="shared" si="137"/>
        <v>0</v>
      </c>
      <c r="P216" s="560">
        <f t="shared" si="144"/>
        <v>2</v>
      </c>
      <c r="Q216" s="560">
        <f t="shared" si="145"/>
        <v>590.5</v>
      </c>
      <c r="R216" s="640"/>
      <c r="S216" s="560">
        <f t="shared" si="139"/>
        <v>0</v>
      </c>
      <c r="T216" s="640"/>
      <c r="U216" s="560">
        <f t="shared" si="140"/>
        <v>0</v>
      </c>
      <c r="V216" s="640"/>
      <c r="Y216" s="1149">
        <v>0</v>
      </c>
      <c r="Z216" s="414"/>
      <c r="AA216" s="1146"/>
    </row>
    <row r="217" spans="2:27" s="547" customFormat="1" ht="21" hidden="1" customHeight="1" x14ac:dyDescent="0.25">
      <c r="B217" s="559">
        <v>4.18</v>
      </c>
      <c r="C217" s="577" t="e">
        <f>+C210+1</f>
        <v>#REF!</v>
      </c>
      <c r="D217" s="516"/>
      <c r="E217" s="646"/>
      <c r="F217" s="636"/>
      <c r="G217" s="596" t="s">
        <v>18</v>
      </c>
      <c r="H217" s="640"/>
      <c r="I217" s="640"/>
      <c r="J217" s="560"/>
      <c r="K217" s="560">
        <f t="shared" si="135"/>
        <v>0</v>
      </c>
      <c r="L217" s="553">
        <f>+[192]Metrado!E212</f>
        <v>0</v>
      </c>
      <c r="M217" s="560">
        <f t="shared" si="143"/>
        <v>0</v>
      </c>
      <c r="N217" s="560"/>
      <c r="O217" s="560">
        <f t="shared" si="137"/>
        <v>0</v>
      </c>
      <c r="P217" s="560">
        <f t="shared" si="144"/>
        <v>0</v>
      </c>
      <c r="Q217" s="560">
        <f t="shared" si="145"/>
        <v>0</v>
      </c>
      <c r="R217" s="640"/>
      <c r="S217" s="560">
        <f t="shared" si="139"/>
        <v>0</v>
      </c>
      <c r="T217" s="640"/>
      <c r="U217" s="560">
        <f t="shared" si="140"/>
        <v>0</v>
      </c>
      <c r="V217" s="640"/>
      <c r="Y217" s="1147">
        <v>0</v>
      </c>
      <c r="Z217" s="414"/>
      <c r="AA217" s="1146"/>
    </row>
    <row r="218" spans="2:27" ht="21" customHeight="1" x14ac:dyDescent="0.25">
      <c r="B218" s="598"/>
      <c r="C218" s="575" t="e">
        <f t="shared" si="126"/>
        <v>#REF!</v>
      </c>
      <c r="D218" s="542"/>
      <c r="E218" s="599"/>
      <c r="F218" s="544" t="str">
        <f>+"SUB-TOTAL   "&amp;B199&amp;":  "</f>
        <v xml:space="preserve">SUB-TOTAL   4:  </v>
      </c>
      <c r="G218" s="567"/>
      <c r="H218" s="540"/>
      <c r="I218" s="540"/>
      <c r="J218" s="540"/>
      <c r="K218" s="610">
        <f>+SUM(K200:K217)</f>
        <v>8271.9499999999989</v>
      </c>
      <c r="L218" s="540"/>
      <c r="M218" s="610">
        <f>+SUM(M200:M217)</f>
        <v>8126.47</v>
      </c>
      <c r="N218" s="540"/>
      <c r="O218" s="610">
        <f>+SUM(O200:O217)</f>
        <v>564.69000000000005</v>
      </c>
      <c r="P218" s="540"/>
      <c r="Q218" s="610">
        <f>+SUM(Q200:Q217)</f>
        <v>2083.75</v>
      </c>
      <c r="R218" s="540"/>
      <c r="S218" s="610">
        <f>+SUM(S200:S217)</f>
        <v>2793.92</v>
      </c>
      <c r="T218" s="540"/>
      <c r="U218" s="610">
        <f>+SUM(U200:U217)</f>
        <v>2793.92</v>
      </c>
      <c r="V218" s="540"/>
      <c r="Y218" s="1147">
        <v>0</v>
      </c>
      <c r="AA218" s="1146"/>
    </row>
    <row r="219" spans="2:27" ht="21" customHeight="1" x14ac:dyDescent="0.25">
      <c r="B219" s="439">
        <v>5</v>
      </c>
      <c r="C219" s="480" t="e">
        <f>+C109+1</f>
        <v>#REF!</v>
      </c>
      <c r="D219" s="441" t="s">
        <v>540</v>
      </c>
      <c r="E219" s="486"/>
      <c r="F219" s="461"/>
      <c r="G219" s="440"/>
      <c r="H219" s="438"/>
      <c r="I219" s="438"/>
      <c r="J219" s="438"/>
      <c r="K219" s="600"/>
      <c r="L219" s="756"/>
      <c r="M219" s="600"/>
      <c r="N219" s="536"/>
      <c r="O219" s="600"/>
      <c r="P219" s="536"/>
      <c r="Q219" s="600"/>
      <c r="R219" s="536"/>
      <c r="S219" s="600"/>
      <c r="T219" s="536"/>
      <c r="U219" s="600"/>
      <c r="V219" s="536"/>
      <c r="Y219" s="1147">
        <v>0</v>
      </c>
      <c r="AA219" s="1146"/>
    </row>
    <row r="220" spans="2:27" ht="21" customHeight="1" x14ac:dyDescent="0.25">
      <c r="B220" s="554">
        <v>5.01</v>
      </c>
      <c r="C220" s="584" t="e">
        <f t="shared" si="126"/>
        <v>#REF!</v>
      </c>
      <c r="D220" s="495" t="s">
        <v>539</v>
      </c>
      <c r="E220" s="511"/>
      <c r="F220" s="512"/>
      <c r="G220" s="530" t="s">
        <v>12</v>
      </c>
      <c r="H220" s="553">
        <v>1416.22</v>
      </c>
      <c r="I220" s="553"/>
      <c r="J220" s="553">
        <v>3.51</v>
      </c>
      <c r="K220" s="553">
        <f t="shared" ref="K220" si="146">+ROUND($H220*J220,2)</f>
        <v>4970.93</v>
      </c>
      <c r="L220" s="553">
        <f>+[192]Metrado!E215</f>
        <v>3.9891797999999996</v>
      </c>
      <c r="M220" s="553">
        <f t="shared" ref="M220" si="147">+ROUND($H220*L220,2)</f>
        <v>5649.56</v>
      </c>
      <c r="N220" s="553">
        <f>+IF($L220-$J220&gt;=0,$L220-$J220,0)</f>
        <v>0.47917979999999982</v>
      </c>
      <c r="O220" s="553">
        <f t="shared" ref="O220" si="148">+ROUND($H220*N220,2)</f>
        <v>678.62</v>
      </c>
      <c r="P220" s="553"/>
      <c r="Q220" s="553">
        <f t="shared" ref="Q220" si="149">+ROUND($H220*P220,2)</f>
        <v>0</v>
      </c>
      <c r="R220" s="553">
        <f>+IF($L220-$J220&lt;=0,-$L220+$J220,0)</f>
        <v>0</v>
      </c>
      <c r="S220" s="553">
        <f t="shared" ref="S220" si="150">+ROUND($H220*R220,2)</f>
        <v>0</v>
      </c>
      <c r="T220" s="553"/>
      <c r="U220" s="553">
        <f t="shared" ref="U220" si="151">+ROUND($H220*T220,2)</f>
        <v>0</v>
      </c>
      <c r="V220" s="553"/>
      <c r="Y220" s="1147">
        <v>0</v>
      </c>
      <c r="AA220" s="1146"/>
    </row>
    <row r="221" spans="2:27" ht="21" customHeight="1" x14ac:dyDescent="0.25">
      <c r="B221" s="598"/>
      <c r="C221" s="575" t="e">
        <f>+#REF!+1</f>
        <v>#REF!</v>
      </c>
      <c r="D221" s="542"/>
      <c r="E221" s="599"/>
      <c r="F221" s="544" t="str">
        <f>+"SUB-TOTAL   "&amp;B219&amp;":  "</f>
        <v xml:space="preserve">SUB-TOTAL   5:  </v>
      </c>
      <c r="G221" s="567"/>
      <c r="H221" s="540"/>
      <c r="I221" s="540"/>
      <c r="J221" s="540"/>
      <c r="K221" s="610">
        <f>+SUM(K220:K220)</f>
        <v>4970.93</v>
      </c>
      <c r="L221" s="540"/>
      <c r="M221" s="610">
        <f>+SUM(M220:M220)</f>
        <v>5649.56</v>
      </c>
      <c r="N221" s="540"/>
      <c r="O221" s="610">
        <f>+SUM(O220:O220)</f>
        <v>678.62</v>
      </c>
      <c r="P221" s="540"/>
      <c r="Q221" s="610">
        <f>+SUM(Q220:Q220)</f>
        <v>0</v>
      </c>
      <c r="R221" s="540"/>
      <c r="S221" s="610">
        <f>+SUM(S220:S220)</f>
        <v>0</v>
      </c>
      <c r="T221" s="540"/>
      <c r="U221" s="610">
        <f>+SUM(U220:U220)</f>
        <v>0</v>
      </c>
      <c r="V221" s="540"/>
      <c r="Y221" s="1147">
        <v>0</v>
      </c>
      <c r="AA221" s="1146"/>
    </row>
    <row r="222" spans="2:27" ht="21" customHeight="1" x14ac:dyDescent="0.25">
      <c r="B222" s="439">
        <v>6</v>
      </c>
      <c r="C222" s="480" t="e">
        <f>+C109+1</f>
        <v>#REF!</v>
      </c>
      <c r="D222" s="441" t="s">
        <v>33</v>
      </c>
      <c r="E222" s="486"/>
      <c r="F222" s="461"/>
      <c r="G222" s="440"/>
      <c r="H222" s="438"/>
      <c r="I222" s="438"/>
      <c r="J222" s="438"/>
      <c r="K222" s="600"/>
      <c r="L222" s="756"/>
      <c r="M222" s="600"/>
      <c r="N222" s="536"/>
      <c r="O222" s="600"/>
      <c r="P222" s="536"/>
      <c r="Q222" s="600"/>
      <c r="R222" s="536"/>
      <c r="S222" s="600"/>
      <c r="T222" s="536"/>
      <c r="U222" s="600"/>
      <c r="V222" s="536"/>
      <c r="Y222" s="1147">
        <v>0</v>
      </c>
      <c r="AA222" s="1146"/>
    </row>
    <row r="223" spans="2:27" ht="21" customHeight="1" x14ac:dyDescent="0.25">
      <c r="B223" s="554">
        <v>6.01</v>
      </c>
      <c r="C223" s="584" t="e">
        <f t="shared" si="126"/>
        <v>#REF!</v>
      </c>
      <c r="D223" s="495" t="s">
        <v>537</v>
      </c>
      <c r="E223" s="511"/>
      <c r="F223" s="512"/>
      <c r="G223" s="530" t="s">
        <v>642</v>
      </c>
      <c r="H223" s="553">
        <v>61.15</v>
      </c>
      <c r="I223" s="553"/>
      <c r="J223" s="553">
        <v>101.09000000000005</v>
      </c>
      <c r="K223" s="553">
        <f t="shared" ref="K223:K229" si="152">+ROUND($H223*J223,2)</f>
        <v>6181.65</v>
      </c>
      <c r="L223" s="553">
        <f>+[192]Metrado!E218</f>
        <v>71.245999999999995</v>
      </c>
      <c r="M223" s="553">
        <f t="shared" ref="M223:M229" si="153">+ROUND($H223*L223,2)</f>
        <v>4356.6899999999996</v>
      </c>
      <c r="N223" s="553">
        <f>+IF($L223-$J223&gt;=0,$L223-$J223,0)</f>
        <v>0</v>
      </c>
      <c r="O223" s="553">
        <f t="shared" ref="O223:O229" si="154">+ROUND($H223*N223,2)</f>
        <v>0</v>
      </c>
      <c r="P223" s="553"/>
      <c r="Q223" s="553">
        <f t="shared" ref="Q223:Q229" si="155">+ROUND($H223*P223,2)</f>
        <v>0</v>
      </c>
      <c r="R223" s="553">
        <f>+IF($L223-$J223&lt;=0,-$L223+$J223,0)</f>
        <v>29.844000000000051</v>
      </c>
      <c r="S223" s="553">
        <f t="shared" ref="S223:S229" si="156">+ROUND($H223*R223,2)</f>
        <v>1824.96</v>
      </c>
      <c r="T223" s="553"/>
      <c r="U223" s="553">
        <f t="shared" ref="U223:U229" si="157">+ROUND($H223*T223,2)</f>
        <v>0</v>
      </c>
      <c r="V223" s="553"/>
      <c r="X223" s="1142"/>
      <c r="Y223" s="1147">
        <v>0</v>
      </c>
      <c r="AA223" s="1146"/>
    </row>
    <row r="224" spans="2:27" ht="21" customHeight="1" x14ac:dyDescent="0.25">
      <c r="B224" s="554">
        <v>6.02</v>
      </c>
      <c r="C224" s="576" t="e">
        <f t="shared" si="126"/>
        <v>#REF!</v>
      </c>
      <c r="D224" s="495" t="s">
        <v>536</v>
      </c>
      <c r="E224" s="496"/>
      <c r="F224" s="497"/>
      <c r="G224" s="530" t="s">
        <v>642</v>
      </c>
      <c r="H224" s="553">
        <v>208.14</v>
      </c>
      <c r="I224" s="553"/>
      <c r="J224" s="553">
        <v>14.31</v>
      </c>
      <c r="K224" s="553">
        <f t="shared" si="152"/>
        <v>2978.48</v>
      </c>
      <c r="L224" s="553">
        <f>+[192]Metrado!E219</f>
        <v>5.0890000000000004</v>
      </c>
      <c r="M224" s="553">
        <f t="shared" si="153"/>
        <v>1059.22</v>
      </c>
      <c r="N224" s="553">
        <f t="shared" ref="N224:N229" si="158">+IF($L224-$J224&gt;=0,$L224-$J224,0)</f>
        <v>0</v>
      </c>
      <c r="O224" s="553">
        <f t="shared" si="154"/>
        <v>0</v>
      </c>
      <c r="P224" s="553"/>
      <c r="Q224" s="553">
        <f t="shared" si="155"/>
        <v>0</v>
      </c>
      <c r="R224" s="553">
        <f t="shared" ref="R224:R229" si="159">+IF($L224-$J224&lt;=0,-$L224+$J224,0)</f>
        <v>9.2210000000000001</v>
      </c>
      <c r="S224" s="553">
        <f t="shared" si="156"/>
        <v>1919.26</v>
      </c>
      <c r="T224" s="553"/>
      <c r="U224" s="553">
        <f t="shared" si="157"/>
        <v>0</v>
      </c>
      <c r="V224" s="553"/>
      <c r="X224" s="1145"/>
      <c r="Y224" s="1147">
        <v>0</v>
      </c>
      <c r="AA224" s="1146"/>
    </row>
    <row r="225" spans="2:27" ht="21" customHeight="1" x14ac:dyDescent="0.25">
      <c r="B225" s="554">
        <v>6.0299999999999994</v>
      </c>
      <c r="C225" s="576" t="e">
        <f t="shared" si="126"/>
        <v>#REF!</v>
      </c>
      <c r="D225" s="495" t="s">
        <v>535</v>
      </c>
      <c r="E225" s="496"/>
      <c r="F225" s="497"/>
      <c r="G225" s="530" t="s">
        <v>11</v>
      </c>
      <c r="H225" s="553">
        <v>39.47</v>
      </c>
      <c r="I225" s="553"/>
      <c r="J225" s="553">
        <v>18</v>
      </c>
      <c r="K225" s="553">
        <f t="shared" si="152"/>
        <v>710.46</v>
      </c>
      <c r="L225" s="553">
        <f>+[192]Metrado!E220</f>
        <v>29</v>
      </c>
      <c r="M225" s="553">
        <f t="shared" si="153"/>
        <v>1144.6300000000001</v>
      </c>
      <c r="N225" s="553">
        <f t="shared" si="158"/>
        <v>11</v>
      </c>
      <c r="O225" s="553">
        <f t="shared" si="154"/>
        <v>434.17</v>
      </c>
      <c r="P225" s="553"/>
      <c r="Q225" s="553">
        <f t="shared" si="155"/>
        <v>0</v>
      </c>
      <c r="R225" s="553">
        <f t="shared" si="159"/>
        <v>0</v>
      </c>
      <c r="S225" s="553">
        <f t="shared" si="156"/>
        <v>0</v>
      </c>
      <c r="T225" s="553"/>
      <c r="U225" s="553">
        <f t="shared" si="157"/>
        <v>0</v>
      </c>
      <c r="V225" s="553"/>
      <c r="Y225" s="1147">
        <v>0</v>
      </c>
      <c r="AA225" s="1146"/>
    </row>
    <row r="226" spans="2:27" ht="21" customHeight="1" x14ac:dyDescent="0.25">
      <c r="B226" s="554">
        <v>6.0399999999999991</v>
      </c>
      <c r="C226" s="576" t="e">
        <f t="shared" si="126"/>
        <v>#REF!</v>
      </c>
      <c r="D226" s="495" t="s">
        <v>651</v>
      </c>
      <c r="E226" s="513"/>
      <c r="F226" s="499"/>
      <c r="G226" s="530" t="s">
        <v>11</v>
      </c>
      <c r="H226" s="553">
        <v>99.81</v>
      </c>
      <c r="I226" s="553"/>
      <c r="J226" s="553">
        <v>5</v>
      </c>
      <c r="K226" s="553">
        <f t="shared" si="152"/>
        <v>499.05</v>
      </c>
      <c r="L226" s="553">
        <f>+[192]Metrado!E221</f>
        <v>0</v>
      </c>
      <c r="M226" s="553">
        <f t="shared" si="153"/>
        <v>0</v>
      </c>
      <c r="N226" s="553">
        <f t="shared" si="158"/>
        <v>0</v>
      </c>
      <c r="O226" s="553">
        <f t="shared" si="154"/>
        <v>0</v>
      </c>
      <c r="P226" s="557"/>
      <c r="Q226" s="553">
        <f t="shared" si="155"/>
        <v>0</v>
      </c>
      <c r="R226" s="553">
        <f t="shared" si="159"/>
        <v>5</v>
      </c>
      <c r="S226" s="553">
        <f t="shared" si="156"/>
        <v>499.05</v>
      </c>
      <c r="T226" s="553">
        <f>+N227</f>
        <v>4</v>
      </c>
      <c r="U226" s="553">
        <f t="shared" si="157"/>
        <v>399.24</v>
      </c>
      <c r="V226" s="553" t="s">
        <v>850</v>
      </c>
      <c r="Y226" s="1147">
        <v>0</v>
      </c>
      <c r="AA226" s="1146"/>
    </row>
    <row r="227" spans="2:27" ht="21" customHeight="1" x14ac:dyDescent="0.25">
      <c r="B227" s="554">
        <v>6.0499999999999989</v>
      </c>
      <c r="C227" s="584" t="e">
        <f>+C104+1</f>
        <v>#REF!</v>
      </c>
      <c r="D227" s="495" t="s">
        <v>652</v>
      </c>
      <c r="E227" s="511"/>
      <c r="F227" s="512"/>
      <c r="G227" s="530" t="s">
        <v>11</v>
      </c>
      <c r="H227" s="553">
        <v>143.37</v>
      </c>
      <c r="I227" s="553"/>
      <c r="J227" s="553">
        <v>11</v>
      </c>
      <c r="K227" s="553">
        <f t="shared" si="152"/>
        <v>1577.07</v>
      </c>
      <c r="L227" s="553">
        <f>+[192]Metrado!E222</f>
        <v>15</v>
      </c>
      <c r="M227" s="553">
        <f t="shared" si="153"/>
        <v>2150.5500000000002</v>
      </c>
      <c r="N227" s="553">
        <f t="shared" si="158"/>
        <v>4</v>
      </c>
      <c r="O227" s="553">
        <f t="shared" si="154"/>
        <v>573.48</v>
      </c>
      <c r="P227" s="553"/>
      <c r="Q227" s="553">
        <f t="shared" si="155"/>
        <v>0</v>
      </c>
      <c r="R227" s="553">
        <f t="shared" si="159"/>
        <v>0</v>
      </c>
      <c r="S227" s="553">
        <f t="shared" si="156"/>
        <v>0</v>
      </c>
      <c r="T227" s="553"/>
      <c r="U227" s="553">
        <f t="shared" si="157"/>
        <v>0</v>
      </c>
      <c r="V227" s="553"/>
      <c r="Y227" s="1147">
        <v>0</v>
      </c>
      <c r="AA227" s="1146"/>
    </row>
    <row r="228" spans="2:27" ht="21" customHeight="1" x14ac:dyDescent="0.25">
      <c r="B228" s="554">
        <v>6.0599999999999987</v>
      </c>
      <c r="C228" s="584" t="e">
        <f t="shared" si="126"/>
        <v>#REF!</v>
      </c>
      <c r="D228" s="495" t="s">
        <v>653</v>
      </c>
      <c r="E228" s="496"/>
      <c r="F228" s="497"/>
      <c r="G228" s="530" t="s">
        <v>11</v>
      </c>
      <c r="H228" s="553">
        <v>165.54</v>
      </c>
      <c r="I228" s="553"/>
      <c r="J228" s="553">
        <v>2</v>
      </c>
      <c r="K228" s="553">
        <f t="shared" si="152"/>
        <v>331.08</v>
      </c>
      <c r="L228" s="553">
        <f>+[192]Metrado!E223</f>
        <v>0</v>
      </c>
      <c r="M228" s="553">
        <f t="shared" si="153"/>
        <v>0</v>
      </c>
      <c r="N228" s="553">
        <f t="shared" si="158"/>
        <v>0</v>
      </c>
      <c r="O228" s="553">
        <f t="shared" si="154"/>
        <v>0</v>
      </c>
      <c r="P228" s="553"/>
      <c r="Q228" s="553">
        <f t="shared" si="155"/>
        <v>0</v>
      </c>
      <c r="R228" s="553">
        <f t="shared" si="159"/>
        <v>2</v>
      </c>
      <c r="S228" s="553">
        <f t="shared" si="156"/>
        <v>331.08</v>
      </c>
      <c r="T228" s="553"/>
      <c r="U228" s="553">
        <f t="shared" si="157"/>
        <v>0</v>
      </c>
      <c r="V228" s="553"/>
      <c r="Y228" s="1147">
        <v>0</v>
      </c>
      <c r="AA228" s="1146"/>
    </row>
    <row r="229" spans="2:27" ht="21" customHeight="1" x14ac:dyDescent="0.25">
      <c r="B229" s="554">
        <v>6.0699999999999985</v>
      </c>
      <c r="C229" s="584" t="e">
        <f t="shared" si="126"/>
        <v>#REF!</v>
      </c>
      <c r="D229" s="495" t="s">
        <v>654</v>
      </c>
      <c r="E229" s="496"/>
      <c r="F229" s="497"/>
      <c r="G229" s="530" t="s">
        <v>642</v>
      </c>
      <c r="H229" s="553">
        <v>68.819999999999993</v>
      </c>
      <c r="I229" s="553"/>
      <c r="J229" s="553">
        <v>113.37000000000003</v>
      </c>
      <c r="K229" s="553">
        <f t="shared" si="152"/>
        <v>7802.12</v>
      </c>
      <c r="L229" s="579">
        <f>+[192]Metrado!E224</f>
        <v>72.375000000000014</v>
      </c>
      <c r="M229" s="553">
        <f t="shared" si="153"/>
        <v>4980.8500000000004</v>
      </c>
      <c r="N229" s="553">
        <f t="shared" si="158"/>
        <v>0</v>
      </c>
      <c r="O229" s="553">
        <f t="shared" si="154"/>
        <v>0</v>
      </c>
      <c r="P229" s="553"/>
      <c r="Q229" s="553">
        <f t="shared" si="155"/>
        <v>0</v>
      </c>
      <c r="R229" s="553">
        <f t="shared" si="159"/>
        <v>40.995000000000019</v>
      </c>
      <c r="S229" s="553">
        <f t="shared" si="156"/>
        <v>2821.28</v>
      </c>
      <c r="T229" s="553"/>
      <c r="U229" s="553">
        <f t="shared" si="157"/>
        <v>0</v>
      </c>
      <c r="V229" s="553"/>
      <c r="Y229" s="1147">
        <v>0</v>
      </c>
      <c r="AA229" s="1146"/>
    </row>
    <row r="230" spans="2:27" ht="21" customHeight="1" x14ac:dyDescent="0.25">
      <c r="B230" s="598"/>
      <c r="C230" s="575" t="e">
        <f>+#REF!+1</f>
        <v>#REF!</v>
      </c>
      <c r="D230" s="542"/>
      <c r="E230" s="599"/>
      <c r="F230" s="544" t="str">
        <f>+"SUB-TOTAL   "&amp;B222&amp;":  "</f>
        <v xml:space="preserve">SUB-TOTAL   6:  </v>
      </c>
      <c r="G230" s="567"/>
      <c r="H230" s="540"/>
      <c r="I230" s="540"/>
      <c r="J230" s="540"/>
      <c r="K230" s="610">
        <f>+SUM(K223:K229)</f>
        <v>20079.91</v>
      </c>
      <c r="L230" s="540"/>
      <c r="M230" s="610">
        <f>+SUM(M223:M229)</f>
        <v>13691.94</v>
      </c>
      <c r="N230" s="540"/>
      <c r="O230" s="610">
        <f>+SUM(O223:O229)</f>
        <v>1007.6500000000001</v>
      </c>
      <c r="P230" s="540"/>
      <c r="Q230" s="610">
        <f>+SUM(Q223:Q229)</f>
        <v>0</v>
      </c>
      <c r="R230" s="540"/>
      <c r="S230" s="610">
        <f>+SUM(S223:S229)</f>
        <v>7395.630000000001</v>
      </c>
      <c r="T230" s="540"/>
      <c r="U230" s="610">
        <f>+SUM(U223:U229)</f>
        <v>399.24</v>
      </c>
      <c r="V230" s="540"/>
      <c r="Y230" s="1147">
        <v>0</v>
      </c>
      <c r="AA230" s="1146"/>
    </row>
    <row r="231" spans="2:27" ht="21" customHeight="1" x14ac:dyDescent="0.25">
      <c r="B231" s="439">
        <v>7</v>
      </c>
      <c r="C231" s="480" t="e">
        <f>+#REF!+1</f>
        <v>#REF!</v>
      </c>
      <c r="D231" s="441" t="s">
        <v>522</v>
      </c>
      <c r="E231" s="486"/>
      <c r="F231" s="461"/>
      <c r="G231" s="440"/>
      <c r="H231" s="438"/>
      <c r="I231" s="438"/>
      <c r="J231" s="438"/>
      <c r="K231" s="600"/>
      <c r="L231" s="756"/>
      <c r="M231" s="600"/>
      <c r="N231" s="536"/>
      <c r="O231" s="600"/>
      <c r="P231" s="536"/>
      <c r="Q231" s="600"/>
      <c r="R231" s="536"/>
      <c r="S231" s="600"/>
      <c r="T231" s="536"/>
      <c r="U231" s="600"/>
      <c r="V231" s="536"/>
      <c r="Y231" s="1147">
        <v>0</v>
      </c>
      <c r="AA231" s="1146"/>
    </row>
    <row r="232" spans="2:27" ht="21" customHeight="1" x14ac:dyDescent="0.3">
      <c r="B232" s="554">
        <v>7.01</v>
      </c>
      <c r="C232" s="584" t="e">
        <f t="shared" si="126"/>
        <v>#REF!</v>
      </c>
      <c r="D232" s="495" t="s">
        <v>655</v>
      </c>
      <c r="E232" s="511"/>
      <c r="F232" s="512"/>
      <c r="G232" s="530" t="s">
        <v>37</v>
      </c>
      <c r="H232" s="553">
        <v>350.5</v>
      </c>
      <c r="I232" s="553"/>
      <c r="J232" s="553">
        <v>18</v>
      </c>
      <c r="K232" s="553">
        <f t="shared" ref="K232:K233" si="160">+ROUND($H232*J232,2)</f>
        <v>6309</v>
      </c>
      <c r="L232" s="553">
        <f>+[192]Metrado!E227</f>
        <v>15</v>
      </c>
      <c r="M232" s="553">
        <f t="shared" ref="M232:S233" si="161">+ROUND($H232*L232,2)</f>
        <v>5257.5</v>
      </c>
      <c r="N232" s="553">
        <f>+IF($L232-$J232&gt;=0,$L232-$J232,0)</f>
        <v>0</v>
      </c>
      <c r="O232" s="553">
        <f t="shared" si="161"/>
        <v>0</v>
      </c>
      <c r="P232" s="553"/>
      <c r="Q232" s="553">
        <f t="shared" si="161"/>
        <v>0</v>
      </c>
      <c r="R232" s="553">
        <f>+IF($L232-$J232&lt;=0,-$L232+$J232,0)</f>
        <v>3</v>
      </c>
      <c r="S232" s="553">
        <f t="shared" si="161"/>
        <v>1051.5</v>
      </c>
      <c r="T232" s="553"/>
      <c r="U232" s="553">
        <f t="shared" ref="U232:U233" si="162">+ROUND($H232*T232,2)</f>
        <v>0</v>
      </c>
      <c r="V232" s="553"/>
      <c r="Y232" s="1147">
        <v>0</v>
      </c>
      <c r="Z232" s="630"/>
      <c r="AA232" s="1146"/>
    </row>
    <row r="233" spans="2:27" ht="21" customHeight="1" x14ac:dyDescent="0.25">
      <c r="B233" s="554">
        <v>7.02</v>
      </c>
      <c r="C233" s="576" t="e">
        <f t="shared" si="126"/>
        <v>#REF!</v>
      </c>
      <c r="D233" s="495" t="s">
        <v>656</v>
      </c>
      <c r="E233" s="496"/>
      <c r="F233" s="497"/>
      <c r="G233" s="530" t="s">
        <v>37</v>
      </c>
      <c r="H233" s="553">
        <v>250.25</v>
      </c>
      <c r="I233" s="553"/>
      <c r="J233" s="553">
        <v>18</v>
      </c>
      <c r="K233" s="553">
        <f t="shared" si="160"/>
        <v>4504.5</v>
      </c>
      <c r="L233" s="553">
        <f>+[192]Metrado!E228</f>
        <v>15</v>
      </c>
      <c r="M233" s="553">
        <f t="shared" si="161"/>
        <v>3753.75</v>
      </c>
      <c r="N233" s="553">
        <f t="shared" ref="N233" si="163">+IF($L233-$J233&gt;=0,$L233-$J233,0)</f>
        <v>0</v>
      </c>
      <c r="O233" s="553">
        <f t="shared" si="161"/>
        <v>0</v>
      </c>
      <c r="P233" s="553"/>
      <c r="Q233" s="553">
        <f t="shared" si="161"/>
        <v>0</v>
      </c>
      <c r="R233" s="553">
        <f t="shared" ref="R233" si="164">+IF($L233-$J233&lt;=0,-$L233+$J233,0)</f>
        <v>3</v>
      </c>
      <c r="S233" s="553">
        <f t="shared" si="161"/>
        <v>750.75</v>
      </c>
      <c r="T233" s="553"/>
      <c r="U233" s="553">
        <f t="shared" si="162"/>
        <v>0</v>
      </c>
      <c r="V233" s="553"/>
      <c r="Y233" s="1147">
        <v>0</v>
      </c>
      <c r="AA233" s="1146"/>
    </row>
    <row r="234" spans="2:27" ht="21" customHeight="1" x14ac:dyDescent="0.25">
      <c r="B234" s="598"/>
      <c r="C234" s="575" t="e">
        <f>+#REF!+1</f>
        <v>#REF!</v>
      </c>
      <c r="D234" s="542"/>
      <c r="E234" s="599"/>
      <c r="F234" s="544" t="str">
        <f>+"SUB-TOTAL   "&amp;B231&amp;":  "</f>
        <v xml:space="preserve">SUB-TOTAL   7:  </v>
      </c>
      <c r="G234" s="567"/>
      <c r="H234" s="540"/>
      <c r="I234" s="540"/>
      <c r="J234" s="540"/>
      <c r="K234" s="610">
        <f>+SUM(K232:K233)</f>
        <v>10813.5</v>
      </c>
      <c r="L234" s="540"/>
      <c r="M234" s="610">
        <f>+SUM(M232:M233)</f>
        <v>9011.25</v>
      </c>
      <c r="N234" s="540"/>
      <c r="O234" s="610">
        <f>+SUM(O232:O233)</f>
        <v>0</v>
      </c>
      <c r="P234" s="540"/>
      <c r="Q234" s="610">
        <f>+SUM(Q232:Q233)</f>
        <v>0</v>
      </c>
      <c r="R234" s="540"/>
      <c r="S234" s="610">
        <f>+SUM(S232:S233)</f>
        <v>1802.25</v>
      </c>
      <c r="T234" s="540"/>
      <c r="U234" s="610">
        <f>+SUM(U232:U233)</f>
        <v>0</v>
      </c>
      <c r="V234" s="540"/>
    </row>
    <row r="235" spans="2:27" s="630" customFormat="1" ht="54" customHeight="1" x14ac:dyDescent="0.3">
      <c r="B235" s="623"/>
      <c r="C235" s="624" t="e">
        <f>+#REF!+1</f>
        <v>#REF!</v>
      </c>
      <c r="D235" s="625" t="s">
        <v>432</v>
      </c>
      <c r="E235" s="626"/>
      <c r="F235" s="627"/>
      <c r="G235" s="628"/>
      <c r="H235" s="629"/>
      <c r="I235" s="629"/>
      <c r="J235" s="629"/>
      <c r="K235" s="629">
        <f>+K175+K190+K198+K218+K221+K230+K234</f>
        <v>85459.51999999999</v>
      </c>
      <c r="L235" s="629"/>
      <c r="M235" s="629">
        <f>+M175+M190+M198+M218+M221+M230+M234</f>
        <v>84855.489999999991</v>
      </c>
      <c r="N235" s="629"/>
      <c r="O235" s="629">
        <f>+O175+O190+O198+O218+O221+O230+O234</f>
        <v>13835.11</v>
      </c>
      <c r="P235" s="629"/>
      <c r="Q235" s="629">
        <f>+Q175+Q190+Q198+Q218+Q221+Q230+Q234</f>
        <v>4104.22</v>
      </c>
      <c r="R235" s="629"/>
      <c r="S235" s="629">
        <f>+S175+S190+S198+S218+S221+S230+S234</f>
        <v>18543.39</v>
      </c>
      <c r="T235" s="629"/>
      <c r="U235" s="629">
        <f>+U175+U190+U198+U218+U221+U230+U234</f>
        <v>8920.98</v>
      </c>
      <c r="V235" s="629"/>
    </row>
    <row r="236" spans="2:27" ht="21" customHeight="1" x14ac:dyDescent="0.25">
      <c r="B236" s="437" t="s">
        <v>90</v>
      </c>
      <c r="C236" s="479"/>
      <c r="D236" s="489" t="s">
        <v>91</v>
      </c>
      <c r="E236" s="490"/>
      <c r="F236" s="491"/>
      <c r="G236" s="529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</row>
    <row r="237" spans="2:27" ht="21" customHeight="1" x14ac:dyDescent="0.25">
      <c r="B237" s="552">
        <v>1</v>
      </c>
      <c r="C237" s="480">
        <v>3</v>
      </c>
      <c r="D237" s="740" t="s">
        <v>519</v>
      </c>
      <c r="E237" s="493"/>
      <c r="F237" s="494"/>
      <c r="G237" s="530"/>
      <c r="H237" s="553"/>
      <c r="I237" s="553"/>
      <c r="J237" s="553"/>
      <c r="K237" s="553"/>
      <c r="L237" s="553"/>
      <c r="M237" s="553"/>
      <c r="N237" s="657"/>
      <c r="O237" s="553"/>
      <c r="P237" s="553"/>
      <c r="Q237" s="553"/>
      <c r="R237" s="553"/>
      <c r="S237" s="553"/>
      <c r="T237" s="553"/>
      <c r="U237" s="553"/>
      <c r="V237" s="553"/>
    </row>
    <row r="238" spans="2:27" ht="21" customHeight="1" x14ac:dyDescent="0.25">
      <c r="B238" s="554">
        <f>+B237+0.01</f>
        <v>1.01</v>
      </c>
      <c r="C238" s="480">
        <f>+C237+1</f>
        <v>4</v>
      </c>
      <c r="D238" s="495" t="s">
        <v>518</v>
      </c>
      <c r="E238" s="496"/>
      <c r="F238" s="497"/>
      <c r="G238" s="530" t="s">
        <v>11</v>
      </c>
      <c r="H238" s="553">
        <v>5.72</v>
      </c>
      <c r="I238" s="553"/>
      <c r="J238" s="553">
        <v>13</v>
      </c>
      <c r="K238" s="553">
        <f>+ROUND($H238*J238,2)</f>
        <v>74.36</v>
      </c>
      <c r="L238" s="553">
        <f>+L18</f>
        <v>10</v>
      </c>
      <c r="M238" s="553">
        <f>+ROUND($H238*L238,2)</f>
        <v>57.2</v>
      </c>
      <c r="N238" s="553">
        <f>+IF($L238-$J238&gt;=0,$L238-$J238,0)</f>
        <v>0</v>
      </c>
      <c r="O238" s="553">
        <f>+ROUND($H238*N238,2)</f>
        <v>0</v>
      </c>
      <c r="P238" s="553"/>
      <c r="Q238" s="553">
        <f>+ROUND($H238*P238,2)</f>
        <v>0</v>
      </c>
      <c r="R238" s="553">
        <f>+IF($L238-$J238&lt;=0,-$L238+$J238,0)</f>
        <v>3</v>
      </c>
      <c r="S238" s="553">
        <f>+ROUND($H238*R238,2)</f>
        <v>17.16</v>
      </c>
      <c r="T238" s="553">
        <f>+R238</f>
        <v>3</v>
      </c>
      <c r="U238" s="553">
        <f>+ROUND($H238*T238,2)</f>
        <v>17.16</v>
      </c>
      <c r="V238" s="553" t="s">
        <v>868</v>
      </c>
    </row>
    <row r="239" spans="2:27" ht="21" customHeight="1" x14ac:dyDescent="0.25">
      <c r="B239" s="554">
        <f>+B238+0.01</f>
        <v>1.02</v>
      </c>
      <c r="C239" s="480">
        <f>+C238+1</f>
        <v>5</v>
      </c>
      <c r="D239" s="495" t="s">
        <v>348</v>
      </c>
      <c r="E239" s="496"/>
      <c r="F239" s="497"/>
      <c r="G239" s="530" t="s">
        <v>11</v>
      </c>
      <c r="H239" s="553">
        <v>2.86</v>
      </c>
      <c r="I239" s="553"/>
      <c r="J239" s="553">
        <v>2</v>
      </c>
      <c r="K239" s="553">
        <f t="shared" ref="K239:K241" si="165">+ROUND($H239*J239,2)</f>
        <v>5.72</v>
      </c>
      <c r="L239" s="553">
        <f>+L19</f>
        <v>0</v>
      </c>
      <c r="M239" s="553">
        <f t="shared" ref="M239" si="166">+ROUND($H239*L239,2)</f>
        <v>0</v>
      </c>
      <c r="N239" s="553">
        <f>+IF($L239-$J239&gt;=0,$L239-$J239,0)</f>
        <v>0</v>
      </c>
      <c r="O239" s="553">
        <f t="shared" ref="O239" si="167">+ROUND($H239*N239,2)</f>
        <v>0</v>
      </c>
      <c r="P239" s="553"/>
      <c r="Q239" s="553">
        <f t="shared" ref="Q239" si="168">+ROUND($H239*P239,2)</f>
        <v>0</v>
      </c>
      <c r="R239" s="553">
        <f>+IF($L239-$J239&lt;=0,-$L239+$J239,0)</f>
        <v>2</v>
      </c>
      <c r="S239" s="553">
        <f t="shared" ref="S239" si="169">+ROUND($H239*R239,2)</f>
        <v>5.72</v>
      </c>
      <c r="T239" s="553"/>
      <c r="U239" s="553">
        <f t="shared" ref="U239" si="170">+ROUND($H239*T239,2)</f>
        <v>0</v>
      </c>
      <c r="V239" s="553"/>
    </row>
    <row r="240" spans="2:27" s="547" customFormat="1" ht="21" customHeight="1" x14ac:dyDescent="0.25">
      <c r="B240" s="572">
        <v>1.03</v>
      </c>
      <c r="C240" s="573">
        <f t="shared" ref="C240:C241" si="171">+C239+1</f>
        <v>6</v>
      </c>
      <c r="D240" s="501" t="s">
        <v>517</v>
      </c>
      <c r="E240" s="545"/>
      <c r="F240" s="546"/>
      <c r="G240" s="531" t="s">
        <v>11</v>
      </c>
      <c r="H240" s="560"/>
      <c r="I240" s="560">
        <v>9.07</v>
      </c>
      <c r="J240" s="560"/>
      <c r="K240" s="561">
        <f t="shared" si="165"/>
        <v>0</v>
      </c>
      <c r="L240" s="560">
        <f>+L20</f>
        <v>2</v>
      </c>
      <c r="M240" s="561">
        <f>+ROUND($I240*L240,2)</f>
        <v>18.14</v>
      </c>
      <c r="N240" s="561"/>
      <c r="O240" s="561">
        <f>+ROUND($H240*N240,2)</f>
        <v>0</v>
      </c>
      <c r="P240" s="561">
        <f>+L240</f>
        <v>2</v>
      </c>
      <c r="Q240" s="561">
        <f>+ROUND($I240*P240,2)</f>
        <v>18.14</v>
      </c>
      <c r="R240" s="560"/>
      <c r="S240" s="561">
        <f>+ROUND($H240*R240,2)</f>
        <v>0</v>
      </c>
      <c r="T240" s="560"/>
      <c r="U240" s="561">
        <f>+ROUND($H240*T240,2)</f>
        <v>0</v>
      </c>
      <c r="V240" s="560"/>
    </row>
    <row r="241" spans="2:23" s="547" customFormat="1" ht="21" customHeight="1" x14ac:dyDescent="0.25">
      <c r="B241" s="572">
        <v>1.04</v>
      </c>
      <c r="C241" s="575">
        <f t="shared" si="171"/>
        <v>7</v>
      </c>
      <c r="D241" s="501" t="s">
        <v>516</v>
      </c>
      <c r="E241" s="545"/>
      <c r="F241" s="546"/>
      <c r="G241" s="564" t="s">
        <v>11</v>
      </c>
      <c r="H241" s="633"/>
      <c r="I241" s="633">
        <v>10.36</v>
      </c>
      <c r="J241" s="633"/>
      <c r="K241" s="634">
        <f t="shared" si="165"/>
        <v>0</v>
      </c>
      <c r="L241" s="560">
        <f>+L21</f>
        <v>3</v>
      </c>
      <c r="M241" s="634">
        <f>+ROUND($I241*L241,2)</f>
        <v>31.08</v>
      </c>
      <c r="N241" s="634"/>
      <c r="O241" s="634">
        <f>+ROUND($H241*N241,2)</f>
        <v>0</v>
      </c>
      <c r="P241" s="634">
        <f>+L241</f>
        <v>3</v>
      </c>
      <c r="Q241" s="634">
        <f>+ROUND($I241*P241,2)</f>
        <v>31.08</v>
      </c>
      <c r="R241" s="633"/>
      <c r="S241" s="634">
        <f>+ROUND($H241*R241,2)</f>
        <v>0</v>
      </c>
      <c r="T241" s="633"/>
      <c r="U241" s="634">
        <f>+ROUND($H241*T241,2)</f>
        <v>0</v>
      </c>
      <c r="V241" s="633"/>
    </row>
    <row r="242" spans="2:23" ht="21" customHeight="1" x14ac:dyDescent="0.25">
      <c r="B242" s="448"/>
      <c r="C242" s="480">
        <f>+C239+1</f>
        <v>6</v>
      </c>
      <c r="D242" s="542"/>
      <c r="E242" s="571"/>
      <c r="F242" s="544" t="str">
        <f>+"SUB-TOTAL   "&amp;B237&amp;":  "</f>
        <v xml:space="preserve">SUB-TOTAL   1:  </v>
      </c>
      <c r="G242" s="567"/>
      <c r="H242" s="540"/>
      <c r="I242" s="540"/>
      <c r="J242" s="540"/>
      <c r="K242" s="716">
        <f>+SUM(K238:K241)</f>
        <v>80.08</v>
      </c>
      <c r="L242" s="540"/>
      <c r="M242" s="716">
        <f>+SUM(M238:M241)</f>
        <v>106.42</v>
      </c>
      <c r="N242" s="716"/>
      <c r="O242" s="716">
        <f>+SUM(O238:O241)</f>
        <v>0</v>
      </c>
      <c r="P242" s="716"/>
      <c r="Q242" s="716">
        <f>+SUM(Q238:Q241)</f>
        <v>49.22</v>
      </c>
      <c r="R242" s="589"/>
      <c r="S242" s="716">
        <f>+SUM(S238:S241)</f>
        <v>22.88</v>
      </c>
      <c r="T242" s="589"/>
      <c r="U242" s="716">
        <f>+SUM(U238:U241)</f>
        <v>17.16</v>
      </c>
      <c r="V242" s="589"/>
      <c r="W242" s="660">
        <f>+K242-M242+O242+Q242-S242</f>
        <v>0</v>
      </c>
    </row>
    <row r="243" spans="2:23" ht="21" customHeight="1" x14ac:dyDescent="0.25">
      <c r="B243" s="452">
        <f>1+B237</f>
        <v>2</v>
      </c>
      <c r="C243" s="481">
        <f t="shared" ref="C243:C279" si="172">+C242+1</f>
        <v>7</v>
      </c>
      <c r="D243" s="568" t="s">
        <v>515</v>
      </c>
      <c r="E243" s="569"/>
      <c r="F243" s="570"/>
      <c r="G243" s="549"/>
      <c r="H243" s="438"/>
      <c r="I243" s="438"/>
      <c r="J243" s="438"/>
      <c r="K243" s="454"/>
      <c r="L243" s="756"/>
      <c r="M243" s="454"/>
      <c r="N243" s="454"/>
      <c r="O243" s="454"/>
      <c r="P243" s="454"/>
      <c r="Q243" s="454"/>
      <c r="R243" s="438"/>
      <c r="S243" s="454"/>
      <c r="T243" s="438"/>
      <c r="U243" s="454"/>
      <c r="V243" s="438"/>
    </row>
    <row r="244" spans="2:23" ht="21" customHeight="1" x14ac:dyDescent="0.25">
      <c r="B244" s="554">
        <v>2.0099999999999998</v>
      </c>
      <c r="C244" s="480" t="e">
        <f>+#REF!+1</f>
        <v>#REF!</v>
      </c>
      <c r="D244" s="495" t="s">
        <v>514</v>
      </c>
      <c r="E244" s="496"/>
      <c r="F244" s="497"/>
      <c r="G244" s="530" t="s">
        <v>11</v>
      </c>
      <c r="H244" s="553">
        <v>149.76</v>
      </c>
      <c r="I244" s="553"/>
      <c r="J244" s="553">
        <v>3</v>
      </c>
      <c r="K244" s="558">
        <f t="shared" ref="K244:K247" si="173">+ROUND($H244*J244,2)</f>
        <v>449.28</v>
      </c>
      <c r="L244" s="553">
        <f>+L24</f>
        <v>1</v>
      </c>
      <c r="M244" s="558">
        <f t="shared" ref="M244:M247" si="174">+ROUND($H244*L244,2)</f>
        <v>149.76</v>
      </c>
      <c r="N244" s="558">
        <f>+IF($L244-$J244&gt;=0,$L244-$J244,0)</f>
        <v>0</v>
      </c>
      <c r="O244" s="558">
        <f t="shared" ref="O244:O247" si="175">+ROUND($H244*N244,2)</f>
        <v>0</v>
      </c>
      <c r="P244" s="558"/>
      <c r="Q244" s="558">
        <f t="shared" ref="Q244:Q247" si="176">+ROUND($H244*P244,2)</f>
        <v>0</v>
      </c>
      <c r="R244" s="553">
        <f>+IF($L244-$J244&lt;=0,-$L244+$J244,0)</f>
        <v>2</v>
      </c>
      <c r="S244" s="558">
        <f t="shared" ref="S244:S247" si="177">+ROUND($H244*R244,2)</f>
        <v>299.52</v>
      </c>
      <c r="T244" s="553">
        <f>+R244</f>
        <v>2</v>
      </c>
      <c r="U244" s="558">
        <f t="shared" ref="U244:U247" si="178">+ROUND($H244*T244,2)</f>
        <v>299.52</v>
      </c>
      <c r="V244" s="765" t="s">
        <v>869</v>
      </c>
    </row>
    <row r="245" spans="2:23" ht="21" customHeight="1" x14ac:dyDescent="0.25">
      <c r="B245" s="554">
        <v>2.0199999999999996</v>
      </c>
      <c r="C245" s="480" t="e">
        <f>+#REF!+1</f>
        <v>#REF!</v>
      </c>
      <c r="D245" s="495" t="s">
        <v>513</v>
      </c>
      <c r="E245" s="496"/>
      <c r="F245" s="497"/>
      <c r="G245" s="530" t="s">
        <v>11</v>
      </c>
      <c r="H245" s="553">
        <v>156.56</v>
      </c>
      <c r="I245" s="553"/>
      <c r="J245" s="553">
        <v>11</v>
      </c>
      <c r="K245" s="558">
        <f t="shared" si="173"/>
        <v>1722.16</v>
      </c>
      <c r="L245" s="553">
        <f>+L25</f>
        <v>13</v>
      </c>
      <c r="M245" s="558">
        <f t="shared" si="174"/>
        <v>2035.28</v>
      </c>
      <c r="N245" s="558">
        <f>+IF($L245-$J245&gt;=0,$L245-$J245,0)</f>
        <v>2</v>
      </c>
      <c r="O245" s="558">
        <f t="shared" si="175"/>
        <v>313.12</v>
      </c>
      <c r="P245" s="558"/>
      <c r="Q245" s="558">
        <f t="shared" si="176"/>
        <v>0</v>
      </c>
      <c r="R245" s="553">
        <f>+IF($L245-$J245&lt;=0,-$L245+$J245,0)</f>
        <v>0</v>
      </c>
      <c r="S245" s="558">
        <f t="shared" si="177"/>
        <v>0</v>
      </c>
      <c r="T245" s="553"/>
      <c r="U245" s="558">
        <f t="shared" si="178"/>
        <v>0</v>
      </c>
      <c r="V245" s="553"/>
    </row>
    <row r="246" spans="2:23" ht="21" customHeight="1" x14ac:dyDescent="0.25">
      <c r="B246" s="554">
        <v>2.0299999999999994</v>
      </c>
      <c r="C246" s="480">
        <f>+C242+1</f>
        <v>7</v>
      </c>
      <c r="D246" s="495" t="s">
        <v>512</v>
      </c>
      <c r="E246" s="496"/>
      <c r="F246" s="497"/>
      <c r="G246" s="530" t="s">
        <v>11</v>
      </c>
      <c r="H246" s="553">
        <v>178.72</v>
      </c>
      <c r="I246" s="553"/>
      <c r="J246" s="553">
        <v>10</v>
      </c>
      <c r="K246" s="558">
        <f t="shared" si="173"/>
        <v>1787.2</v>
      </c>
      <c r="L246" s="553">
        <f>+L26</f>
        <v>11</v>
      </c>
      <c r="M246" s="558">
        <f t="shared" si="174"/>
        <v>1965.92</v>
      </c>
      <c r="N246" s="558">
        <f>+IF($L246-$J246&gt;=0,$L246-$J246,0)</f>
        <v>1</v>
      </c>
      <c r="O246" s="558">
        <f t="shared" si="175"/>
        <v>178.72</v>
      </c>
      <c r="P246" s="558"/>
      <c r="Q246" s="558">
        <f t="shared" si="176"/>
        <v>0</v>
      </c>
      <c r="R246" s="553">
        <f>+IF($L246-$J246&lt;=0,-$L246+$J246,0)</f>
        <v>0</v>
      </c>
      <c r="S246" s="558">
        <f t="shared" si="177"/>
        <v>0</v>
      </c>
      <c r="T246" s="553"/>
      <c r="U246" s="558">
        <f t="shared" si="178"/>
        <v>0</v>
      </c>
      <c r="V246" s="553"/>
    </row>
    <row r="247" spans="2:23" ht="21" customHeight="1" x14ac:dyDescent="0.25">
      <c r="B247" s="554">
        <v>2.0399999999999991</v>
      </c>
      <c r="C247" s="480">
        <f>+C243+1</f>
        <v>8</v>
      </c>
      <c r="D247" s="495" t="s">
        <v>511</v>
      </c>
      <c r="E247" s="496"/>
      <c r="F247" s="497"/>
      <c r="G247" s="532" t="s">
        <v>11</v>
      </c>
      <c r="H247" s="553">
        <v>191.36</v>
      </c>
      <c r="I247" s="553"/>
      <c r="J247" s="553">
        <v>10</v>
      </c>
      <c r="K247" s="558">
        <f t="shared" si="173"/>
        <v>1913.6</v>
      </c>
      <c r="L247" s="553">
        <f>+L27</f>
        <v>14</v>
      </c>
      <c r="M247" s="558">
        <f t="shared" si="174"/>
        <v>2679.04</v>
      </c>
      <c r="N247" s="558">
        <f>+IF($L247-$J247&gt;=0,$L247-$J247,0)</f>
        <v>4</v>
      </c>
      <c r="O247" s="558">
        <f t="shared" si="175"/>
        <v>765.44</v>
      </c>
      <c r="P247" s="558"/>
      <c r="Q247" s="558">
        <f t="shared" si="176"/>
        <v>0</v>
      </c>
      <c r="R247" s="553">
        <f>+IF($L247-$J247&lt;=0,-$L247+$J247,0)</f>
        <v>0</v>
      </c>
      <c r="S247" s="558">
        <f t="shared" si="177"/>
        <v>0</v>
      </c>
      <c r="T247" s="553"/>
      <c r="U247" s="558">
        <f t="shared" si="178"/>
        <v>0</v>
      </c>
      <c r="V247" s="553"/>
    </row>
    <row r="248" spans="2:23" ht="21" customHeight="1" x14ac:dyDescent="0.25">
      <c r="B248" s="455"/>
      <c r="C248" s="480">
        <f>+C247+1</f>
        <v>9</v>
      </c>
      <c r="D248" s="542"/>
      <c r="E248" s="571"/>
      <c r="F248" s="544" t="str">
        <f>+"SUB-TOTAL   "&amp;B243&amp;":  "</f>
        <v xml:space="preserve">SUB-TOTAL   2:  </v>
      </c>
      <c r="G248" s="440"/>
      <c r="H248" s="540"/>
      <c r="I248" s="540"/>
      <c r="J248" s="540"/>
      <c r="K248" s="716">
        <f>+SUM(K244:K247)</f>
        <v>5872.24</v>
      </c>
      <c r="L248" s="540"/>
      <c r="M248" s="716">
        <f>+SUM(M244:M247)</f>
        <v>6830</v>
      </c>
      <c r="N248" s="716"/>
      <c r="O248" s="716">
        <f>+SUM(O244:O247)</f>
        <v>1257.2800000000002</v>
      </c>
      <c r="P248" s="716"/>
      <c r="Q248" s="716">
        <f>+SUM(Q244:Q247)</f>
        <v>0</v>
      </c>
      <c r="R248" s="589"/>
      <c r="S248" s="716">
        <f>+SUM(S244:S247)</f>
        <v>299.52</v>
      </c>
      <c r="T248" s="589"/>
      <c r="U248" s="716">
        <f>+SUM(U244:U247)</f>
        <v>299.52</v>
      </c>
      <c r="V248" s="589"/>
      <c r="W248" s="660">
        <f>+K248-M248+O248+Q248-S248</f>
        <v>0</v>
      </c>
    </row>
    <row r="249" spans="2:23" ht="21" customHeight="1" x14ac:dyDescent="0.25">
      <c r="B249" s="452">
        <v>3</v>
      </c>
      <c r="C249" s="481">
        <f t="shared" si="172"/>
        <v>10</v>
      </c>
      <c r="D249" s="568" t="s">
        <v>296</v>
      </c>
      <c r="E249" s="569"/>
      <c r="F249" s="570"/>
      <c r="G249" s="549"/>
      <c r="H249" s="438"/>
      <c r="I249" s="438"/>
      <c r="J249" s="438"/>
      <c r="K249" s="454"/>
      <c r="L249" s="756"/>
      <c r="M249" s="454"/>
      <c r="N249" s="454"/>
      <c r="O249" s="454"/>
      <c r="P249" s="454"/>
      <c r="Q249" s="454"/>
      <c r="R249" s="438"/>
      <c r="S249" s="454"/>
      <c r="T249" s="438"/>
      <c r="U249" s="454"/>
      <c r="V249" s="438"/>
    </row>
    <row r="250" spans="2:23" ht="21" customHeight="1" x14ac:dyDescent="0.25">
      <c r="B250" s="554">
        <v>3.01</v>
      </c>
      <c r="C250" s="480" t="e">
        <f>+#REF!+1</f>
        <v>#REF!</v>
      </c>
      <c r="D250" s="495" t="s">
        <v>617</v>
      </c>
      <c r="E250" s="496"/>
      <c r="F250" s="497"/>
      <c r="G250" s="532" t="s">
        <v>11</v>
      </c>
      <c r="H250" s="565">
        <v>174.7</v>
      </c>
      <c r="I250" s="565"/>
      <c r="J250" s="565">
        <v>2</v>
      </c>
      <c r="K250" s="566">
        <f t="shared" ref="K250" si="179">+ROUND($H250*J250,2)</f>
        <v>349.4</v>
      </c>
      <c r="L250" s="553">
        <f>+L30</f>
        <v>0</v>
      </c>
      <c r="M250" s="558">
        <f t="shared" ref="M250" si="180">+ROUND($H250*L250,2)</f>
        <v>0</v>
      </c>
      <c r="N250" s="558">
        <f>+IF($L250-$J250&gt;=0,$L250-$J250,0)</f>
        <v>0</v>
      </c>
      <c r="O250" s="558">
        <f t="shared" ref="O250" si="181">+ROUND($H250*N250,2)</f>
        <v>0</v>
      </c>
      <c r="P250" s="558"/>
      <c r="Q250" s="558">
        <f t="shared" ref="Q250" si="182">+ROUND($H250*P250,2)</f>
        <v>0</v>
      </c>
      <c r="R250" s="553">
        <f>+IF($L250-$J250&lt;=0,-$L250+$J250,0)</f>
        <v>2</v>
      </c>
      <c r="S250" s="558">
        <f t="shared" ref="S250" si="183">+ROUND($H250*R250,2)</f>
        <v>349.4</v>
      </c>
      <c r="T250" s="553">
        <f>+R250</f>
        <v>2</v>
      </c>
      <c r="U250" s="558">
        <f t="shared" ref="U250" si="184">+ROUND($H250*T250,2)</f>
        <v>349.4</v>
      </c>
      <c r="V250" s="765" t="s">
        <v>869</v>
      </c>
    </row>
    <row r="251" spans="2:23" ht="21" customHeight="1" x14ac:dyDescent="0.25">
      <c r="B251" s="456"/>
      <c r="C251" s="466" t="e">
        <f>+#REF!+1</f>
        <v>#REF!</v>
      </c>
      <c r="D251" s="537"/>
      <c r="E251" s="538"/>
      <c r="F251" s="533" t="str">
        <f>+"SUB-TOTAL   "&amp;B249&amp;":  "</f>
        <v xml:space="preserve">SUB-TOTAL   3:  </v>
      </c>
      <c r="G251" s="440"/>
      <c r="H251" s="438"/>
      <c r="I251" s="438"/>
      <c r="J251" s="438"/>
      <c r="K251" s="548">
        <f>+SUM(K250:K250)</f>
        <v>349.4</v>
      </c>
      <c r="L251" s="540"/>
      <c r="M251" s="716">
        <f>+SUM(M250:M250)</f>
        <v>0</v>
      </c>
      <c r="N251" s="454"/>
      <c r="O251" s="716">
        <f>+SUM(O250:O250)</f>
        <v>0</v>
      </c>
      <c r="P251" s="454"/>
      <c r="Q251" s="716">
        <f>+SUM(Q250:Q250)</f>
        <v>0</v>
      </c>
      <c r="R251" s="438"/>
      <c r="S251" s="716">
        <f>+SUM(S250:S250)</f>
        <v>349.4</v>
      </c>
      <c r="T251" s="438"/>
      <c r="U251" s="716">
        <f>+SUM(U250:U250)</f>
        <v>349.4</v>
      </c>
      <c r="V251" s="438"/>
    </row>
    <row r="252" spans="2:23" ht="21" customHeight="1" x14ac:dyDescent="0.25">
      <c r="B252" s="452" t="s">
        <v>1004</v>
      </c>
      <c r="C252" s="481" t="e">
        <f t="shared" si="172"/>
        <v>#REF!</v>
      </c>
      <c r="D252" s="568" t="s">
        <v>309</v>
      </c>
      <c r="E252" s="569"/>
      <c r="F252" s="570"/>
      <c r="G252" s="549"/>
      <c r="H252" s="438"/>
      <c r="I252" s="438"/>
      <c r="J252" s="438"/>
      <c r="K252" s="454"/>
      <c r="L252" s="756"/>
      <c r="M252" s="454"/>
      <c r="N252" s="454"/>
      <c r="O252" s="454"/>
      <c r="P252" s="454"/>
      <c r="Q252" s="454"/>
      <c r="R252" s="438"/>
      <c r="S252" s="454"/>
      <c r="T252" s="438"/>
      <c r="U252" s="454"/>
      <c r="V252" s="438"/>
    </row>
    <row r="253" spans="2:23" s="547" customFormat="1" ht="21" customHeight="1" x14ac:dyDescent="0.25">
      <c r="B253" s="559" t="s">
        <v>1005</v>
      </c>
      <c r="C253" s="577" t="e">
        <f>+C252+1</f>
        <v>#REF!</v>
      </c>
      <c r="D253" s="501" t="s">
        <v>767</v>
      </c>
      <c r="E253" s="545"/>
      <c r="F253" s="546"/>
      <c r="G253" s="531"/>
      <c r="H253" s="560"/>
      <c r="I253" s="560"/>
      <c r="J253" s="560"/>
      <c r="K253" s="561">
        <f t="shared" ref="K253:K254" si="185">+ROUND($H253*J253,2)</f>
        <v>0</v>
      </c>
      <c r="L253" s="560">
        <f>+L33</f>
        <v>0</v>
      </c>
      <c r="M253" s="561">
        <f>+ROUND($I253*L253,2)</f>
        <v>0</v>
      </c>
      <c r="N253" s="561"/>
      <c r="O253" s="561">
        <f>+ROUND($H253*N253,2)</f>
        <v>0</v>
      </c>
      <c r="P253" s="561">
        <f>+L253</f>
        <v>0</v>
      </c>
      <c r="Q253" s="561">
        <f>+ROUND($I253*P253,2)</f>
        <v>0</v>
      </c>
      <c r="R253" s="560"/>
      <c r="S253" s="561">
        <f>+ROUND($H253*R253,2)</f>
        <v>0</v>
      </c>
      <c r="T253" s="560"/>
      <c r="U253" s="561">
        <f>+ROUND($H253*T253,2)</f>
        <v>0</v>
      </c>
      <c r="V253" s="560"/>
    </row>
    <row r="254" spans="2:23" s="547" customFormat="1" ht="21" customHeight="1" x14ac:dyDescent="0.25">
      <c r="B254" s="559" t="s">
        <v>1006</v>
      </c>
      <c r="C254" s="577" t="e">
        <f t="shared" ref="C254" si="186">+C253+1</f>
        <v>#REF!</v>
      </c>
      <c r="D254" s="501" t="s">
        <v>768</v>
      </c>
      <c r="E254" s="545"/>
      <c r="F254" s="546"/>
      <c r="G254" s="564"/>
      <c r="H254" s="633"/>
      <c r="I254" s="633">
        <f>+'Mtdo-Ppto LP'!I327</f>
        <v>83.85</v>
      </c>
      <c r="J254" s="633"/>
      <c r="K254" s="634">
        <f t="shared" si="185"/>
        <v>0</v>
      </c>
      <c r="L254" s="560">
        <f>+L34</f>
        <v>5</v>
      </c>
      <c r="M254" s="634">
        <f>+ROUND($I254*L254,2)</f>
        <v>419.25</v>
      </c>
      <c r="N254" s="634"/>
      <c r="O254" s="634">
        <f>+ROUND($H254*N254,2)</f>
        <v>0</v>
      </c>
      <c r="P254" s="634">
        <f>+L254</f>
        <v>5</v>
      </c>
      <c r="Q254" s="634">
        <f>+ROUND($I254*P254,2)</f>
        <v>419.25</v>
      </c>
      <c r="R254" s="633"/>
      <c r="S254" s="634">
        <f>+ROUND($H254*R254,2)</f>
        <v>0</v>
      </c>
      <c r="T254" s="633"/>
      <c r="U254" s="634">
        <f>+ROUND($H254*T254,2)</f>
        <v>0</v>
      </c>
      <c r="V254" s="633"/>
    </row>
    <row r="255" spans="2:23" ht="21" customHeight="1" x14ac:dyDescent="0.25">
      <c r="B255" s="456"/>
      <c r="C255" s="466" t="e">
        <f>+#REF!+1</f>
        <v>#REF!</v>
      </c>
      <c r="D255" s="537"/>
      <c r="E255" s="538"/>
      <c r="F255" s="533" t="str">
        <f>+"SUB-TOTAL   "&amp;B252&amp;":  "</f>
        <v xml:space="preserve">SUB-TOTAL   3.00A:  </v>
      </c>
      <c r="G255" s="440"/>
      <c r="H255" s="438"/>
      <c r="I255" s="438"/>
      <c r="J255" s="438"/>
      <c r="K255" s="716">
        <f>+SUM(K253:K254)</f>
        <v>0</v>
      </c>
      <c r="L255" s="540"/>
      <c r="M255" s="716">
        <f>+SUM(M253:M254)</f>
        <v>419.25</v>
      </c>
      <c r="N255" s="454"/>
      <c r="O255" s="716">
        <f>+SUM(O253:O254)</f>
        <v>0</v>
      </c>
      <c r="P255" s="454"/>
      <c r="Q255" s="716">
        <f>+SUM(Q253:Q254)</f>
        <v>419.25</v>
      </c>
      <c r="R255" s="438"/>
      <c r="S255" s="716">
        <f>+SUM(S253:S254)</f>
        <v>0</v>
      </c>
      <c r="T255" s="438"/>
      <c r="U255" s="716">
        <f>+SUM(U253:U254)</f>
        <v>0</v>
      </c>
      <c r="V255" s="438"/>
    </row>
    <row r="256" spans="2:23" ht="21" customHeight="1" x14ac:dyDescent="0.25">
      <c r="B256" s="452">
        <f>+B249+1</f>
        <v>4</v>
      </c>
      <c r="C256" s="481" t="e">
        <f>+C251+1</f>
        <v>#REF!</v>
      </c>
      <c r="D256" s="453" t="s">
        <v>509</v>
      </c>
      <c r="E256" s="445"/>
      <c r="F256" s="446"/>
      <c r="G256" s="527"/>
      <c r="H256" s="438"/>
      <c r="I256" s="438"/>
      <c r="J256" s="438"/>
      <c r="K256" s="454"/>
      <c r="L256" s="756"/>
      <c r="M256" s="454"/>
      <c r="N256" s="454"/>
      <c r="O256" s="454"/>
      <c r="P256" s="454"/>
      <c r="Q256" s="454"/>
      <c r="R256" s="438"/>
      <c r="S256" s="454"/>
      <c r="T256" s="438"/>
      <c r="U256" s="454"/>
      <c r="V256" s="438"/>
    </row>
    <row r="257" spans="2:22" ht="21" customHeight="1" x14ac:dyDescent="0.25">
      <c r="B257" s="562">
        <v>4.01</v>
      </c>
      <c r="C257" s="576" t="e">
        <f t="shared" si="172"/>
        <v>#REF!</v>
      </c>
      <c r="D257" s="502" t="s">
        <v>508</v>
      </c>
      <c r="E257" s="496"/>
      <c r="F257" s="497"/>
      <c r="G257" s="530" t="s">
        <v>11</v>
      </c>
      <c r="H257" s="553">
        <v>17.3</v>
      </c>
      <c r="I257" s="553"/>
      <c r="J257" s="553">
        <v>5</v>
      </c>
      <c r="K257" s="558">
        <f t="shared" ref="K257:K259" si="187">+ROUND($H257*J257,2)</f>
        <v>86.5</v>
      </c>
      <c r="L257" s="553">
        <f>+L37</f>
        <v>5</v>
      </c>
      <c r="M257" s="558">
        <f t="shared" ref="M257:M259" si="188">+ROUND($H257*L257,2)</f>
        <v>86.5</v>
      </c>
      <c r="N257" s="558">
        <f>+IF($L257-$J257&gt;=0,$L257-$J257,0)</f>
        <v>0</v>
      </c>
      <c r="O257" s="558">
        <f t="shared" ref="O257:O259" si="189">+ROUND($H257*N257,2)</f>
        <v>0</v>
      </c>
      <c r="P257" s="558"/>
      <c r="Q257" s="558">
        <f t="shared" ref="Q257:Q259" si="190">+ROUND($H257*P257,2)</f>
        <v>0</v>
      </c>
      <c r="R257" s="553">
        <f>+IF($L257-$J257&lt;=0,-$L257+$J257,0)</f>
        <v>0</v>
      </c>
      <c r="S257" s="558">
        <f t="shared" ref="S257:S259" si="191">+ROUND($H257*R257,2)</f>
        <v>0</v>
      </c>
      <c r="T257" s="553"/>
      <c r="U257" s="558">
        <f t="shared" ref="U257:U259" si="192">+ROUND($H257*T257,2)</f>
        <v>0</v>
      </c>
      <c r="V257" s="553"/>
    </row>
    <row r="258" spans="2:22" ht="21" customHeight="1" x14ac:dyDescent="0.25">
      <c r="B258" s="562">
        <v>4.0199999999999996</v>
      </c>
      <c r="C258" s="576" t="e">
        <f t="shared" si="172"/>
        <v>#REF!</v>
      </c>
      <c r="D258" s="502" t="s">
        <v>507</v>
      </c>
      <c r="E258" s="496"/>
      <c r="F258" s="497"/>
      <c r="G258" s="530" t="s">
        <v>11</v>
      </c>
      <c r="H258" s="553">
        <v>25.6</v>
      </c>
      <c r="I258" s="553"/>
      <c r="J258" s="553">
        <v>40</v>
      </c>
      <c r="K258" s="558">
        <f t="shared" si="187"/>
        <v>1024</v>
      </c>
      <c r="L258" s="553">
        <f>+L38</f>
        <v>60</v>
      </c>
      <c r="M258" s="558">
        <f t="shared" si="188"/>
        <v>1536</v>
      </c>
      <c r="N258" s="558">
        <f t="shared" ref="N258:N259" si="193">+IF($L258-$J258&gt;=0,$L258-$J258,0)</f>
        <v>20</v>
      </c>
      <c r="O258" s="558">
        <f t="shared" si="189"/>
        <v>512</v>
      </c>
      <c r="P258" s="558"/>
      <c r="Q258" s="558">
        <f t="shared" si="190"/>
        <v>0</v>
      </c>
      <c r="R258" s="553">
        <f t="shared" ref="R258:R259" si="194">+IF($L258-$J258&lt;=0,-$L258+$J258,0)</f>
        <v>0</v>
      </c>
      <c r="S258" s="558">
        <f t="shared" si="191"/>
        <v>0</v>
      </c>
      <c r="T258" s="553"/>
      <c r="U258" s="558">
        <f t="shared" si="192"/>
        <v>0</v>
      </c>
      <c r="V258" s="553"/>
    </row>
    <row r="259" spans="2:22" ht="21" customHeight="1" x14ac:dyDescent="0.25">
      <c r="B259" s="562">
        <v>4.0299999999999994</v>
      </c>
      <c r="C259" s="576" t="e">
        <f t="shared" si="172"/>
        <v>#REF!</v>
      </c>
      <c r="D259" s="502" t="s">
        <v>618</v>
      </c>
      <c r="E259" s="496"/>
      <c r="F259" s="497"/>
      <c r="G259" s="532" t="s">
        <v>11</v>
      </c>
      <c r="H259" s="565">
        <v>27.61</v>
      </c>
      <c r="I259" s="565"/>
      <c r="J259" s="565">
        <v>5</v>
      </c>
      <c r="K259" s="566">
        <f t="shared" si="187"/>
        <v>138.05000000000001</v>
      </c>
      <c r="L259" s="553">
        <f>+L39</f>
        <v>5</v>
      </c>
      <c r="M259" s="566">
        <f t="shared" si="188"/>
        <v>138.05000000000001</v>
      </c>
      <c r="N259" s="566">
        <f t="shared" si="193"/>
        <v>0</v>
      </c>
      <c r="O259" s="566">
        <f t="shared" si="189"/>
        <v>0</v>
      </c>
      <c r="P259" s="566"/>
      <c r="Q259" s="566">
        <f t="shared" si="190"/>
        <v>0</v>
      </c>
      <c r="R259" s="565">
        <f t="shared" si="194"/>
        <v>0</v>
      </c>
      <c r="S259" s="566">
        <f t="shared" si="191"/>
        <v>0</v>
      </c>
      <c r="T259" s="553"/>
      <c r="U259" s="566">
        <f t="shared" si="192"/>
        <v>0</v>
      </c>
      <c r="V259" s="553"/>
    </row>
    <row r="260" spans="2:22" ht="21" customHeight="1" x14ac:dyDescent="0.25">
      <c r="B260" s="456"/>
      <c r="C260" s="483" t="e">
        <f>+#REF!+1</f>
        <v>#REF!</v>
      </c>
      <c r="D260" s="537"/>
      <c r="E260" s="580"/>
      <c r="F260" s="533" t="str">
        <f>+"SUB-TOTAL   "&amp;B256&amp;":  "</f>
        <v xml:space="preserve">SUB-TOTAL   4:  </v>
      </c>
      <c r="G260" s="440"/>
      <c r="H260" s="438"/>
      <c r="I260" s="438"/>
      <c r="J260" s="438"/>
      <c r="K260" s="548">
        <f>+SUM(K257:K259)</f>
        <v>1248.55</v>
      </c>
      <c r="L260" s="540"/>
      <c r="M260" s="548">
        <f>+SUM(M257:M259)</f>
        <v>1760.55</v>
      </c>
      <c r="N260" s="438"/>
      <c r="O260" s="548">
        <f>+SUM(O257:O259)</f>
        <v>512</v>
      </c>
      <c r="P260" s="438"/>
      <c r="Q260" s="548">
        <f>+SUM(Q257:Q259)</f>
        <v>0</v>
      </c>
      <c r="R260" s="438"/>
      <c r="S260" s="548">
        <f>+SUM(S257:S259)</f>
        <v>0</v>
      </c>
      <c r="T260" s="438"/>
      <c r="U260" s="548">
        <f>+SUM(U257:U259)</f>
        <v>0</v>
      </c>
      <c r="V260" s="438"/>
    </row>
    <row r="261" spans="2:22" ht="21" customHeight="1" x14ac:dyDescent="0.25">
      <c r="B261" s="452">
        <f>+B256+1</f>
        <v>5</v>
      </c>
      <c r="C261" s="481" t="e">
        <f t="shared" si="172"/>
        <v>#REF!</v>
      </c>
      <c r="D261" s="453" t="s">
        <v>505</v>
      </c>
      <c r="E261" s="445"/>
      <c r="F261" s="446"/>
      <c r="G261" s="527"/>
      <c r="H261" s="438"/>
      <c r="I261" s="438"/>
      <c r="J261" s="438"/>
      <c r="K261" s="438"/>
      <c r="L261" s="756"/>
      <c r="M261" s="438"/>
      <c r="N261" s="438"/>
      <c r="O261" s="438"/>
      <c r="P261" s="438"/>
      <c r="Q261" s="438"/>
      <c r="R261" s="438"/>
      <c r="S261" s="438"/>
      <c r="T261" s="438"/>
      <c r="U261" s="438"/>
      <c r="V261" s="438"/>
    </row>
    <row r="262" spans="2:22" ht="21" customHeight="1" x14ac:dyDescent="0.25">
      <c r="B262" s="562">
        <v>5.01</v>
      </c>
      <c r="C262" s="576" t="e">
        <f t="shared" si="172"/>
        <v>#REF!</v>
      </c>
      <c r="D262" s="502" t="s">
        <v>320</v>
      </c>
      <c r="E262" s="496"/>
      <c r="F262" s="497"/>
      <c r="G262" s="530" t="s">
        <v>11</v>
      </c>
      <c r="H262" s="553">
        <v>4.43</v>
      </c>
      <c r="I262" s="553"/>
      <c r="J262" s="553">
        <v>16</v>
      </c>
      <c r="K262" s="553">
        <f t="shared" ref="K262:K266" si="195">+ROUND($H262*J262,2)</f>
        <v>70.88</v>
      </c>
      <c r="L262" s="553">
        <f>+L42</f>
        <v>25</v>
      </c>
      <c r="M262" s="553">
        <f t="shared" ref="M262:M263" si="196">+ROUND($H262*L262,2)</f>
        <v>110.75</v>
      </c>
      <c r="N262" s="553">
        <f>+IF($L262-$J262&gt;=0,$L262-$J262,0)</f>
        <v>9</v>
      </c>
      <c r="O262" s="553">
        <f t="shared" ref="O262:O266" si="197">+ROUND($H262*N262,2)</f>
        <v>39.869999999999997</v>
      </c>
      <c r="P262" s="553"/>
      <c r="Q262" s="553">
        <f t="shared" ref="Q262:Q263" si="198">+ROUND($H262*P262,2)</f>
        <v>0</v>
      </c>
      <c r="R262" s="553">
        <f>+IF($L262-$J262&lt;=0,-$L262+$J262,0)</f>
        <v>0</v>
      </c>
      <c r="S262" s="553">
        <f t="shared" ref="S262:S266" si="199">+ROUND($H262*R262,2)</f>
        <v>0</v>
      </c>
      <c r="T262" s="553"/>
      <c r="U262" s="553">
        <f t="shared" ref="U262:U266" si="200">+ROUND($H262*T262,2)</f>
        <v>0</v>
      </c>
      <c r="V262" s="553"/>
    </row>
    <row r="263" spans="2:22" ht="21" customHeight="1" x14ac:dyDescent="0.25">
      <c r="B263" s="562">
        <v>5.0199999999999996</v>
      </c>
      <c r="C263" s="576" t="e">
        <f t="shared" si="172"/>
        <v>#REF!</v>
      </c>
      <c r="D263" s="502" t="s">
        <v>321</v>
      </c>
      <c r="E263" s="496"/>
      <c r="F263" s="497"/>
      <c r="G263" s="530" t="s">
        <v>11</v>
      </c>
      <c r="H263" s="553">
        <v>2.84</v>
      </c>
      <c r="I263" s="553"/>
      <c r="J263" s="553">
        <v>16</v>
      </c>
      <c r="K263" s="553">
        <f t="shared" si="195"/>
        <v>45.44</v>
      </c>
      <c r="L263" s="553">
        <f>+L43</f>
        <v>17</v>
      </c>
      <c r="M263" s="553">
        <f t="shared" si="196"/>
        <v>48.28</v>
      </c>
      <c r="N263" s="553">
        <f t="shared" ref="N263" si="201">+IF($L263-$J263&gt;=0,$L263-$J263,0)</f>
        <v>1</v>
      </c>
      <c r="O263" s="553">
        <f t="shared" si="197"/>
        <v>2.84</v>
      </c>
      <c r="P263" s="553"/>
      <c r="Q263" s="553">
        <f t="shared" si="198"/>
        <v>0</v>
      </c>
      <c r="R263" s="553">
        <f t="shared" ref="R263" si="202">+IF($L263-$J263&lt;=0,-$L263+$J263,0)</f>
        <v>0</v>
      </c>
      <c r="S263" s="553">
        <f t="shared" si="199"/>
        <v>0</v>
      </c>
      <c r="T263" s="553"/>
      <c r="U263" s="553">
        <f t="shared" si="200"/>
        <v>0</v>
      </c>
      <c r="V263" s="553"/>
    </row>
    <row r="264" spans="2:22" ht="21" customHeight="1" x14ac:dyDescent="0.25">
      <c r="B264" s="1252">
        <v>5.0299999999999994</v>
      </c>
      <c r="C264" s="583" t="e">
        <f>+C263+1</f>
        <v>#REF!</v>
      </c>
      <c r="D264" s="537" t="s">
        <v>322</v>
      </c>
      <c r="E264" s="538"/>
      <c r="F264" s="578"/>
      <c r="G264" s="1254" t="s">
        <v>11</v>
      </c>
      <c r="H264" s="1246">
        <v>1.64</v>
      </c>
      <c r="I264" s="579"/>
      <c r="J264" s="1246">
        <v>40</v>
      </c>
      <c r="K264" s="1246">
        <f>+ROUND($H264*J264,2)</f>
        <v>65.599999999999994</v>
      </c>
      <c r="L264" s="1246">
        <f>+L44</f>
        <v>50</v>
      </c>
      <c r="M264" s="1267">
        <f>+ROUND($H264*L264,2)</f>
        <v>82</v>
      </c>
      <c r="N264" s="1267">
        <f>+IF($L264-$J264&gt;=0,$L264-$J264,0)</f>
        <v>10</v>
      </c>
      <c r="O264" s="1267">
        <f>+ROUND($H264*N264,2)</f>
        <v>16.399999999999999</v>
      </c>
      <c r="P264" s="579"/>
      <c r="Q264" s="1267">
        <f>+ROUND($H264*P265,2)</f>
        <v>0</v>
      </c>
      <c r="R264" s="1267">
        <f>+IF($L264-$J264&lt;=0,-$L264+$J264,0)</f>
        <v>0</v>
      </c>
      <c r="S264" s="1267">
        <f>+ROUND($H264*R264,2)</f>
        <v>0</v>
      </c>
      <c r="T264" s="1267"/>
      <c r="U264" s="1267">
        <f>+ROUND($H264*T265,2)</f>
        <v>0</v>
      </c>
      <c r="V264" s="579"/>
    </row>
    <row r="265" spans="2:22" ht="21" customHeight="1" x14ac:dyDescent="0.25">
      <c r="B265" s="1253"/>
      <c r="C265" s="784" t="e">
        <f>+C264+1</f>
        <v>#REF!</v>
      </c>
      <c r="D265" s="780" t="s">
        <v>619</v>
      </c>
      <c r="E265" s="781"/>
      <c r="F265" s="782"/>
      <c r="G265" s="1269"/>
      <c r="H265" s="1266"/>
      <c r="I265" s="756"/>
      <c r="J265" s="1266"/>
      <c r="K265" s="1266"/>
      <c r="L265" s="1266"/>
      <c r="M265" s="1268"/>
      <c r="N265" s="1268"/>
      <c r="O265" s="1268"/>
      <c r="P265" s="756"/>
      <c r="Q265" s="1268"/>
      <c r="R265" s="1268"/>
      <c r="S265" s="1268"/>
      <c r="T265" s="1268"/>
      <c r="U265" s="1268"/>
      <c r="V265" s="756"/>
    </row>
    <row r="266" spans="2:22" s="547" customFormat="1" ht="21" customHeight="1" x14ac:dyDescent="0.25">
      <c r="B266" s="559">
        <v>5.04</v>
      </c>
      <c r="C266" s="577" t="e">
        <f>+#REF!+1</f>
        <v>#REF!</v>
      </c>
      <c r="D266" s="501" t="s">
        <v>785</v>
      </c>
      <c r="E266" s="545"/>
      <c r="F266" s="546"/>
      <c r="G266" s="564" t="s">
        <v>11</v>
      </c>
      <c r="H266" s="633"/>
      <c r="I266" s="633">
        <v>0.65</v>
      </c>
      <c r="J266" s="633"/>
      <c r="K266" s="633">
        <f t="shared" si="195"/>
        <v>0</v>
      </c>
      <c r="L266" s="560">
        <f>+L46</f>
        <v>8</v>
      </c>
      <c r="M266" s="633">
        <f>+ROUND($I266*L266,2)</f>
        <v>5.2</v>
      </c>
      <c r="N266" s="633"/>
      <c r="O266" s="633">
        <f t="shared" si="197"/>
        <v>0</v>
      </c>
      <c r="P266" s="633">
        <f>+L266</f>
        <v>8</v>
      </c>
      <c r="Q266" s="633">
        <f>+ROUND($I266*P266,2)</f>
        <v>5.2</v>
      </c>
      <c r="R266" s="633"/>
      <c r="S266" s="633">
        <f t="shared" si="199"/>
        <v>0</v>
      </c>
      <c r="T266" s="633"/>
      <c r="U266" s="633">
        <f t="shared" si="200"/>
        <v>0</v>
      </c>
      <c r="V266" s="633"/>
    </row>
    <row r="267" spans="2:22" ht="21" customHeight="1" x14ac:dyDescent="0.25">
      <c r="B267" s="456"/>
      <c r="C267" s="483" t="e">
        <f>+#REF!+1</f>
        <v>#REF!</v>
      </c>
      <c r="D267" s="537"/>
      <c r="E267" s="538"/>
      <c r="F267" s="544" t="str">
        <f>+"SUB-TOTAL   "&amp;B261&amp;":  "</f>
        <v xml:space="preserve">SUB-TOTAL   5:  </v>
      </c>
      <c r="G267" s="440"/>
      <c r="H267" s="438"/>
      <c r="I267" s="438"/>
      <c r="J267" s="438"/>
      <c r="K267" s="716">
        <f>+SUM(K262:K266)</f>
        <v>181.92</v>
      </c>
      <c r="L267" s="540"/>
      <c r="M267" s="716">
        <f>+SUM(M262:M266)</f>
        <v>246.23</v>
      </c>
      <c r="N267" s="438"/>
      <c r="O267" s="716">
        <f>+SUM(O262:O266)</f>
        <v>59.109999999999992</v>
      </c>
      <c r="P267" s="438"/>
      <c r="Q267" s="716">
        <f>+SUM(Q262:Q266)</f>
        <v>5.2</v>
      </c>
      <c r="R267" s="438"/>
      <c r="S267" s="716">
        <f>+SUM(S262:S266)</f>
        <v>0</v>
      </c>
      <c r="T267" s="438"/>
      <c r="U267" s="716">
        <f>+SUM(U262:U266)</f>
        <v>0</v>
      </c>
      <c r="V267" s="438"/>
    </row>
    <row r="268" spans="2:22" ht="21" customHeight="1" x14ac:dyDescent="0.25">
      <c r="B268" s="452">
        <f>+B261+1</f>
        <v>6</v>
      </c>
      <c r="C268" s="483" t="e">
        <f t="shared" si="172"/>
        <v>#REF!</v>
      </c>
      <c r="D268" s="453" t="s">
        <v>620</v>
      </c>
      <c r="E268" s="445"/>
      <c r="F268" s="446"/>
      <c r="G268" s="440"/>
      <c r="H268" s="438"/>
      <c r="I268" s="438"/>
      <c r="J268" s="438"/>
      <c r="K268" s="438"/>
      <c r="L268" s="756"/>
      <c r="M268" s="438"/>
      <c r="N268" s="438"/>
      <c r="O268" s="438"/>
      <c r="P268" s="438"/>
      <c r="Q268" s="438"/>
      <c r="R268" s="438"/>
      <c r="S268" s="438"/>
      <c r="T268" s="438"/>
      <c r="U268" s="438"/>
      <c r="V268" s="438"/>
    </row>
    <row r="269" spans="2:22" ht="21" customHeight="1" x14ac:dyDescent="0.25">
      <c r="B269" s="562">
        <v>6.01</v>
      </c>
      <c r="C269" s="581" t="e">
        <f t="shared" si="172"/>
        <v>#REF!</v>
      </c>
      <c r="D269" s="502" t="s">
        <v>501</v>
      </c>
      <c r="E269" s="496"/>
      <c r="F269" s="497"/>
      <c r="G269" s="530" t="s">
        <v>11</v>
      </c>
      <c r="H269" s="553">
        <v>1.69</v>
      </c>
      <c r="I269" s="553"/>
      <c r="J269" s="553">
        <v>16</v>
      </c>
      <c r="K269" s="553">
        <f t="shared" ref="K269:K270" si="203">+ROUND($H269*J269,2)</f>
        <v>27.04</v>
      </c>
      <c r="L269" s="553">
        <f>+L49</f>
        <v>23</v>
      </c>
      <c r="M269" s="553">
        <f t="shared" ref="M269:M270" si="204">+ROUND($H269*L269,2)</f>
        <v>38.869999999999997</v>
      </c>
      <c r="N269" s="553">
        <f>+IF($L269-$J269&gt;=0,$L269-$J269,0)</f>
        <v>7</v>
      </c>
      <c r="O269" s="553">
        <f t="shared" ref="O269:O270" si="205">+ROUND($H269*N269,2)</f>
        <v>11.83</v>
      </c>
      <c r="P269" s="553"/>
      <c r="Q269" s="553">
        <f t="shared" ref="Q269:Q270" si="206">+ROUND($H269*P269,2)</f>
        <v>0</v>
      </c>
      <c r="R269" s="553">
        <f>+IF($L269-$J269&lt;=0,-$L269+$J269,0)</f>
        <v>0</v>
      </c>
      <c r="S269" s="553">
        <f t="shared" ref="S269:S270" si="207">+ROUND($H269*R269,2)</f>
        <v>0</v>
      </c>
      <c r="T269" s="553"/>
      <c r="U269" s="553">
        <f t="shared" ref="U269:U270" si="208">+ROUND($H269*T269,2)</f>
        <v>0</v>
      </c>
      <c r="V269" s="553"/>
    </row>
    <row r="270" spans="2:22" ht="21" customHeight="1" x14ac:dyDescent="0.25">
      <c r="B270" s="562">
        <v>6.02</v>
      </c>
      <c r="C270" s="576" t="e">
        <f>+C269+1</f>
        <v>#REF!</v>
      </c>
      <c r="D270" s="502" t="s">
        <v>500</v>
      </c>
      <c r="E270" s="496"/>
      <c r="F270" s="497"/>
      <c r="G270" s="532" t="s">
        <v>11</v>
      </c>
      <c r="H270" s="565">
        <v>4.13</v>
      </c>
      <c r="I270" s="565"/>
      <c r="J270" s="565">
        <v>16</v>
      </c>
      <c r="K270" s="565">
        <f t="shared" si="203"/>
        <v>66.08</v>
      </c>
      <c r="L270" s="553">
        <f>+L50</f>
        <v>23</v>
      </c>
      <c r="M270" s="565">
        <f t="shared" si="204"/>
        <v>94.99</v>
      </c>
      <c r="N270" s="565">
        <f>+IF($L270-$J270&gt;=0,$L270-$J270,0)</f>
        <v>7</v>
      </c>
      <c r="O270" s="565">
        <f t="shared" si="205"/>
        <v>28.91</v>
      </c>
      <c r="P270" s="565"/>
      <c r="Q270" s="565">
        <f t="shared" si="206"/>
        <v>0</v>
      </c>
      <c r="R270" s="565">
        <f t="shared" ref="R270" si="209">+IF($L270-$J270&lt;=0,-$L270+$J270,0)</f>
        <v>0</v>
      </c>
      <c r="S270" s="565">
        <f t="shared" si="207"/>
        <v>0</v>
      </c>
      <c r="T270" s="565"/>
      <c r="U270" s="565">
        <f t="shared" si="208"/>
        <v>0</v>
      </c>
      <c r="V270" s="565"/>
    </row>
    <row r="271" spans="2:22" ht="21" customHeight="1" x14ac:dyDescent="0.25">
      <c r="B271" s="456"/>
      <c r="C271" s="466" t="e">
        <f>+#REF!+1</f>
        <v>#REF!</v>
      </c>
      <c r="D271" s="537"/>
      <c r="E271" s="538"/>
      <c r="F271" s="533" t="str">
        <f>+"SUB-TOTAL   "&amp;B268&amp;":  "</f>
        <v xml:space="preserve">SUB-TOTAL   6:  </v>
      </c>
      <c r="G271" s="440"/>
      <c r="H271" s="438"/>
      <c r="I271" s="438"/>
      <c r="J271" s="438"/>
      <c r="K271" s="536">
        <f>+SUM(K269:K270)</f>
        <v>93.12</v>
      </c>
      <c r="L271" s="540"/>
      <c r="M271" s="536">
        <f>+SUM(M269:M270)</f>
        <v>133.85999999999999</v>
      </c>
      <c r="N271" s="536"/>
      <c r="O271" s="536">
        <f>+SUM(O269:O270)</f>
        <v>40.74</v>
      </c>
      <c r="P271" s="536"/>
      <c r="Q271" s="536">
        <f>+SUM(Q269:Q270)</f>
        <v>0</v>
      </c>
      <c r="R271" s="536"/>
      <c r="S271" s="536">
        <f>+SUM(S269:S270)</f>
        <v>0</v>
      </c>
      <c r="T271" s="536"/>
      <c r="U271" s="536">
        <f>+SUM(U269:U270)</f>
        <v>0</v>
      </c>
      <c r="V271" s="536"/>
    </row>
    <row r="272" spans="2:22" ht="21" customHeight="1" x14ac:dyDescent="0.25">
      <c r="B272" s="452">
        <f>+B268+1</f>
        <v>7</v>
      </c>
      <c r="C272" s="466" t="e">
        <f t="shared" si="172"/>
        <v>#REF!</v>
      </c>
      <c r="D272" s="453" t="s">
        <v>499</v>
      </c>
      <c r="E272" s="460"/>
      <c r="F272" s="461"/>
      <c r="G272" s="440"/>
      <c r="H272" s="438"/>
      <c r="I272" s="438"/>
      <c r="J272" s="438"/>
      <c r="K272" s="536"/>
      <c r="L272" s="756"/>
      <c r="M272" s="536"/>
      <c r="N272" s="536"/>
      <c r="O272" s="536"/>
      <c r="P272" s="536"/>
      <c r="Q272" s="536"/>
      <c r="R272" s="536"/>
      <c r="S272" s="536"/>
      <c r="T272" s="536"/>
      <c r="U272" s="536"/>
      <c r="V272" s="536"/>
    </row>
    <row r="273" spans="2:22" ht="21" customHeight="1" x14ac:dyDescent="0.25">
      <c r="B273" s="554">
        <v>7.01</v>
      </c>
      <c r="C273" s="584" t="e">
        <f t="shared" si="172"/>
        <v>#REF!</v>
      </c>
      <c r="D273" s="495" t="s">
        <v>498</v>
      </c>
      <c r="E273" s="500"/>
      <c r="F273" s="494"/>
      <c r="G273" s="532" t="s">
        <v>12</v>
      </c>
      <c r="H273" s="553">
        <v>83.54</v>
      </c>
      <c r="I273" s="553"/>
      <c r="J273" s="553">
        <v>3.51</v>
      </c>
      <c r="K273" s="553">
        <f t="shared" ref="K273" si="210">+ROUND($H273*J273,2)</f>
        <v>293.23</v>
      </c>
      <c r="L273" s="553">
        <f>+L53</f>
        <v>3.9891797999999996</v>
      </c>
      <c r="M273" s="553">
        <f t="shared" ref="M273" si="211">+ROUND($H273*L273,2)</f>
        <v>333.26</v>
      </c>
      <c r="N273" s="553">
        <f>+IF($L273-$J273&gt;=0,$L273-$J273,0)</f>
        <v>0.47917979999999982</v>
      </c>
      <c r="O273" s="553">
        <f t="shared" ref="O273" si="212">+ROUND($H273*N273,2)</f>
        <v>40.03</v>
      </c>
      <c r="P273" s="553"/>
      <c r="Q273" s="553">
        <f t="shared" ref="Q273" si="213">+ROUND($H273*P273,2)</f>
        <v>0</v>
      </c>
      <c r="R273" s="553">
        <f>+IF($L273-$J273&lt;=0,-$L273+$J273,0)</f>
        <v>0</v>
      </c>
      <c r="S273" s="553">
        <f t="shared" ref="S273" si="214">+ROUND($H273*R273,2)</f>
        <v>0</v>
      </c>
      <c r="T273" s="553"/>
      <c r="U273" s="553">
        <f t="shared" ref="U273" si="215">+ROUND($H273*T273,2)</f>
        <v>0</v>
      </c>
      <c r="V273" s="553"/>
    </row>
    <row r="274" spans="2:22" ht="21" customHeight="1" x14ac:dyDescent="0.25">
      <c r="B274" s="456"/>
      <c r="C274" s="466" t="e">
        <f>+#REF!+1</f>
        <v>#REF!</v>
      </c>
      <c r="D274" s="537"/>
      <c r="E274" s="538"/>
      <c r="F274" s="533" t="str">
        <f>+"SUB-TOTAL   "&amp;B272&amp;":  "</f>
        <v xml:space="preserve">SUB-TOTAL   7:  </v>
      </c>
      <c r="G274" s="440"/>
      <c r="H274" s="540"/>
      <c r="I274" s="540"/>
      <c r="J274" s="540"/>
      <c r="K274" s="589">
        <f>+SUM(K273:K273)</f>
        <v>293.23</v>
      </c>
      <c r="L274" s="540"/>
      <c r="M274" s="589">
        <f>+SUM(M273:M273)</f>
        <v>333.26</v>
      </c>
      <c r="N274" s="589"/>
      <c r="O274" s="589">
        <f>+SUM(O273:O273)</f>
        <v>40.03</v>
      </c>
      <c r="P274" s="589"/>
      <c r="Q274" s="589">
        <f>+SUM(Q273:Q273)</f>
        <v>0</v>
      </c>
      <c r="R274" s="589"/>
      <c r="S274" s="589">
        <f>+SUM(S273:S273)</f>
        <v>0</v>
      </c>
      <c r="T274" s="589"/>
      <c r="U274" s="589">
        <f>+SUM(U273:U273)</f>
        <v>0</v>
      </c>
      <c r="V274" s="589"/>
    </row>
    <row r="275" spans="2:22" ht="21" customHeight="1" x14ac:dyDescent="0.25">
      <c r="B275" s="452">
        <f>+B272+1</f>
        <v>8</v>
      </c>
      <c r="C275" s="466" t="e">
        <f t="shared" si="172"/>
        <v>#REF!</v>
      </c>
      <c r="D275" s="453" t="s">
        <v>621</v>
      </c>
      <c r="E275" s="445"/>
      <c r="F275" s="446"/>
      <c r="G275" s="440"/>
      <c r="H275" s="438"/>
      <c r="I275" s="438"/>
      <c r="J275" s="438"/>
      <c r="K275" s="438"/>
      <c r="L275" s="756"/>
      <c r="M275" s="438"/>
      <c r="N275" s="438"/>
      <c r="O275" s="438"/>
      <c r="P275" s="438"/>
      <c r="Q275" s="438"/>
      <c r="R275" s="438"/>
      <c r="S275" s="438"/>
      <c r="T275" s="438"/>
      <c r="U275" s="438"/>
      <c r="V275" s="438"/>
    </row>
    <row r="276" spans="2:22" ht="21" customHeight="1" x14ac:dyDescent="0.25">
      <c r="B276" s="562">
        <v>8.01</v>
      </c>
      <c r="C276" s="576" t="e">
        <f t="shared" si="172"/>
        <v>#REF!</v>
      </c>
      <c r="D276" s="502" t="s">
        <v>495</v>
      </c>
      <c r="E276" s="496"/>
      <c r="F276" s="497"/>
      <c r="G276" s="530" t="s">
        <v>11</v>
      </c>
      <c r="H276" s="553">
        <v>0.68</v>
      </c>
      <c r="I276" s="553"/>
      <c r="J276" s="553">
        <v>41</v>
      </c>
      <c r="K276" s="553">
        <f t="shared" ref="K276:K281" si="216">+ROUND($H276*J276,2)</f>
        <v>27.88</v>
      </c>
      <c r="L276" s="553">
        <f t="shared" ref="L276:L281" si="217">+L56</f>
        <v>47</v>
      </c>
      <c r="M276" s="553">
        <f t="shared" ref="M276:M279" si="218">+ROUND($H276*L276,2)</f>
        <v>31.96</v>
      </c>
      <c r="N276" s="553">
        <f>+IF($L276-$J276&gt;=0,$L276-$J276,0)</f>
        <v>6</v>
      </c>
      <c r="O276" s="553">
        <f t="shared" ref="O276:O281" si="219">+ROUND($H276*N276,2)</f>
        <v>4.08</v>
      </c>
      <c r="P276" s="553"/>
      <c r="Q276" s="553">
        <f t="shared" ref="Q276:Q279" si="220">+ROUND($H276*P276,2)</f>
        <v>0</v>
      </c>
      <c r="R276" s="553">
        <f>+IF($L276-$J276&lt;=0,-$L276+$J276,0)</f>
        <v>0</v>
      </c>
      <c r="S276" s="553">
        <f t="shared" ref="S276:S281" si="221">+ROUND($H276*R276,2)</f>
        <v>0</v>
      </c>
      <c r="T276" s="553"/>
      <c r="U276" s="553">
        <f t="shared" ref="U276:U281" si="222">+ROUND($H276*T276,2)</f>
        <v>0</v>
      </c>
      <c r="V276" s="553"/>
    </row>
    <row r="277" spans="2:22" ht="21" customHeight="1" x14ac:dyDescent="0.25">
      <c r="B277" s="562">
        <v>8.02</v>
      </c>
      <c r="C277" s="576" t="e">
        <f t="shared" si="172"/>
        <v>#REF!</v>
      </c>
      <c r="D277" s="502" t="s">
        <v>491</v>
      </c>
      <c r="E277" s="496"/>
      <c r="F277" s="497"/>
      <c r="G277" s="530" t="s">
        <v>11</v>
      </c>
      <c r="H277" s="553">
        <v>0.35</v>
      </c>
      <c r="I277" s="553"/>
      <c r="J277" s="553">
        <v>41</v>
      </c>
      <c r="K277" s="553">
        <f t="shared" si="216"/>
        <v>14.35</v>
      </c>
      <c r="L277" s="553">
        <f t="shared" si="217"/>
        <v>40</v>
      </c>
      <c r="M277" s="553">
        <f t="shared" si="218"/>
        <v>14</v>
      </c>
      <c r="N277" s="553">
        <f t="shared" ref="N277:N279" si="223">+IF($L277-$J277&gt;=0,$L277-$J277,0)</f>
        <v>0</v>
      </c>
      <c r="O277" s="553">
        <f t="shared" si="219"/>
        <v>0</v>
      </c>
      <c r="P277" s="553"/>
      <c r="Q277" s="553">
        <f t="shared" si="220"/>
        <v>0</v>
      </c>
      <c r="R277" s="553">
        <f t="shared" ref="R277:R279" si="224">+IF($L277-$J277&lt;=0,-$L277+$J277,0)</f>
        <v>1</v>
      </c>
      <c r="S277" s="553">
        <f t="shared" si="221"/>
        <v>0.35</v>
      </c>
      <c r="T277" s="553"/>
      <c r="U277" s="553">
        <f t="shared" si="222"/>
        <v>0</v>
      </c>
      <c r="V277" s="553"/>
    </row>
    <row r="278" spans="2:22" ht="21" customHeight="1" x14ac:dyDescent="0.25">
      <c r="B278" s="562">
        <v>8.0299999999999994</v>
      </c>
      <c r="C278" s="576" t="e">
        <f t="shared" si="172"/>
        <v>#REF!</v>
      </c>
      <c r="D278" s="502" t="s">
        <v>489</v>
      </c>
      <c r="E278" s="498"/>
      <c r="F278" s="499"/>
      <c r="G278" s="530" t="s">
        <v>13</v>
      </c>
      <c r="H278" s="553">
        <v>0.42</v>
      </c>
      <c r="I278" s="553"/>
      <c r="J278" s="553">
        <v>170</v>
      </c>
      <c r="K278" s="553">
        <f t="shared" si="216"/>
        <v>71.400000000000006</v>
      </c>
      <c r="L278" s="553">
        <f t="shared" si="217"/>
        <v>227.5</v>
      </c>
      <c r="M278" s="553">
        <f t="shared" si="218"/>
        <v>95.55</v>
      </c>
      <c r="N278" s="553">
        <f t="shared" si="223"/>
        <v>57.5</v>
      </c>
      <c r="O278" s="553">
        <f t="shared" si="219"/>
        <v>24.15</v>
      </c>
      <c r="P278" s="557"/>
      <c r="Q278" s="553">
        <f t="shared" si="220"/>
        <v>0</v>
      </c>
      <c r="R278" s="553">
        <f t="shared" si="224"/>
        <v>0</v>
      </c>
      <c r="S278" s="553">
        <f t="shared" si="221"/>
        <v>0</v>
      </c>
      <c r="T278" s="557"/>
      <c r="U278" s="553">
        <f t="shared" si="222"/>
        <v>0</v>
      </c>
      <c r="V278" s="557"/>
    </row>
    <row r="279" spans="2:22" ht="21" customHeight="1" x14ac:dyDescent="0.25">
      <c r="B279" s="562">
        <v>8.0399999999999991</v>
      </c>
      <c r="C279" s="576" t="e">
        <f t="shared" si="172"/>
        <v>#REF!</v>
      </c>
      <c r="D279" s="502" t="s">
        <v>484</v>
      </c>
      <c r="E279" s="500"/>
      <c r="F279" s="494"/>
      <c r="G279" s="530" t="s">
        <v>11</v>
      </c>
      <c r="H279" s="553">
        <v>0.88</v>
      </c>
      <c r="I279" s="553"/>
      <c r="J279" s="553">
        <v>16</v>
      </c>
      <c r="K279" s="553">
        <f t="shared" si="216"/>
        <v>14.08</v>
      </c>
      <c r="L279" s="553">
        <f t="shared" si="217"/>
        <v>22</v>
      </c>
      <c r="M279" s="553">
        <f t="shared" si="218"/>
        <v>19.36</v>
      </c>
      <c r="N279" s="553">
        <f t="shared" si="223"/>
        <v>6</v>
      </c>
      <c r="O279" s="553">
        <f t="shared" si="219"/>
        <v>5.28</v>
      </c>
      <c r="P279" s="553"/>
      <c r="Q279" s="553">
        <f t="shared" si="220"/>
        <v>0</v>
      </c>
      <c r="R279" s="553">
        <f t="shared" si="224"/>
        <v>0</v>
      </c>
      <c r="S279" s="553">
        <f t="shared" si="221"/>
        <v>0</v>
      </c>
      <c r="T279" s="553"/>
      <c r="U279" s="553">
        <f t="shared" si="222"/>
        <v>0</v>
      </c>
      <c r="V279" s="553"/>
    </row>
    <row r="280" spans="2:22" s="547" customFormat="1" ht="21" customHeight="1" x14ac:dyDescent="0.25">
      <c r="B280" s="559">
        <v>8.0499999999999989</v>
      </c>
      <c r="C280" s="577" t="e">
        <f>+#REF!+1</f>
        <v>#REF!</v>
      </c>
      <c r="D280" s="501" t="s">
        <v>786</v>
      </c>
      <c r="E280" s="635"/>
      <c r="F280" s="636"/>
      <c r="G280" s="531" t="s">
        <v>11</v>
      </c>
      <c r="H280" s="560"/>
      <c r="I280" s="560">
        <v>0.09</v>
      </c>
      <c r="J280" s="560"/>
      <c r="K280" s="560">
        <f t="shared" si="216"/>
        <v>0</v>
      </c>
      <c r="L280" s="560">
        <f t="shared" si="217"/>
        <v>3</v>
      </c>
      <c r="M280" s="560">
        <f>+ROUND($I280*L280,2)</f>
        <v>0.27</v>
      </c>
      <c r="N280" s="560"/>
      <c r="O280" s="560">
        <f t="shared" si="219"/>
        <v>0</v>
      </c>
      <c r="P280" s="658">
        <f>+L280</f>
        <v>3</v>
      </c>
      <c r="Q280" s="560">
        <f>+ROUND($I280*P280,2)</f>
        <v>0.27</v>
      </c>
      <c r="R280" s="641"/>
      <c r="S280" s="560">
        <f t="shared" si="221"/>
        <v>0</v>
      </c>
      <c r="T280" s="641"/>
      <c r="U280" s="560">
        <f t="shared" si="222"/>
        <v>0</v>
      </c>
      <c r="V280" s="641"/>
    </row>
    <row r="281" spans="2:22" s="547" customFormat="1" ht="21" customHeight="1" x14ac:dyDescent="0.25">
      <c r="B281" s="559">
        <v>8.0599999999999987</v>
      </c>
      <c r="C281" s="575" t="e">
        <f t="shared" ref="C281" si="225">+C280+1</f>
        <v>#REF!</v>
      </c>
      <c r="D281" s="501" t="s">
        <v>769</v>
      </c>
      <c r="E281" s="642"/>
      <c r="F281" s="643"/>
      <c r="G281" s="564" t="s">
        <v>13</v>
      </c>
      <c r="H281" s="640"/>
      <c r="I281" s="640">
        <v>0.15</v>
      </c>
      <c r="J281" s="633"/>
      <c r="K281" s="633">
        <f t="shared" si="216"/>
        <v>0</v>
      </c>
      <c r="L281" s="560">
        <f t="shared" si="217"/>
        <v>13.799999999999999</v>
      </c>
      <c r="M281" s="560">
        <f>+ROUND($I281*L281,2)</f>
        <v>2.0699999999999998</v>
      </c>
      <c r="N281" s="560"/>
      <c r="O281" s="560">
        <f t="shared" si="219"/>
        <v>0</v>
      </c>
      <c r="P281" s="633">
        <f>+L281</f>
        <v>13.799999999999999</v>
      </c>
      <c r="Q281" s="560">
        <f>+ROUND($I281*P281,2)</f>
        <v>2.0699999999999998</v>
      </c>
      <c r="R281" s="633"/>
      <c r="S281" s="560">
        <f t="shared" si="221"/>
        <v>0</v>
      </c>
      <c r="T281" s="633"/>
      <c r="U281" s="560">
        <f t="shared" si="222"/>
        <v>0</v>
      </c>
      <c r="V281" s="633"/>
    </row>
    <row r="282" spans="2:22" ht="21" customHeight="1" x14ac:dyDescent="0.25">
      <c r="B282" s="456"/>
      <c r="C282" s="482" t="e">
        <f>+#REF!+1</f>
        <v>#REF!</v>
      </c>
      <c r="D282" s="537"/>
      <c r="E282" s="538"/>
      <c r="F282" s="533" t="str">
        <f>+"SUB-TOTAL   "&amp;B275&amp;":  "</f>
        <v xml:space="preserve">SUB-TOTAL   8:  </v>
      </c>
      <c r="G282" s="440"/>
      <c r="H282" s="540"/>
      <c r="I282" s="540"/>
      <c r="J282" s="540"/>
      <c r="K282" s="589">
        <f>+SUM(K276:K281)</f>
        <v>127.71</v>
      </c>
      <c r="L282" s="540"/>
      <c r="M282" s="589">
        <f>+SUM(M276:M281)</f>
        <v>163.21</v>
      </c>
      <c r="N282" s="589"/>
      <c r="O282" s="589">
        <f>+SUM(O276:O281)</f>
        <v>33.51</v>
      </c>
      <c r="P282" s="589"/>
      <c r="Q282" s="589">
        <f>+SUM(Q276:Q281)</f>
        <v>2.34</v>
      </c>
      <c r="R282" s="589"/>
      <c r="S282" s="589">
        <f>+SUM(S276:S281)</f>
        <v>0.35</v>
      </c>
      <c r="T282" s="589"/>
      <c r="U282" s="589">
        <f>+SUM(U276:U281)</f>
        <v>0</v>
      </c>
      <c r="V282" s="589"/>
    </row>
    <row r="283" spans="2:22" ht="21" customHeight="1" x14ac:dyDescent="0.25">
      <c r="B283" s="452">
        <f>+B275+1</f>
        <v>9</v>
      </c>
      <c r="C283" s="482" t="e">
        <f t="shared" ref="C283:C346" si="226">+C282+1</f>
        <v>#REF!</v>
      </c>
      <c r="D283" s="453" t="s">
        <v>482</v>
      </c>
      <c r="E283" s="445"/>
      <c r="F283" s="446"/>
      <c r="G283" s="440"/>
      <c r="H283" s="438"/>
      <c r="I283" s="438"/>
      <c r="J283" s="438"/>
      <c r="K283" s="438"/>
      <c r="L283" s="756"/>
      <c r="M283" s="438"/>
      <c r="N283" s="438"/>
      <c r="O283" s="438"/>
      <c r="P283" s="438"/>
      <c r="Q283" s="438"/>
      <c r="R283" s="438"/>
      <c r="S283" s="438"/>
      <c r="T283" s="438"/>
      <c r="U283" s="438"/>
      <c r="V283" s="457"/>
    </row>
    <row r="284" spans="2:22" ht="21" customHeight="1" x14ac:dyDescent="0.25">
      <c r="B284" s="562">
        <v>9.01</v>
      </c>
      <c r="C284" s="576" t="e">
        <f t="shared" si="226"/>
        <v>#REF!</v>
      </c>
      <c r="D284" s="502" t="s">
        <v>14</v>
      </c>
      <c r="E284" s="496"/>
      <c r="F284" s="497"/>
      <c r="G284" s="532" t="s">
        <v>13</v>
      </c>
      <c r="H284" s="553">
        <v>0.84</v>
      </c>
      <c r="I284" s="553"/>
      <c r="J284" s="553">
        <v>717.5</v>
      </c>
      <c r="K284" s="553">
        <f t="shared" ref="K284" si="227">+ROUND($H284*J284,2)</f>
        <v>602.70000000000005</v>
      </c>
      <c r="L284" s="553">
        <f>+L64</f>
        <v>431.5</v>
      </c>
      <c r="M284" s="553">
        <f t="shared" ref="M284" si="228">+ROUND($H284*L284,2)</f>
        <v>362.46</v>
      </c>
      <c r="N284" s="553">
        <f>+IF($L284-$J284&gt;=0,$L284-$J284,0)</f>
        <v>0</v>
      </c>
      <c r="O284" s="553">
        <f t="shared" ref="O284" si="229">+ROUND($H284*N284,2)</f>
        <v>0</v>
      </c>
      <c r="P284" s="553"/>
      <c r="Q284" s="553">
        <f t="shared" ref="Q284" si="230">+ROUND($H284*P284,2)</f>
        <v>0</v>
      </c>
      <c r="R284" s="553">
        <f>+IF($L284-$J284&lt;=0,-$L284+$J284,0)</f>
        <v>286</v>
      </c>
      <c r="S284" s="553">
        <f t="shared" ref="S284" si="231">+ROUND($H284*R284,2)</f>
        <v>240.24</v>
      </c>
      <c r="T284" s="553"/>
      <c r="U284" s="553">
        <f t="shared" ref="U284" si="232">+ROUND($H284*T284,2)</f>
        <v>0</v>
      </c>
      <c r="V284" s="553"/>
    </row>
    <row r="285" spans="2:22" ht="21" customHeight="1" x14ac:dyDescent="0.25">
      <c r="B285" s="456"/>
      <c r="C285" s="466" t="e">
        <f>+#REF!+1</f>
        <v>#REF!</v>
      </c>
      <c r="D285" s="537"/>
      <c r="E285" s="595"/>
      <c r="F285" s="544" t="str">
        <f>+"SUB-TOTAL   "&amp;B283&amp;":  "</f>
        <v xml:space="preserve">SUB-TOTAL   9:  </v>
      </c>
      <c r="G285" s="440"/>
      <c r="H285" s="540"/>
      <c r="I285" s="540"/>
      <c r="J285" s="540"/>
      <c r="K285" s="589">
        <f>+SUM(K284:K284)</f>
        <v>602.70000000000005</v>
      </c>
      <c r="L285" s="540"/>
      <c r="M285" s="589">
        <f>+SUM(M284:M284)</f>
        <v>362.46</v>
      </c>
      <c r="N285" s="589"/>
      <c r="O285" s="589">
        <f>+SUM(O284:O284)</f>
        <v>0</v>
      </c>
      <c r="P285" s="589"/>
      <c r="Q285" s="589">
        <f>+SUM(Q284:Q284)</f>
        <v>0</v>
      </c>
      <c r="R285" s="589"/>
      <c r="S285" s="589">
        <f>+SUM(S284:S284)</f>
        <v>240.24</v>
      </c>
      <c r="T285" s="589"/>
      <c r="U285" s="589">
        <f>+SUM(U284:U284)</f>
        <v>0</v>
      </c>
      <c r="V285" s="589"/>
    </row>
    <row r="286" spans="2:22" ht="21" customHeight="1" x14ac:dyDescent="0.25">
      <c r="B286" s="452">
        <f>1+B283</f>
        <v>10</v>
      </c>
      <c r="C286" s="466" t="e">
        <f t="shared" si="226"/>
        <v>#REF!</v>
      </c>
      <c r="D286" s="453" t="s">
        <v>481</v>
      </c>
      <c r="E286" s="445"/>
      <c r="F286" s="446"/>
      <c r="G286" s="440"/>
      <c r="H286" s="590"/>
      <c r="I286" s="590"/>
      <c r="J286" s="591"/>
      <c r="K286" s="592"/>
      <c r="L286" s="756"/>
      <c r="M286" s="592"/>
      <c r="N286" s="590"/>
      <c r="O286" s="592"/>
      <c r="P286" s="590"/>
      <c r="Q286" s="592"/>
      <c r="R286" s="590"/>
      <c r="S286" s="592"/>
      <c r="T286" s="590"/>
      <c r="U286" s="592"/>
      <c r="V286" s="590"/>
    </row>
    <row r="287" spans="2:22" s="418" customFormat="1" ht="21" customHeight="1" x14ac:dyDescent="0.25">
      <c r="B287" s="562">
        <v>10.01</v>
      </c>
      <c r="C287" s="576" t="e">
        <f>+#REF!+1</f>
        <v>#REF!</v>
      </c>
      <c r="D287" s="502" t="s">
        <v>480</v>
      </c>
      <c r="E287" s="513"/>
      <c r="F287" s="499"/>
      <c r="G287" s="530" t="s">
        <v>11</v>
      </c>
      <c r="H287" s="712">
        <v>0.32</v>
      </c>
      <c r="I287" s="712"/>
      <c r="J287" s="553">
        <v>13</v>
      </c>
      <c r="K287" s="558">
        <f t="shared" ref="K287:K304" si="233">+ROUND($H287*J287,2)</f>
        <v>4.16</v>
      </c>
      <c r="L287" s="553">
        <f t="shared" ref="L287:L304" si="234">+L67</f>
        <v>20</v>
      </c>
      <c r="M287" s="558">
        <f t="shared" ref="M287:M301" si="235">+ROUND($H287*L287,2)</f>
        <v>6.4</v>
      </c>
      <c r="N287" s="558">
        <f>+IF($L287-$J287&gt;=0,$L287-$J287,0)</f>
        <v>7</v>
      </c>
      <c r="O287" s="558">
        <f t="shared" ref="O287:O304" si="236">+ROUND($H287*N287,2)</f>
        <v>2.2400000000000002</v>
      </c>
      <c r="P287" s="712"/>
      <c r="Q287" s="558">
        <f t="shared" ref="Q287:Q301" si="237">+ROUND($H287*P287,2)</f>
        <v>0</v>
      </c>
      <c r="R287" s="553">
        <f>+IF($L287-$J287&lt;=0,-$L287+$J287,0)</f>
        <v>0</v>
      </c>
      <c r="S287" s="558">
        <f t="shared" ref="S287:S304" si="238">+ROUND($H287*R287,2)</f>
        <v>0</v>
      </c>
      <c r="T287" s="712"/>
      <c r="U287" s="558">
        <f t="shared" ref="U287:U304" si="239">+ROUND($H287*T287,2)</f>
        <v>0</v>
      </c>
      <c r="V287" s="712"/>
    </row>
    <row r="288" spans="2:22" s="418" customFormat="1" ht="21" customHeight="1" x14ac:dyDescent="0.25">
      <c r="B288" s="562">
        <v>10.02</v>
      </c>
      <c r="C288" s="576" t="e">
        <f t="shared" si="226"/>
        <v>#REF!</v>
      </c>
      <c r="D288" s="502" t="s">
        <v>339</v>
      </c>
      <c r="E288" s="514"/>
      <c r="F288" s="515"/>
      <c r="G288" s="530" t="s">
        <v>11</v>
      </c>
      <c r="H288" s="553">
        <v>0.32</v>
      </c>
      <c r="I288" s="553"/>
      <c r="J288" s="553">
        <v>13</v>
      </c>
      <c r="K288" s="558">
        <f t="shared" si="233"/>
        <v>4.16</v>
      </c>
      <c r="L288" s="553">
        <f t="shared" si="234"/>
        <v>15</v>
      </c>
      <c r="M288" s="558">
        <f t="shared" si="235"/>
        <v>4.8</v>
      </c>
      <c r="N288" s="558">
        <f t="shared" ref="N288:N293" si="240">+IF($L288-$J288&gt;=0,$L288-$J288,0)</f>
        <v>2</v>
      </c>
      <c r="O288" s="558">
        <f t="shared" si="236"/>
        <v>0.64</v>
      </c>
      <c r="P288" s="553"/>
      <c r="Q288" s="558">
        <f t="shared" si="237"/>
        <v>0</v>
      </c>
      <c r="R288" s="553">
        <f t="shared" ref="R288:R293" si="241">+IF($L288-$J288&lt;=0,-$L288+$J288,0)</f>
        <v>0</v>
      </c>
      <c r="S288" s="558">
        <f t="shared" si="238"/>
        <v>0</v>
      </c>
      <c r="T288" s="553"/>
      <c r="U288" s="558">
        <f t="shared" si="239"/>
        <v>0</v>
      </c>
      <c r="V288" s="553"/>
    </row>
    <row r="289" spans="2:22" s="418" customFormat="1" ht="21" customHeight="1" x14ac:dyDescent="0.25">
      <c r="B289" s="562">
        <v>10.029999999999999</v>
      </c>
      <c r="C289" s="576" t="e">
        <f t="shared" si="226"/>
        <v>#REF!</v>
      </c>
      <c r="D289" s="502" t="s">
        <v>479</v>
      </c>
      <c r="E289" s="496"/>
      <c r="F289" s="497"/>
      <c r="G289" s="530" t="s">
        <v>11</v>
      </c>
      <c r="H289" s="553">
        <v>0.31</v>
      </c>
      <c r="I289" s="553"/>
      <c r="J289" s="553">
        <v>32</v>
      </c>
      <c r="K289" s="558">
        <f t="shared" si="233"/>
        <v>9.92</v>
      </c>
      <c r="L289" s="553">
        <f t="shared" si="234"/>
        <v>25</v>
      </c>
      <c r="M289" s="558">
        <f t="shared" si="235"/>
        <v>7.75</v>
      </c>
      <c r="N289" s="558">
        <f t="shared" si="240"/>
        <v>0</v>
      </c>
      <c r="O289" s="558">
        <f t="shared" si="236"/>
        <v>0</v>
      </c>
      <c r="P289" s="553"/>
      <c r="Q289" s="558">
        <f t="shared" si="237"/>
        <v>0</v>
      </c>
      <c r="R289" s="553">
        <f t="shared" si="241"/>
        <v>7</v>
      </c>
      <c r="S289" s="558">
        <f t="shared" si="238"/>
        <v>2.17</v>
      </c>
      <c r="T289" s="553">
        <f>+N290+N291</f>
        <v>6</v>
      </c>
      <c r="U289" s="558">
        <f t="shared" si="239"/>
        <v>1.86</v>
      </c>
      <c r="V289" s="553" t="s">
        <v>870</v>
      </c>
    </row>
    <row r="290" spans="2:22" s="418" customFormat="1" ht="21" customHeight="1" x14ac:dyDescent="0.25">
      <c r="B290" s="562">
        <v>10.039999999999999</v>
      </c>
      <c r="C290" s="576" t="e">
        <f t="shared" si="226"/>
        <v>#REF!</v>
      </c>
      <c r="D290" s="502" t="s">
        <v>478</v>
      </c>
      <c r="E290" s="496"/>
      <c r="F290" s="497"/>
      <c r="G290" s="530" t="s">
        <v>11</v>
      </c>
      <c r="H290" s="553">
        <v>0.34</v>
      </c>
      <c r="I290" s="553"/>
      <c r="J290" s="553">
        <v>26</v>
      </c>
      <c r="K290" s="558">
        <f t="shared" si="233"/>
        <v>8.84</v>
      </c>
      <c r="L290" s="553">
        <f t="shared" si="234"/>
        <v>30</v>
      </c>
      <c r="M290" s="558">
        <f t="shared" si="235"/>
        <v>10.199999999999999</v>
      </c>
      <c r="N290" s="558">
        <f t="shared" si="240"/>
        <v>4</v>
      </c>
      <c r="O290" s="558">
        <f t="shared" si="236"/>
        <v>1.36</v>
      </c>
      <c r="P290" s="553"/>
      <c r="Q290" s="558">
        <f t="shared" si="237"/>
        <v>0</v>
      </c>
      <c r="R290" s="553">
        <f t="shared" si="241"/>
        <v>0</v>
      </c>
      <c r="S290" s="558">
        <f t="shared" si="238"/>
        <v>0</v>
      </c>
      <c r="T290" s="553"/>
      <c r="U290" s="558">
        <f t="shared" si="239"/>
        <v>0</v>
      </c>
      <c r="V290" s="553"/>
    </row>
    <row r="291" spans="2:22" s="418" customFormat="1" ht="21" customHeight="1" x14ac:dyDescent="0.25">
      <c r="B291" s="562">
        <v>10.049999999999999</v>
      </c>
      <c r="C291" s="576" t="e">
        <f>+C288+1</f>
        <v>#REF!</v>
      </c>
      <c r="D291" s="502" t="s">
        <v>477</v>
      </c>
      <c r="E291" s="496"/>
      <c r="F291" s="497"/>
      <c r="G291" s="530" t="s">
        <v>11</v>
      </c>
      <c r="H291" s="553">
        <v>0.36</v>
      </c>
      <c r="I291" s="553"/>
      <c r="J291" s="553">
        <v>13</v>
      </c>
      <c r="K291" s="558">
        <f t="shared" si="233"/>
        <v>4.68</v>
      </c>
      <c r="L291" s="553">
        <f t="shared" si="234"/>
        <v>15</v>
      </c>
      <c r="M291" s="558">
        <f t="shared" si="235"/>
        <v>5.4</v>
      </c>
      <c r="N291" s="558">
        <f t="shared" si="240"/>
        <v>2</v>
      </c>
      <c r="O291" s="558">
        <f t="shared" si="236"/>
        <v>0.72</v>
      </c>
      <c r="P291" s="553"/>
      <c r="Q291" s="558">
        <f t="shared" si="237"/>
        <v>0</v>
      </c>
      <c r="R291" s="553">
        <f t="shared" si="241"/>
        <v>0</v>
      </c>
      <c r="S291" s="558">
        <f t="shared" si="238"/>
        <v>0</v>
      </c>
      <c r="T291" s="553"/>
      <c r="U291" s="558">
        <f t="shared" si="239"/>
        <v>0</v>
      </c>
      <c r="V291" s="553"/>
    </row>
    <row r="292" spans="2:22" s="418" customFormat="1" ht="21" customHeight="1" x14ac:dyDescent="0.25">
      <c r="B292" s="562">
        <v>10.059999999999999</v>
      </c>
      <c r="C292" s="576" t="e">
        <f t="shared" si="226"/>
        <v>#REF!</v>
      </c>
      <c r="D292" s="502" t="s">
        <v>15</v>
      </c>
      <c r="E292" s="496"/>
      <c r="F292" s="497"/>
      <c r="G292" s="530" t="s">
        <v>11</v>
      </c>
      <c r="H292" s="553">
        <v>0.45</v>
      </c>
      <c r="I292" s="553"/>
      <c r="J292" s="553">
        <v>16</v>
      </c>
      <c r="K292" s="558">
        <f t="shared" si="233"/>
        <v>7.2</v>
      </c>
      <c r="L292" s="553">
        <f t="shared" si="234"/>
        <v>7</v>
      </c>
      <c r="M292" s="558">
        <f t="shared" si="235"/>
        <v>3.15</v>
      </c>
      <c r="N292" s="558">
        <f t="shared" si="240"/>
        <v>0</v>
      </c>
      <c r="O292" s="558">
        <f t="shared" si="236"/>
        <v>0</v>
      </c>
      <c r="P292" s="553"/>
      <c r="Q292" s="558">
        <f t="shared" si="237"/>
        <v>0</v>
      </c>
      <c r="R292" s="553">
        <f t="shared" si="241"/>
        <v>9</v>
      </c>
      <c r="S292" s="558">
        <f t="shared" si="238"/>
        <v>4.05</v>
      </c>
      <c r="T292" s="553"/>
      <c r="U292" s="558">
        <f t="shared" si="239"/>
        <v>0</v>
      </c>
      <c r="V292" s="553"/>
    </row>
    <row r="293" spans="2:22" s="418" customFormat="1" ht="21" customHeight="1" x14ac:dyDescent="0.25">
      <c r="B293" s="562">
        <v>10.069999999999999</v>
      </c>
      <c r="C293" s="576" t="e">
        <f>+C290+1</f>
        <v>#REF!</v>
      </c>
      <c r="D293" s="502" t="s">
        <v>475</v>
      </c>
      <c r="E293" s="496"/>
      <c r="F293" s="497"/>
      <c r="G293" s="530" t="s">
        <v>11</v>
      </c>
      <c r="H293" s="553">
        <v>0.41</v>
      </c>
      <c r="I293" s="553"/>
      <c r="J293" s="553">
        <v>50</v>
      </c>
      <c r="K293" s="558">
        <f t="shared" si="233"/>
        <v>20.5</v>
      </c>
      <c r="L293" s="553">
        <f t="shared" si="234"/>
        <v>60</v>
      </c>
      <c r="M293" s="558">
        <f t="shared" si="235"/>
        <v>24.6</v>
      </c>
      <c r="N293" s="558">
        <f t="shared" si="240"/>
        <v>10</v>
      </c>
      <c r="O293" s="558">
        <f t="shared" si="236"/>
        <v>4.0999999999999996</v>
      </c>
      <c r="P293" s="553"/>
      <c r="Q293" s="558">
        <f t="shared" si="237"/>
        <v>0</v>
      </c>
      <c r="R293" s="553">
        <f t="shared" si="241"/>
        <v>0</v>
      </c>
      <c r="S293" s="558">
        <f t="shared" si="238"/>
        <v>0</v>
      </c>
      <c r="T293" s="553"/>
      <c r="U293" s="558">
        <f t="shared" si="239"/>
        <v>0</v>
      </c>
      <c r="V293" s="553"/>
    </row>
    <row r="294" spans="2:22" s="418" customFormat="1" ht="21" customHeight="1" x14ac:dyDescent="0.25">
      <c r="B294" s="562">
        <v>10.079999999999998</v>
      </c>
      <c r="C294" s="576" t="e">
        <f>+C286+1</f>
        <v>#REF!</v>
      </c>
      <c r="D294" s="502" t="s">
        <v>473</v>
      </c>
      <c r="E294" s="513"/>
      <c r="F294" s="499"/>
      <c r="G294" s="530" t="s">
        <v>11</v>
      </c>
      <c r="H294" s="712">
        <v>0.49</v>
      </c>
      <c r="I294" s="712"/>
      <c r="J294" s="553">
        <v>2</v>
      </c>
      <c r="K294" s="558">
        <f t="shared" si="233"/>
        <v>0.98</v>
      </c>
      <c r="L294" s="553">
        <f t="shared" si="234"/>
        <v>0</v>
      </c>
      <c r="M294" s="558">
        <f t="shared" si="235"/>
        <v>0</v>
      </c>
      <c r="N294" s="558">
        <f>+IF($L294-$J294&gt;=0,$L294-$J294,0)</f>
        <v>0</v>
      </c>
      <c r="O294" s="558">
        <f t="shared" si="236"/>
        <v>0</v>
      </c>
      <c r="P294" s="712"/>
      <c r="Q294" s="558">
        <f t="shared" si="237"/>
        <v>0</v>
      </c>
      <c r="R294" s="553">
        <f>+IF($L294-$J294&lt;=0,-$L294+$J294,0)</f>
        <v>2</v>
      </c>
      <c r="S294" s="558">
        <f t="shared" si="238"/>
        <v>0.98</v>
      </c>
      <c r="T294" s="713">
        <f>+R294</f>
        <v>2</v>
      </c>
      <c r="U294" s="558">
        <f t="shared" si="239"/>
        <v>0.98</v>
      </c>
      <c r="V294" s="553" t="s">
        <v>871</v>
      </c>
    </row>
    <row r="295" spans="2:22" s="418" customFormat="1" ht="21" customHeight="1" x14ac:dyDescent="0.25">
      <c r="B295" s="562">
        <v>10.089999999999998</v>
      </c>
      <c r="C295" s="576" t="e">
        <f t="shared" si="226"/>
        <v>#REF!</v>
      </c>
      <c r="D295" s="502" t="s">
        <v>472</v>
      </c>
      <c r="E295" s="514"/>
      <c r="F295" s="515"/>
      <c r="G295" s="530" t="s">
        <v>11</v>
      </c>
      <c r="H295" s="553">
        <v>1.33</v>
      </c>
      <c r="I295" s="553"/>
      <c r="J295" s="553">
        <v>13</v>
      </c>
      <c r="K295" s="558">
        <f t="shared" si="233"/>
        <v>17.29</v>
      </c>
      <c r="L295" s="553">
        <f t="shared" si="234"/>
        <v>20</v>
      </c>
      <c r="M295" s="558">
        <f t="shared" si="235"/>
        <v>26.6</v>
      </c>
      <c r="N295" s="558">
        <f t="shared" ref="N295:N301" si="242">+IF($L295-$J295&gt;=0,$L295-$J295,0)</f>
        <v>7</v>
      </c>
      <c r="O295" s="558">
        <f t="shared" si="236"/>
        <v>9.31</v>
      </c>
      <c r="P295" s="553"/>
      <c r="Q295" s="558">
        <f t="shared" si="237"/>
        <v>0</v>
      </c>
      <c r="R295" s="553">
        <f t="shared" ref="R295:R301" si="243">+IF($L295-$J295&lt;=0,-$L295+$J295,0)</f>
        <v>0</v>
      </c>
      <c r="S295" s="558">
        <f t="shared" si="238"/>
        <v>0</v>
      </c>
      <c r="T295" s="553"/>
      <c r="U295" s="558">
        <f t="shared" si="239"/>
        <v>0</v>
      </c>
      <c r="V295" s="553"/>
    </row>
    <row r="296" spans="2:22" s="418" customFormat="1" ht="21" customHeight="1" x14ac:dyDescent="0.25">
      <c r="B296" s="562">
        <v>10.099999999999998</v>
      </c>
      <c r="C296" s="576" t="e">
        <f t="shared" si="226"/>
        <v>#REF!</v>
      </c>
      <c r="D296" s="502" t="s">
        <v>460</v>
      </c>
      <c r="E296" s="496"/>
      <c r="F296" s="497"/>
      <c r="G296" s="530" t="s">
        <v>11</v>
      </c>
      <c r="H296" s="553">
        <v>0.09</v>
      </c>
      <c r="I296" s="553"/>
      <c r="J296" s="553">
        <v>107</v>
      </c>
      <c r="K296" s="558">
        <f t="shared" si="233"/>
        <v>9.6300000000000008</v>
      </c>
      <c r="L296" s="553">
        <f t="shared" si="234"/>
        <v>149</v>
      </c>
      <c r="M296" s="558">
        <f t="shared" si="235"/>
        <v>13.41</v>
      </c>
      <c r="N296" s="558">
        <f t="shared" si="242"/>
        <v>42</v>
      </c>
      <c r="O296" s="558">
        <f t="shared" si="236"/>
        <v>3.78</v>
      </c>
      <c r="P296" s="553"/>
      <c r="Q296" s="558">
        <f t="shared" si="237"/>
        <v>0</v>
      </c>
      <c r="R296" s="553">
        <f t="shared" si="243"/>
        <v>0</v>
      </c>
      <c r="S296" s="558">
        <f t="shared" si="238"/>
        <v>0</v>
      </c>
      <c r="T296" s="553"/>
      <c r="U296" s="558">
        <f t="shared" si="239"/>
        <v>0</v>
      </c>
      <c r="V296" s="553"/>
    </row>
    <row r="297" spans="2:22" s="418" customFormat="1" ht="21" customHeight="1" x14ac:dyDescent="0.25">
      <c r="B297" s="562">
        <v>10.109999999999998</v>
      </c>
      <c r="C297" s="576" t="e">
        <f t="shared" si="226"/>
        <v>#REF!</v>
      </c>
      <c r="D297" s="502" t="s">
        <v>335</v>
      </c>
      <c r="E297" s="496"/>
      <c r="F297" s="497"/>
      <c r="G297" s="530" t="s">
        <v>11</v>
      </c>
      <c r="H297" s="553">
        <v>0.09</v>
      </c>
      <c r="I297" s="553"/>
      <c r="J297" s="553">
        <v>211</v>
      </c>
      <c r="K297" s="558">
        <f t="shared" si="233"/>
        <v>18.989999999999998</v>
      </c>
      <c r="L297" s="553">
        <f t="shared" si="234"/>
        <v>212</v>
      </c>
      <c r="M297" s="558">
        <f t="shared" si="235"/>
        <v>19.079999999999998</v>
      </c>
      <c r="N297" s="558">
        <f t="shared" si="242"/>
        <v>1</v>
      </c>
      <c r="O297" s="558">
        <f t="shared" si="236"/>
        <v>0.09</v>
      </c>
      <c r="P297" s="553"/>
      <c r="Q297" s="558">
        <f t="shared" si="237"/>
        <v>0</v>
      </c>
      <c r="R297" s="553">
        <f t="shared" si="243"/>
        <v>0</v>
      </c>
      <c r="S297" s="558">
        <f t="shared" si="238"/>
        <v>0</v>
      </c>
      <c r="T297" s="553">
        <f>+R297</f>
        <v>0</v>
      </c>
      <c r="U297" s="558">
        <f t="shared" si="239"/>
        <v>0</v>
      </c>
      <c r="V297" s="553" t="s">
        <v>872</v>
      </c>
    </row>
    <row r="298" spans="2:22" s="418" customFormat="1" ht="21" customHeight="1" x14ac:dyDescent="0.25">
      <c r="B298" s="562">
        <v>10.119999999999997</v>
      </c>
      <c r="C298" s="576" t="e">
        <f>+C295+1</f>
        <v>#REF!</v>
      </c>
      <c r="D298" s="502" t="s">
        <v>17</v>
      </c>
      <c r="E298" s="496"/>
      <c r="F298" s="497"/>
      <c r="G298" s="530" t="s">
        <v>18</v>
      </c>
      <c r="H298" s="553">
        <v>0.22</v>
      </c>
      <c r="I298" s="553"/>
      <c r="J298" s="553">
        <v>34</v>
      </c>
      <c r="K298" s="558">
        <f t="shared" si="233"/>
        <v>7.48</v>
      </c>
      <c r="L298" s="553">
        <f t="shared" si="234"/>
        <v>17</v>
      </c>
      <c r="M298" s="558">
        <f t="shared" si="235"/>
        <v>3.74</v>
      </c>
      <c r="N298" s="558">
        <f t="shared" si="242"/>
        <v>0</v>
      </c>
      <c r="O298" s="558">
        <f t="shared" si="236"/>
        <v>0</v>
      </c>
      <c r="P298" s="553"/>
      <c r="Q298" s="558">
        <f t="shared" si="237"/>
        <v>0</v>
      </c>
      <c r="R298" s="553">
        <f t="shared" si="243"/>
        <v>17</v>
      </c>
      <c r="S298" s="558">
        <f t="shared" si="238"/>
        <v>3.74</v>
      </c>
      <c r="T298" s="553"/>
      <c r="U298" s="558">
        <f t="shared" si="239"/>
        <v>0</v>
      </c>
      <c r="V298" s="553"/>
    </row>
    <row r="299" spans="2:22" s="418" customFormat="1" ht="21" customHeight="1" x14ac:dyDescent="0.25">
      <c r="B299" s="562">
        <v>10.129999999999997</v>
      </c>
      <c r="C299" s="576" t="e">
        <f t="shared" si="226"/>
        <v>#REF!</v>
      </c>
      <c r="D299" s="502" t="s">
        <v>470</v>
      </c>
      <c r="E299" s="496"/>
      <c r="F299" s="497"/>
      <c r="G299" s="530" t="s">
        <v>11</v>
      </c>
      <c r="H299" s="553">
        <v>0.12</v>
      </c>
      <c r="I299" s="553"/>
      <c r="J299" s="553">
        <v>2</v>
      </c>
      <c r="K299" s="558">
        <f t="shared" si="233"/>
        <v>0.24</v>
      </c>
      <c r="L299" s="553">
        <f t="shared" si="234"/>
        <v>0</v>
      </c>
      <c r="M299" s="558">
        <f t="shared" si="235"/>
        <v>0</v>
      </c>
      <c r="N299" s="558">
        <f t="shared" si="242"/>
        <v>0</v>
      </c>
      <c r="O299" s="558">
        <f t="shared" si="236"/>
        <v>0</v>
      </c>
      <c r="P299" s="553"/>
      <c r="Q299" s="558">
        <f t="shared" si="237"/>
        <v>0</v>
      </c>
      <c r="R299" s="553">
        <f t="shared" si="243"/>
        <v>2</v>
      </c>
      <c r="S299" s="558">
        <f t="shared" si="238"/>
        <v>0.24</v>
      </c>
      <c r="T299" s="553"/>
      <c r="U299" s="558">
        <f t="shared" si="239"/>
        <v>0</v>
      </c>
      <c r="V299" s="553"/>
    </row>
    <row r="300" spans="2:22" s="418" customFormat="1" ht="21" customHeight="1" x14ac:dyDescent="0.25">
      <c r="B300" s="562">
        <v>10.139999999999997</v>
      </c>
      <c r="C300" s="576" t="e">
        <f>+C297+1</f>
        <v>#REF!</v>
      </c>
      <c r="D300" s="502" t="s">
        <v>342</v>
      </c>
      <c r="E300" s="496"/>
      <c r="F300" s="497"/>
      <c r="G300" s="530" t="s">
        <v>11</v>
      </c>
      <c r="H300" s="553">
        <v>0.1</v>
      </c>
      <c r="I300" s="553"/>
      <c r="J300" s="553">
        <v>2</v>
      </c>
      <c r="K300" s="558">
        <f t="shared" si="233"/>
        <v>0.2</v>
      </c>
      <c r="L300" s="553">
        <f t="shared" si="234"/>
        <v>0</v>
      </c>
      <c r="M300" s="558">
        <f t="shared" si="235"/>
        <v>0</v>
      </c>
      <c r="N300" s="558">
        <f t="shared" si="242"/>
        <v>0</v>
      </c>
      <c r="O300" s="558">
        <f t="shared" si="236"/>
        <v>0</v>
      </c>
      <c r="P300" s="553"/>
      <c r="Q300" s="558">
        <f t="shared" si="237"/>
        <v>0</v>
      </c>
      <c r="R300" s="553">
        <f t="shared" si="243"/>
        <v>2</v>
      </c>
      <c r="S300" s="558">
        <f t="shared" si="238"/>
        <v>0.2</v>
      </c>
      <c r="T300" s="553"/>
      <c r="U300" s="558">
        <f t="shared" si="239"/>
        <v>0</v>
      </c>
      <c r="V300" s="553"/>
    </row>
    <row r="301" spans="2:22" s="418" customFormat="1" ht="21" customHeight="1" x14ac:dyDescent="0.25">
      <c r="B301" s="562">
        <v>10.149999999999997</v>
      </c>
      <c r="C301" s="576" t="e">
        <f>+C300+1</f>
        <v>#REF!</v>
      </c>
      <c r="D301" s="502" t="s">
        <v>469</v>
      </c>
      <c r="E301" s="496"/>
      <c r="F301" s="497"/>
      <c r="G301" s="530" t="s">
        <v>11</v>
      </c>
      <c r="H301" s="553">
        <v>7.0000000000000007E-2</v>
      </c>
      <c r="I301" s="553"/>
      <c r="J301" s="553">
        <v>2</v>
      </c>
      <c r="K301" s="558">
        <f t="shared" si="233"/>
        <v>0.14000000000000001</v>
      </c>
      <c r="L301" s="553">
        <f t="shared" si="234"/>
        <v>0</v>
      </c>
      <c r="M301" s="558">
        <f t="shared" si="235"/>
        <v>0</v>
      </c>
      <c r="N301" s="558">
        <f t="shared" si="242"/>
        <v>0</v>
      </c>
      <c r="O301" s="558">
        <f t="shared" si="236"/>
        <v>0</v>
      </c>
      <c r="P301" s="553"/>
      <c r="Q301" s="558">
        <f t="shared" si="237"/>
        <v>0</v>
      </c>
      <c r="R301" s="553">
        <f t="shared" si="243"/>
        <v>2</v>
      </c>
      <c r="S301" s="558">
        <f t="shared" si="238"/>
        <v>0.14000000000000001</v>
      </c>
      <c r="T301" s="553"/>
      <c r="U301" s="558">
        <f t="shared" si="239"/>
        <v>0</v>
      </c>
      <c r="V301" s="553"/>
    </row>
    <row r="302" spans="2:22" s="759" customFormat="1" ht="21" customHeight="1" x14ac:dyDescent="0.25">
      <c r="B302" s="574">
        <v>10.159999999999997</v>
      </c>
      <c r="C302" s="575" t="e">
        <f>+#REF!+1</f>
        <v>#REF!</v>
      </c>
      <c r="D302" s="501" t="s">
        <v>787</v>
      </c>
      <c r="E302" s="646"/>
      <c r="F302" s="636"/>
      <c r="G302" s="596" t="s">
        <v>11</v>
      </c>
      <c r="H302" s="640"/>
      <c r="I302" s="640">
        <f>+H291*1.4</f>
        <v>0.504</v>
      </c>
      <c r="J302" s="640"/>
      <c r="K302" s="647">
        <f t="shared" si="233"/>
        <v>0</v>
      </c>
      <c r="L302" s="560">
        <f t="shared" si="234"/>
        <v>6</v>
      </c>
      <c r="M302" s="647">
        <f>+ROUND($I302*L302,2)</f>
        <v>3.02</v>
      </c>
      <c r="N302" s="561"/>
      <c r="O302" s="561">
        <f t="shared" si="236"/>
        <v>0</v>
      </c>
      <c r="P302" s="786">
        <f>+L302</f>
        <v>6</v>
      </c>
      <c r="Q302" s="647">
        <f>+ROUND($I302*P302,2)</f>
        <v>3.02</v>
      </c>
      <c r="R302" s="787"/>
      <c r="S302" s="561">
        <f t="shared" si="238"/>
        <v>0</v>
      </c>
      <c r="T302" s="787"/>
      <c r="U302" s="561">
        <f t="shared" si="239"/>
        <v>0</v>
      </c>
      <c r="V302" s="787"/>
    </row>
    <row r="303" spans="2:22" s="759" customFormat="1" ht="21" customHeight="1" x14ac:dyDescent="0.25">
      <c r="B303" s="574">
        <v>10.169999999999996</v>
      </c>
      <c r="C303" s="575" t="e">
        <f>+#REF!+1</f>
        <v>#REF!</v>
      </c>
      <c r="D303" s="501" t="s">
        <v>788</v>
      </c>
      <c r="E303" s="646"/>
      <c r="F303" s="636"/>
      <c r="G303" s="596" t="s">
        <v>11</v>
      </c>
      <c r="H303" s="640"/>
      <c r="I303" s="640">
        <f>+'Mtdo-Ppto LP'!I391</f>
        <v>1.33</v>
      </c>
      <c r="J303" s="640"/>
      <c r="K303" s="647">
        <f t="shared" si="233"/>
        <v>0</v>
      </c>
      <c r="L303" s="560">
        <f t="shared" si="234"/>
        <v>6</v>
      </c>
      <c r="M303" s="647">
        <f>+ROUND($I303*L303,2)</f>
        <v>7.98</v>
      </c>
      <c r="N303" s="561"/>
      <c r="O303" s="561">
        <f t="shared" si="236"/>
        <v>0</v>
      </c>
      <c r="P303" s="786">
        <f>+L303</f>
        <v>6</v>
      </c>
      <c r="Q303" s="647">
        <f>+ROUND($I303*P303,2)</f>
        <v>7.98</v>
      </c>
      <c r="R303" s="787"/>
      <c r="S303" s="561">
        <f t="shared" si="238"/>
        <v>0</v>
      </c>
      <c r="T303" s="787"/>
      <c r="U303" s="561">
        <f t="shared" si="239"/>
        <v>0</v>
      </c>
      <c r="V303" s="787"/>
    </row>
    <row r="304" spans="2:22" s="759" customFormat="1" ht="21" customHeight="1" x14ac:dyDescent="0.25">
      <c r="B304" s="559">
        <v>10.179999999999996</v>
      </c>
      <c r="C304" s="575" t="e">
        <f>+#REF!+1</f>
        <v>#REF!</v>
      </c>
      <c r="D304" s="501" t="s">
        <v>806</v>
      </c>
      <c r="E304" s="646"/>
      <c r="F304" s="636"/>
      <c r="G304" s="596" t="s">
        <v>11</v>
      </c>
      <c r="H304" s="640"/>
      <c r="I304" s="640">
        <f>+H294</f>
        <v>0.49</v>
      </c>
      <c r="J304" s="640"/>
      <c r="K304" s="647">
        <f t="shared" si="233"/>
        <v>0</v>
      </c>
      <c r="L304" s="560">
        <f t="shared" si="234"/>
        <v>6</v>
      </c>
      <c r="M304" s="647">
        <f>+ROUND($I304*L304,2)</f>
        <v>2.94</v>
      </c>
      <c r="N304" s="561"/>
      <c r="O304" s="561">
        <f t="shared" si="236"/>
        <v>0</v>
      </c>
      <c r="P304" s="786">
        <f>+L304</f>
        <v>6</v>
      </c>
      <c r="Q304" s="647">
        <f>+ROUND($I304*P304,2)</f>
        <v>2.94</v>
      </c>
      <c r="R304" s="787"/>
      <c r="S304" s="561">
        <f t="shared" si="238"/>
        <v>0</v>
      </c>
      <c r="T304" s="787"/>
      <c r="U304" s="561">
        <f t="shared" si="239"/>
        <v>0</v>
      </c>
      <c r="V304" s="787"/>
    </row>
    <row r="305" spans="2:22" ht="21" customHeight="1" x14ac:dyDescent="0.25">
      <c r="B305" s="456"/>
      <c r="C305" s="466" t="e">
        <f>+#REF!+1</f>
        <v>#REF!</v>
      </c>
      <c r="D305" s="537"/>
      <c r="E305" s="595"/>
      <c r="F305" s="544" t="str">
        <f>+"SUB-TOTAL   "&amp;B286&amp;":  "</f>
        <v xml:space="preserve">SUB-TOTAL   10:  </v>
      </c>
      <c r="G305" s="567"/>
      <c r="H305" s="540"/>
      <c r="I305" s="540"/>
      <c r="J305" s="540"/>
      <c r="K305" s="589">
        <f>+SUM(K287:K304)</f>
        <v>114.40999999999998</v>
      </c>
      <c r="L305" s="540"/>
      <c r="M305" s="589">
        <f>+SUM(M287:M304)</f>
        <v>139.07</v>
      </c>
      <c r="N305" s="589"/>
      <c r="O305" s="589">
        <f>+SUM(O287:O304)</f>
        <v>22.24</v>
      </c>
      <c r="P305" s="589"/>
      <c r="Q305" s="589">
        <f>+SUM(Q287:Q304)</f>
        <v>13.94</v>
      </c>
      <c r="R305" s="589"/>
      <c r="S305" s="589">
        <f>+SUM(S287:S304)</f>
        <v>11.52</v>
      </c>
      <c r="T305" s="589"/>
      <c r="U305" s="589">
        <f>+SUM(U287:U304)</f>
        <v>2.84</v>
      </c>
      <c r="V305" s="589"/>
    </row>
    <row r="306" spans="2:22" ht="21" customHeight="1" x14ac:dyDescent="0.25">
      <c r="B306" s="452">
        <f>1+B286</f>
        <v>11</v>
      </c>
      <c r="C306" s="466">
        <f>+C238+1</f>
        <v>5</v>
      </c>
      <c r="D306" s="453" t="s">
        <v>20</v>
      </c>
      <c r="E306" s="445"/>
      <c r="F306" s="446"/>
      <c r="G306" s="549"/>
      <c r="H306" s="438"/>
      <c r="I306" s="438"/>
      <c r="J306" s="438"/>
      <c r="K306" s="438"/>
      <c r="L306" s="756"/>
      <c r="M306" s="438"/>
      <c r="N306" s="438"/>
      <c r="O306" s="438"/>
      <c r="P306" s="438"/>
      <c r="Q306" s="438"/>
      <c r="R306" s="438"/>
      <c r="S306" s="438"/>
      <c r="T306" s="438"/>
      <c r="U306" s="438"/>
      <c r="V306" s="438"/>
    </row>
    <row r="307" spans="2:22" ht="21" customHeight="1" x14ac:dyDescent="0.25">
      <c r="B307" s="562">
        <v>11.01</v>
      </c>
      <c r="C307" s="576">
        <f t="shared" si="226"/>
        <v>6</v>
      </c>
      <c r="D307" s="502" t="s">
        <v>468</v>
      </c>
      <c r="E307" s="496"/>
      <c r="F307" s="497"/>
      <c r="G307" s="530" t="s">
        <v>11</v>
      </c>
      <c r="H307" s="553">
        <v>0.57999999999999996</v>
      </c>
      <c r="I307" s="553"/>
      <c r="J307" s="553">
        <v>154</v>
      </c>
      <c r="K307" s="553">
        <f t="shared" ref="K307:K317" si="244">+ROUND($H307*J307,2)</f>
        <v>89.32</v>
      </c>
      <c r="L307" s="553">
        <f t="shared" ref="L307:L318" si="245">+L87</f>
        <v>0</v>
      </c>
      <c r="M307" s="553">
        <f t="shared" ref="M307:M317" si="246">+ROUND($H307*L307,2)</f>
        <v>0</v>
      </c>
      <c r="N307" s="553">
        <f>+IF($L307-$J307&gt;=0,$L307-$J307,0)</f>
        <v>0</v>
      </c>
      <c r="O307" s="553">
        <f t="shared" ref="O307:O317" si="247">+ROUND($H307*N307,2)</f>
        <v>0</v>
      </c>
      <c r="P307" s="553"/>
      <c r="Q307" s="553">
        <f t="shared" ref="Q307:Q317" si="248">+ROUND($H307*P307,2)</f>
        <v>0</v>
      </c>
      <c r="R307" s="553">
        <f>+IF($L307-$J307&lt;=0,-$L307+$J307,0)</f>
        <v>154</v>
      </c>
      <c r="S307" s="553">
        <f t="shared" ref="S307:S317" si="249">+ROUND($H307*R307,2)</f>
        <v>89.32</v>
      </c>
      <c r="T307" s="553"/>
      <c r="U307" s="553">
        <f t="shared" ref="U307:U317" si="250">+ROUND($H307*T307,2)</f>
        <v>0</v>
      </c>
      <c r="V307" s="553"/>
    </row>
    <row r="308" spans="2:22" ht="21" customHeight="1" x14ac:dyDescent="0.25">
      <c r="B308" s="562">
        <v>11.02</v>
      </c>
      <c r="C308" s="576">
        <f t="shared" si="226"/>
        <v>7</v>
      </c>
      <c r="D308" s="502" t="s">
        <v>21</v>
      </c>
      <c r="E308" s="496"/>
      <c r="F308" s="497"/>
      <c r="G308" s="530" t="s">
        <v>11</v>
      </c>
      <c r="H308" s="553">
        <v>2.37</v>
      </c>
      <c r="I308" s="553"/>
      <c r="J308" s="553">
        <v>9</v>
      </c>
      <c r="K308" s="553">
        <f t="shared" si="244"/>
        <v>21.33</v>
      </c>
      <c r="L308" s="553">
        <f t="shared" si="245"/>
        <v>14</v>
      </c>
      <c r="M308" s="553">
        <f t="shared" si="246"/>
        <v>33.18</v>
      </c>
      <c r="N308" s="553">
        <f t="shared" ref="N308:N317" si="251">+IF($L308-$J308&gt;=0,$L308-$J308,0)</f>
        <v>5</v>
      </c>
      <c r="O308" s="553">
        <f t="shared" si="247"/>
        <v>11.85</v>
      </c>
      <c r="P308" s="553"/>
      <c r="Q308" s="553">
        <f t="shared" si="248"/>
        <v>0</v>
      </c>
      <c r="R308" s="553">
        <f t="shared" ref="R308:R317" si="252">+IF($L308-$J308&lt;=0,-$L308+$J308,0)</f>
        <v>0</v>
      </c>
      <c r="S308" s="553">
        <f t="shared" si="249"/>
        <v>0</v>
      </c>
      <c r="T308" s="553"/>
      <c r="U308" s="553">
        <f t="shared" si="250"/>
        <v>0</v>
      </c>
      <c r="V308" s="553"/>
    </row>
    <row r="309" spans="2:22" ht="21" customHeight="1" x14ac:dyDescent="0.25">
      <c r="B309" s="562">
        <v>11.03</v>
      </c>
      <c r="C309" s="576">
        <f t="shared" si="226"/>
        <v>8</v>
      </c>
      <c r="D309" s="502" t="s">
        <v>22</v>
      </c>
      <c r="E309" s="496"/>
      <c r="F309" s="497"/>
      <c r="G309" s="530" t="s">
        <v>11</v>
      </c>
      <c r="H309" s="553">
        <v>0.85</v>
      </c>
      <c r="I309" s="553"/>
      <c r="J309" s="553">
        <v>38</v>
      </c>
      <c r="K309" s="553">
        <f t="shared" si="244"/>
        <v>32.299999999999997</v>
      </c>
      <c r="L309" s="553">
        <f t="shared" si="245"/>
        <v>72</v>
      </c>
      <c r="M309" s="553">
        <f t="shared" si="246"/>
        <v>61.2</v>
      </c>
      <c r="N309" s="553">
        <f t="shared" si="251"/>
        <v>34</v>
      </c>
      <c r="O309" s="553">
        <f t="shared" si="247"/>
        <v>28.9</v>
      </c>
      <c r="P309" s="553"/>
      <c r="Q309" s="553">
        <f t="shared" si="248"/>
        <v>0</v>
      </c>
      <c r="R309" s="553">
        <f t="shared" si="252"/>
        <v>0</v>
      </c>
      <c r="S309" s="553">
        <f t="shared" si="249"/>
        <v>0</v>
      </c>
      <c r="T309" s="553"/>
      <c r="U309" s="553">
        <f t="shared" si="250"/>
        <v>0</v>
      </c>
      <c r="V309" s="553"/>
    </row>
    <row r="310" spans="2:22" ht="21" customHeight="1" x14ac:dyDescent="0.25">
      <c r="B310" s="562">
        <v>11.04</v>
      </c>
      <c r="C310" s="576">
        <f t="shared" si="226"/>
        <v>9</v>
      </c>
      <c r="D310" s="502" t="s">
        <v>467</v>
      </c>
      <c r="E310" s="496"/>
      <c r="F310" s="497"/>
      <c r="G310" s="530" t="s">
        <v>11</v>
      </c>
      <c r="H310" s="553">
        <v>0.02</v>
      </c>
      <c r="I310" s="553"/>
      <c r="J310" s="553">
        <v>36</v>
      </c>
      <c r="K310" s="553">
        <f t="shared" si="244"/>
        <v>0.72</v>
      </c>
      <c r="L310" s="553">
        <f t="shared" si="245"/>
        <v>21</v>
      </c>
      <c r="M310" s="553">
        <f t="shared" si="246"/>
        <v>0.42</v>
      </c>
      <c r="N310" s="553">
        <f t="shared" si="251"/>
        <v>0</v>
      </c>
      <c r="O310" s="553">
        <f t="shared" si="247"/>
        <v>0</v>
      </c>
      <c r="P310" s="553"/>
      <c r="Q310" s="553">
        <f t="shared" si="248"/>
        <v>0</v>
      </c>
      <c r="R310" s="553">
        <f t="shared" si="252"/>
        <v>15</v>
      </c>
      <c r="S310" s="553">
        <f t="shared" si="249"/>
        <v>0.3</v>
      </c>
      <c r="T310" s="553"/>
      <c r="U310" s="553">
        <f t="shared" si="250"/>
        <v>0</v>
      </c>
      <c r="V310" s="553"/>
    </row>
    <row r="311" spans="2:22" ht="21" customHeight="1" x14ac:dyDescent="0.25">
      <c r="B311" s="562">
        <v>11.049999999999999</v>
      </c>
      <c r="C311" s="576">
        <f t="shared" si="226"/>
        <v>10</v>
      </c>
      <c r="D311" s="502" t="s">
        <v>24</v>
      </c>
      <c r="E311" s="496"/>
      <c r="F311" s="497"/>
      <c r="G311" s="530" t="s">
        <v>11</v>
      </c>
      <c r="H311" s="553">
        <v>0.2</v>
      </c>
      <c r="I311" s="553"/>
      <c r="J311" s="553">
        <v>9</v>
      </c>
      <c r="K311" s="553">
        <f t="shared" si="244"/>
        <v>1.8</v>
      </c>
      <c r="L311" s="553">
        <f t="shared" si="245"/>
        <v>14</v>
      </c>
      <c r="M311" s="553">
        <f t="shared" si="246"/>
        <v>2.8</v>
      </c>
      <c r="N311" s="553">
        <f t="shared" si="251"/>
        <v>5</v>
      </c>
      <c r="O311" s="553">
        <f t="shared" si="247"/>
        <v>1</v>
      </c>
      <c r="P311" s="553"/>
      <c r="Q311" s="553">
        <f t="shared" si="248"/>
        <v>0</v>
      </c>
      <c r="R311" s="553">
        <f t="shared" si="252"/>
        <v>0</v>
      </c>
      <c r="S311" s="553">
        <f t="shared" si="249"/>
        <v>0</v>
      </c>
      <c r="T311" s="553"/>
      <c r="U311" s="553">
        <f t="shared" si="250"/>
        <v>0</v>
      </c>
      <c r="V311" s="553"/>
    </row>
    <row r="312" spans="2:22" ht="21" customHeight="1" x14ac:dyDescent="0.25">
      <c r="B312" s="562">
        <v>11.059999999999999</v>
      </c>
      <c r="C312" s="576">
        <f t="shared" si="226"/>
        <v>11</v>
      </c>
      <c r="D312" s="502" t="s">
        <v>462</v>
      </c>
      <c r="E312" s="513"/>
      <c r="F312" s="499"/>
      <c r="G312" s="530" t="s">
        <v>11</v>
      </c>
      <c r="H312" s="553">
        <v>1.1499999999999999</v>
      </c>
      <c r="I312" s="553"/>
      <c r="J312" s="553">
        <v>16</v>
      </c>
      <c r="K312" s="553">
        <f t="shared" si="244"/>
        <v>18.399999999999999</v>
      </c>
      <c r="L312" s="553">
        <f t="shared" si="245"/>
        <v>14</v>
      </c>
      <c r="M312" s="553">
        <f t="shared" si="246"/>
        <v>16.100000000000001</v>
      </c>
      <c r="N312" s="553">
        <f t="shared" si="251"/>
        <v>0</v>
      </c>
      <c r="O312" s="553">
        <f t="shared" si="247"/>
        <v>0</v>
      </c>
      <c r="P312" s="585"/>
      <c r="Q312" s="553">
        <f t="shared" si="248"/>
        <v>0</v>
      </c>
      <c r="R312" s="553">
        <f t="shared" si="252"/>
        <v>2</v>
      </c>
      <c r="S312" s="553">
        <f t="shared" si="249"/>
        <v>2.2999999999999998</v>
      </c>
      <c r="T312" s="585"/>
      <c r="U312" s="553">
        <f t="shared" si="250"/>
        <v>0</v>
      </c>
      <c r="V312" s="585"/>
    </row>
    <row r="313" spans="2:22" ht="21" customHeight="1" x14ac:dyDescent="0.25">
      <c r="B313" s="562">
        <v>11.069999999999999</v>
      </c>
      <c r="C313" s="576">
        <f t="shared" si="226"/>
        <v>12</v>
      </c>
      <c r="D313" s="502" t="s">
        <v>464</v>
      </c>
      <c r="E313" s="511"/>
      <c r="F313" s="512"/>
      <c r="G313" s="530" t="s">
        <v>13</v>
      </c>
      <c r="H313" s="553">
        <v>0.25</v>
      </c>
      <c r="I313" s="553"/>
      <c r="J313" s="553">
        <v>9</v>
      </c>
      <c r="K313" s="553">
        <f t="shared" si="244"/>
        <v>2.25</v>
      </c>
      <c r="L313" s="553">
        <f t="shared" si="245"/>
        <v>14</v>
      </c>
      <c r="M313" s="553">
        <f t="shared" si="246"/>
        <v>3.5</v>
      </c>
      <c r="N313" s="553">
        <f t="shared" si="251"/>
        <v>5</v>
      </c>
      <c r="O313" s="553">
        <f t="shared" si="247"/>
        <v>1.25</v>
      </c>
      <c r="P313" s="553"/>
      <c r="Q313" s="553">
        <f t="shared" si="248"/>
        <v>0</v>
      </c>
      <c r="R313" s="553">
        <f t="shared" si="252"/>
        <v>0</v>
      </c>
      <c r="S313" s="553">
        <f t="shared" si="249"/>
        <v>0</v>
      </c>
      <c r="T313" s="553"/>
      <c r="U313" s="553">
        <f t="shared" si="250"/>
        <v>0</v>
      </c>
      <c r="V313" s="553"/>
    </row>
    <row r="314" spans="2:22" ht="21" customHeight="1" x14ac:dyDescent="0.25">
      <c r="B314" s="562">
        <v>11.079999999999998</v>
      </c>
      <c r="C314" s="576">
        <f t="shared" si="226"/>
        <v>13</v>
      </c>
      <c r="D314" s="502" t="s">
        <v>463</v>
      </c>
      <c r="E314" s="496"/>
      <c r="F314" s="497"/>
      <c r="G314" s="530" t="s">
        <v>11</v>
      </c>
      <c r="H314" s="553">
        <v>4.13</v>
      </c>
      <c r="I314" s="553"/>
      <c r="J314" s="553">
        <v>9</v>
      </c>
      <c r="K314" s="553">
        <f t="shared" si="244"/>
        <v>37.17</v>
      </c>
      <c r="L314" s="553">
        <f t="shared" si="245"/>
        <v>14</v>
      </c>
      <c r="M314" s="553">
        <f t="shared" si="246"/>
        <v>57.82</v>
      </c>
      <c r="N314" s="553">
        <f t="shared" si="251"/>
        <v>5</v>
      </c>
      <c r="O314" s="553">
        <f t="shared" si="247"/>
        <v>20.65</v>
      </c>
      <c r="P314" s="553"/>
      <c r="Q314" s="553">
        <f t="shared" si="248"/>
        <v>0</v>
      </c>
      <c r="R314" s="553">
        <f t="shared" si="252"/>
        <v>0</v>
      </c>
      <c r="S314" s="553">
        <f t="shared" si="249"/>
        <v>0</v>
      </c>
      <c r="T314" s="553"/>
      <c r="U314" s="553">
        <f t="shared" si="250"/>
        <v>0</v>
      </c>
      <c r="V314" s="553"/>
    </row>
    <row r="315" spans="2:22" ht="21" customHeight="1" x14ac:dyDescent="0.25">
      <c r="B315" s="562">
        <v>11.089999999999998</v>
      </c>
      <c r="C315" s="576">
        <f t="shared" si="226"/>
        <v>14</v>
      </c>
      <c r="D315" s="502" t="s">
        <v>461</v>
      </c>
      <c r="E315" s="496"/>
      <c r="F315" s="497"/>
      <c r="G315" s="530" t="s">
        <v>11</v>
      </c>
      <c r="H315" s="553">
        <v>23.88</v>
      </c>
      <c r="I315" s="553"/>
      <c r="J315" s="553">
        <v>9</v>
      </c>
      <c r="K315" s="553">
        <f t="shared" si="244"/>
        <v>214.92</v>
      </c>
      <c r="L315" s="553">
        <f t="shared" si="245"/>
        <v>14</v>
      </c>
      <c r="M315" s="553">
        <f t="shared" si="246"/>
        <v>334.32</v>
      </c>
      <c r="N315" s="553">
        <f t="shared" si="251"/>
        <v>5</v>
      </c>
      <c r="O315" s="553">
        <f t="shared" si="247"/>
        <v>119.4</v>
      </c>
      <c r="P315" s="553"/>
      <c r="Q315" s="553">
        <f t="shared" si="248"/>
        <v>0</v>
      </c>
      <c r="R315" s="553">
        <f t="shared" si="252"/>
        <v>0</v>
      </c>
      <c r="S315" s="553">
        <f t="shared" si="249"/>
        <v>0</v>
      </c>
      <c r="T315" s="553"/>
      <c r="U315" s="553">
        <f t="shared" si="250"/>
        <v>0</v>
      </c>
      <c r="V315" s="553"/>
    </row>
    <row r="316" spans="2:22" ht="21" customHeight="1" x14ac:dyDescent="0.25">
      <c r="B316" s="562">
        <v>11.099999999999998</v>
      </c>
      <c r="C316" s="576">
        <f t="shared" si="226"/>
        <v>15</v>
      </c>
      <c r="D316" s="502" t="s">
        <v>16</v>
      </c>
      <c r="E316" s="496"/>
      <c r="F316" s="497"/>
      <c r="G316" s="530" t="s">
        <v>11</v>
      </c>
      <c r="H316" s="553">
        <v>0.48</v>
      </c>
      <c r="I316" s="553"/>
      <c r="J316" s="553">
        <v>5</v>
      </c>
      <c r="K316" s="553">
        <f t="shared" si="244"/>
        <v>2.4</v>
      </c>
      <c r="L316" s="553">
        <f t="shared" si="245"/>
        <v>8</v>
      </c>
      <c r="M316" s="553">
        <f t="shared" si="246"/>
        <v>3.84</v>
      </c>
      <c r="N316" s="553">
        <f t="shared" si="251"/>
        <v>3</v>
      </c>
      <c r="O316" s="553">
        <f t="shared" si="247"/>
        <v>1.44</v>
      </c>
      <c r="P316" s="553"/>
      <c r="Q316" s="553">
        <f t="shared" si="248"/>
        <v>0</v>
      </c>
      <c r="R316" s="553">
        <f t="shared" si="252"/>
        <v>0</v>
      </c>
      <c r="S316" s="553">
        <f t="shared" si="249"/>
        <v>0</v>
      </c>
      <c r="T316" s="553"/>
      <c r="U316" s="553">
        <f t="shared" si="250"/>
        <v>0</v>
      </c>
      <c r="V316" s="553"/>
    </row>
    <row r="317" spans="2:22" ht="21" customHeight="1" x14ac:dyDescent="0.25">
      <c r="B317" s="562">
        <v>11.109999999999998</v>
      </c>
      <c r="C317" s="576">
        <f t="shared" si="226"/>
        <v>16</v>
      </c>
      <c r="D317" s="502" t="s">
        <v>465</v>
      </c>
      <c r="E317" s="496"/>
      <c r="F317" s="497"/>
      <c r="G317" s="530" t="s">
        <v>11</v>
      </c>
      <c r="H317" s="553">
        <v>2.75</v>
      </c>
      <c r="I317" s="553"/>
      <c r="J317" s="553">
        <v>9</v>
      </c>
      <c r="K317" s="553">
        <f t="shared" si="244"/>
        <v>24.75</v>
      </c>
      <c r="L317" s="553">
        <f t="shared" si="245"/>
        <v>14</v>
      </c>
      <c r="M317" s="553">
        <f t="shared" si="246"/>
        <v>38.5</v>
      </c>
      <c r="N317" s="553">
        <f t="shared" si="251"/>
        <v>5</v>
      </c>
      <c r="O317" s="553">
        <f t="shared" si="247"/>
        <v>13.75</v>
      </c>
      <c r="P317" s="553"/>
      <c r="Q317" s="553">
        <f t="shared" si="248"/>
        <v>0</v>
      </c>
      <c r="R317" s="553">
        <f t="shared" si="252"/>
        <v>0</v>
      </c>
      <c r="S317" s="553">
        <f t="shared" si="249"/>
        <v>0</v>
      </c>
      <c r="T317" s="553"/>
      <c r="U317" s="553">
        <f t="shared" si="250"/>
        <v>0</v>
      </c>
      <c r="V317" s="553"/>
    </row>
    <row r="318" spans="2:22" s="547" customFormat="1" ht="21" customHeight="1" x14ac:dyDescent="0.25">
      <c r="B318" s="559">
        <v>11.12</v>
      </c>
      <c r="C318" s="577">
        <f t="shared" si="226"/>
        <v>17</v>
      </c>
      <c r="D318" s="501" t="s">
        <v>1018</v>
      </c>
      <c r="E318" s="545"/>
      <c r="F318" s="546"/>
      <c r="G318" s="531" t="s">
        <v>11</v>
      </c>
      <c r="H318" s="560"/>
      <c r="I318" s="560">
        <f>+H307</f>
        <v>0.57999999999999996</v>
      </c>
      <c r="J318" s="560"/>
      <c r="K318" s="560">
        <f t="shared" ref="K318" si="253">+ROUND($H318*J318,2)</f>
        <v>0</v>
      </c>
      <c r="L318" s="560">
        <f t="shared" si="245"/>
        <v>212</v>
      </c>
      <c r="M318" s="560">
        <f>+ROUND($I318*L318,2)</f>
        <v>122.96</v>
      </c>
      <c r="N318" s="560"/>
      <c r="O318" s="560">
        <f t="shared" ref="O318" si="254">+ROUND($H318*N318,2)</f>
        <v>0</v>
      </c>
      <c r="P318" s="560">
        <f>+L318</f>
        <v>212</v>
      </c>
      <c r="Q318" s="647">
        <f>+ROUND($I318*P318,2)</f>
        <v>122.96</v>
      </c>
      <c r="R318" s="560">
        <f>+IF($L318-$J318&lt;=0,-$L318+$J318,0)</f>
        <v>0</v>
      </c>
      <c r="S318" s="560">
        <f t="shared" ref="S318" si="255">+ROUND($H318*R318,2)</f>
        <v>0</v>
      </c>
      <c r="T318" s="560"/>
      <c r="U318" s="560">
        <f t="shared" ref="U318" si="256">+ROUND($H318*T318,2)</f>
        <v>0</v>
      </c>
      <c r="V318" s="560"/>
    </row>
    <row r="319" spans="2:22" ht="21" customHeight="1" x14ac:dyDescent="0.25">
      <c r="B319" s="456"/>
      <c r="C319" s="466" t="e">
        <f>+#REF!+1</f>
        <v>#REF!</v>
      </c>
      <c r="D319" s="537"/>
      <c r="E319" s="538"/>
      <c r="F319" s="533" t="str">
        <f>+"SUB-TOTAL   "&amp;B306&amp;":  "</f>
        <v xml:space="preserve">SUB-TOTAL   11:  </v>
      </c>
      <c r="G319" s="567"/>
      <c r="H319" s="540"/>
      <c r="I319" s="540"/>
      <c r="J319" s="540"/>
      <c r="K319" s="589">
        <f>+SUM(K307:K318)</f>
        <v>445.36</v>
      </c>
      <c r="L319" s="540"/>
      <c r="M319" s="589">
        <f>+SUM(M307:M318)</f>
        <v>674.64</v>
      </c>
      <c r="N319" s="589"/>
      <c r="O319" s="589">
        <f>+SUM(O307:O318)</f>
        <v>198.24</v>
      </c>
      <c r="P319" s="589"/>
      <c r="Q319" s="589">
        <f>+SUM(Q307:Q318)</f>
        <v>122.96</v>
      </c>
      <c r="R319" s="589"/>
      <c r="S319" s="589">
        <f>+SUM(S307:S318)</f>
        <v>91.919999999999987</v>
      </c>
      <c r="T319" s="589"/>
      <c r="U319" s="589">
        <f>+SUM(U307:U318)</f>
        <v>0</v>
      </c>
      <c r="V319" s="589"/>
    </row>
    <row r="320" spans="2:22" ht="21" customHeight="1" x14ac:dyDescent="0.25">
      <c r="B320" s="452">
        <f>1+B306</f>
        <v>12</v>
      </c>
      <c r="C320" s="466" t="e">
        <f>+#REF!+1</f>
        <v>#REF!</v>
      </c>
      <c r="D320" s="453" t="s">
        <v>459</v>
      </c>
      <c r="E320" s="445"/>
      <c r="F320" s="446"/>
      <c r="G320" s="549"/>
      <c r="H320" s="438"/>
      <c r="I320" s="438"/>
      <c r="J320" s="438"/>
      <c r="K320" s="438"/>
      <c r="L320" s="756"/>
      <c r="M320" s="438"/>
      <c r="N320" s="438"/>
      <c r="O320" s="438"/>
      <c r="P320" s="438"/>
      <c r="Q320" s="438"/>
      <c r="R320" s="438"/>
      <c r="S320" s="438"/>
      <c r="T320" s="438"/>
      <c r="U320" s="438"/>
      <c r="V320" s="438"/>
    </row>
    <row r="321" spans="2:22" ht="21" customHeight="1" x14ac:dyDescent="0.25">
      <c r="B321" s="562">
        <v>12.01</v>
      </c>
      <c r="C321" s="576" t="e">
        <f t="shared" si="226"/>
        <v>#REF!</v>
      </c>
      <c r="D321" s="502" t="s">
        <v>25</v>
      </c>
      <c r="E321" s="496"/>
      <c r="F321" s="497"/>
      <c r="G321" s="530" t="s">
        <v>11</v>
      </c>
      <c r="H321" s="553">
        <v>2.59</v>
      </c>
      <c r="I321" s="553"/>
      <c r="J321" s="553">
        <v>49</v>
      </c>
      <c r="K321" s="553">
        <f t="shared" ref="K321:K330" si="257">+ROUND($H321*J321,2)</f>
        <v>126.91</v>
      </c>
      <c r="L321" s="553">
        <f t="shared" ref="L321:L330" si="258">+L101</f>
        <v>45</v>
      </c>
      <c r="M321" s="553">
        <f t="shared" ref="M321:M329" si="259">+ROUND($H321*L321,2)</f>
        <v>116.55</v>
      </c>
      <c r="N321" s="553">
        <f>+IF($L321-$J321&gt;=0,$L321-$J321,0)</f>
        <v>0</v>
      </c>
      <c r="O321" s="553">
        <f t="shared" ref="O321:O330" si="260">+ROUND($H321*N321,2)</f>
        <v>0</v>
      </c>
      <c r="P321" s="553"/>
      <c r="Q321" s="553">
        <f t="shared" ref="Q321:Q329" si="261">+ROUND($H321*P321,2)</f>
        <v>0</v>
      </c>
      <c r="R321" s="553">
        <f>+IF($L321-$J321&lt;=0,-$L321+$J321,0)</f>
        <v>4</v>
      </c>
      <c r="S321" s="553">
        <f t="shared" ref="S321:S330" si="262">+ROUND($H321*R321,2)</f>
        <v>10.36</v>
      </c>
      <c r="T321" s="553"/>
      <c r="U321" s="553">
        <f t="shared" ref="U321:U330" si="263">+ROUND($H321*T321,2)</f>
        <v>0</v>
      </c>
      <c r="V321" s="553"/>
    </row>
    <row r="322" spans="2:22" ht="21" customHeight="1" x14ac:dyDescent="0.25">
      <c r="B322" s="562">
        <v>12.02</v>
      </c>
      <c r="C322" s="576" t="e">
        <f t="shared" si="226"/>
        <v>#REF!</v>
      </c>
      <c r="D322" s="502" t="s">
        <v>455</v>
      </c>
      <c r="E322" s="496"/>
      <c r="F322" s="497"/>
      <c r="G322" s="530" t="s">
        <v>11</v>
      </c>
      <c r="H322" s="553">
        <v>23.88</v>
      </c>
      <c r="I322" s="553"/>
      <c r="J322" s="553">
        <v>49</v>
      </c>
      <c r="K322" s="553">
        <f t="shared" si="257"/>
        <v>1170.1199999999999</v>
      </c>
      <c r="L322" s="553">
        <f t="shared" si="258"/>
        <v>45</v>
      </c>
      <c r="M322" s="553">
        <f t="shared" si="259"/>
        <v>1074.5999999999999</v>
      </c>
      <c r="N322" s="553">
        <f t="shared" ref="N322:N329" si="264">+IF($L322-$J322&gt;=0,$L322-$J322,0)</f>
        <v>0</v>
      </c>
      <c r="O322" s="553">
        <f t="shared" si="260"/>
        <v>0</v>
      </c>
      <c r="P322" s="553"/>
      <c r="Q322" s="553">
        <f t="shared" si="261"/>
        <v>0</v>
      </c>
      <c r="R322" s="553">
        <f t="shared" ref="R322:R329" si="265">+IF($L322-$J322&lt;=0,-$L322+$J322,0)</f>
        <v>4</v>
      </c>
      <c r="S322" s="553">
        <f t="shared" si="262"/>
        <v>95.52</v>
      </c>
      <c r="T322" s="553"/>
      <c r="U322" s="553">
        <f t="shared" si="263"/>
        <v>0</v>
      </c>
      <c r="V322" s="553"/>
    </row>
    <row r="323" spans="2:22" ht="21" customHeight="1" x14ac:dyDescent="0.25">
      <c r="B323" s="562">
        <v>12.03</v>
      </c>
      <c r="C323" s="576" t="e">
        <f t="shared" si="226"/>
        <v>#REF!</v>
      </c>
      <c r="D323" s="502" t="s">
        <v>458</v>
      </c>
      <c r="E323" s="496"/>
      <c r="F323" s="497"/>
      <c r="G323" s="530" t="s">
        <v>11</v>
      </c>
      <c r="H323" s="553">
        <v>7.0000000000000007E-2</v>
      </c>
      <c r="I323" s="553"/>
      <c r="J323" s="553">
        <v>72</v>
      </c>
      <c r="K323" s="553">
        <f t="shared" si="257"/>
        <v>5.04</v>
      </c>
      <c r="L323" s="553">
        <f t="shared" si="258"/>
        <v>117</v>
      </c>
      <c r="M323" s="553">
        <f t="shared" si="259"/>
        <v>8.19</v>
      </c>
      <c r="N323" s="553">
        <f t="shared" si="264"/>
        <v>45</v>
      </c>
      <c r="O323" s="553">
        <f t="shared" si="260"/>
        <v>3.15</v>
      </c>
      <c r="P323" s="553"/>
      <c r="Q323" s="553">
        <f t="shared" si="261"/>
        <v>0</v>
      </c>
      <c r="R323" s="553">
        <f t="shared" si="265"/>
        <v>0</v>
      </c>
      <c r="S323" s="553">
        <f t="shared" si="262"/>
        <v>0</v>
      </c>
      <c r="T323" s="553"/>
      <c r="U323" s="553">
        <f t="shared" si="263"/>
        <v>0</v>
      </c>
      <c r="V323" s="553"/>
    </row>
    <row r="324" spans="2:22" ht="21" customHeight="1" x14ac:dyDescent="0.25">
      <c r="B324" s="562">
        <v>12.04</v>
      </c>
      <c r="C324" s="576" t="e">
        <f t="shared" si="226"/>
        <v>#REF!</v>
      </c>
      <c r="D324" s="502" t="s">
        <v>457</v>
      </c>
      <c r="E324" s="496"/>
      <c r="F324" s="497"/>
      <c r="G324" s="530" t="s">
        <v>11</v>
      </c>
      <c r="H324" s="553">
        <v>0.24</v>
      </c>
      <c r="I324" s="553"/>
      <c r="J324" s="553">
        <v>49</v>
      </c>
      <c r="K324" s="553">
        <f t="shared" si="257"/>
        <v>11.76</v>
      </c>
      <c r="L324" s="553">
        <f t="shared" si="258"/>
        <v>45</v>
      </c>
      <c r="M324" s="553">
        <f t="shared" si="259"/>
        <v>10.8</v>
      </c>
      <c r="N324" s="553">
        <f t="shared" si="264"/>
        <v>0</v>
      </c>
      <c r="O324" s="553">
        <f t="shared" si="260"/>
        <v>0</v>
      </c>
      <c r="P324" s="553"/>
      <c r="Q324" s="553">
        <f t="shared" si="261"/>
        <v>0</v>
      </c>
      <c r="R324" s="553">
        <f t="shared" si="265"/>
        <v>4</v>
      </c>
      <c r="S324" s="553">
        <f t="shared" si="262"/>
        <v>0.96</v>
      </c>
      <c r="T324" s="553"/>
      <c r="U324" s="553">
        <f t="shared" si="263"/>
        <v>0</v>
      </c>
      <c r="V324" s="553"/>
    </row>
    <row r="325" spans="2:22" ht="21" customHeight="1" x14ac:dyDescent="0.25">
      <c r="B325" s="562">
        <v>12.049999999999999</v>
      </c>
      <c r="C325" s="576" t="e">
        <f t="shared" si="226"/>
        <v>#REF!</v>
      </c>
      <c r="D325" s="502" t="s">
        <v>456</v>
      </c>
      <c r="E325" s="496"/>
      <c r="F325" s="497"/>
      <c r="G325" s="530" t="s">
        <v>11</v>
      </c>
      <c r="H325" s="553">
        <v>0.16</v>
      </c>
      <c r="I325" s="553"/>
      <c r="J325" s="553">
        <v>150</v>
      </c>
      <c r="K325" s="553">
        <f t="shared" si="257"/>
        <v>24</v>
      </c>
      <c r="L325" s="553">
        <f t="shared" si="258"/>
        <v>101</v>
      </c>
      <c r="M325" s="553">
        <f t="shared" si="259"/>
        <v>16.16</v>
      </c>
      <c r="N325" s="553">
        <f t="shared" si="264"/>
        <v>0</v>
      </c>
      <c r="O325" s="553">
        <f t="shared" si="260"/>
        <v>0</v>
      </c>
      <c r="P325" s="553"/>
      <c r="Q325" s="553">
        <f t="shared" si="261"/>
        <v>0</v>
      </c>
      <c r="R325" s="553">
        <f t="shared" si="265"/>
        <v>49</v>
      </c>
      <c r="S325" s="553">
        <f t="shared" si="262"/>
        <v>7.84</v>
      </c>
      <c r="T325" s="553"/>
      <c r="U325" s="553">
        <f t="shared" si="263"/>
        <v>0</v>
      </c>
      <c r="V325" s="553"/>
    </row>
    <row r="326" spans="2:22" ht="21" customHeight="1" x14ac:dyDescent="0.25">
      <c r="B326" s="562">
        <v>12.059999999999999</v>
      </c>
      <c r="C326" s="576" t="e">
        <f t="shared" si="226"/>
        <v>#REF!</v>
      </c>
      <c r="D326" s="502" t="s">
        <v>454</v>
      </c>
      <c r="E326" s="513"/>
      <c r="F326" s="499"/>
      <c r="G326" s="530" t="s">
        <v>11</v>
      </c>
      <c r="H326" s="553">
        <v>0.05</v>
      </c>
      <c r="I326" s="553"/>
      <c r="J326" s="553">
        <v>140</v>
      </c>
      <c r="K326" s="553">
        <f t="shared" si="257"/>
        <v>7</v>
      </c>
      <c r="L326" s="553">
        <f t="shared" si="258"/>
        <v>40</v>
      </c>
      <c r="M326" s="553">
        <f t="shared" si="259"/>
        <v>2</v>
      </c>
      <c r="N326" s="553">
        <f t="shared" si="264"/>
        <v>0</v>
      </c>
      <c r="O326" s="553">
        <f t="shared" si="260"/>
        <v>0</v>
      </c>
      <c r="P326" s="585"/>
      <c r="Q326" s="553">
        <f t="shared" si="261"/>
        <v>0</v>
      </c>
      <c r="R326" s="553">
        <f t="shared" si="265"/>
        <v>100</v>
      </c>
      <c r="S326" s="553">
        <f t="shared" si="262"/>
        <v>5</v>
      </c>
      <c r="T326" s="585"/>
      <c r="U326" s="553">
        <f t="shared" si="263"/>
        <v>0</v>
      </c>
      <c r="V326" s="585"/>
    </row>
    <row r="327" spans="2:22" ht="21" customHeight="1" x14ac:dyDescent="0.25">
      <c r="B327" s="562">
        <v>12.069999999999999</v>
      </c>
      <c r="C327" s="576" t="e">
        <f t="shared" si="226"/>
        <v>#REF!</v>
      </c>
      <c r="D327" s="502" t="s">
        <v>349</v>
      </c>
      <c r="E327" s="511"/>
      <c r="F327" s="512"/>
      <c r="G327" s="530" t="s">
        <v>11</v>
      </c>
      <c r="H327" s="553">
        <v>0.12</v>
      </c>
      <c r="I327" s="553"/>
      <c r="J327" s="553">
        <v>34</v>
      </c>
      <c r="K327" s="553">
        <f t="shared" si="257"/>
        <v>4.08</v>
      </c>
      <c r="L327" s="553">
        <f t="shared" si="258"/>
        <v>59</v>
      </c>
      <c r="M327" s="553">
        <f t="shared" si="259"/>
        <v>7.08</v>
      </c>
      <c r="N327" s="553">
        <f t="shared" si="264"/>
        <v>25</v>
      </c>
      <c r="O327" s="553">
        <f t="shared" si="260"/>
        <v>3</v>
      </c>
      <c r="P327" s="553"/>
      <c r="Q327" s="553">
        <f t="shared" si="261"/>
        <v>0</v>
      </c>
      <c r="R327" s="553">
        <f t="shared" si="265"/>
        <v>0</v>
      </c>
      <c r="S327" s="553">
        <f t="shared" si="262"/>
        <v>0</v>
      </c>
      <c r="T327" s="553"/>
      <c r="U327" s="553">
        <f t="shared" si="263"/>
        <v>0</v>
      </c>
      <c r="V327" s="553"/>
    </row>
    <row r="328" spans="2:22" ht="21" customHeight="1" x14ac:dyDescent="0.25">
      <c r="B328" s="562">
        <v>12.079999999999998</v>
      </c>
      <c r="C328" s="576" t="e">
        <f t="shared" si="226"/>
        <v>#REF!</v>
      </c>
      <c r="D328" s="502" t="s">
        <v>453</v>
      </c>
      <c r="E328" s="496"/>
      <c r="F328" s="497"/>
      <c r="G328" s="530" t="s">
        <v>11</v>
      </c>
      <c r="H328" s="553">
        <v>0.16</v>
      </c>
      <c r="I328" s="553"/>
      <c r="J328" s="553">
        <v>2</v>
      </c>
      <c r="K328" s="553">
        <f t="shared" si="257"/>
        <v>0.32</v>
      </c>
      <c r="L328" s="553">
        <f t="shared" si="258"/>
        <v>0</v>
      </c>
      <c r="M328" s="553">
        <f t="shared" si="259"/>
        <v>0</v>
      </c>
      <c r="N328" s="553">
        <f t="shared" si="264"/>
        <v>0</v>
      </c>
      <c r="O328" s="553">
        <f t="shared" si="260"/>
        <v>0</v>
      </c>
      <c r="P328" s="553"/>
      <c r="Q328" s="553">
        <f t="shared" si="261"/>
        <v>0</v>
      </c>
      <c r="R328" s="553">
        <f t="shared" si="265"/>
        <v>2</v>
      </c>
      <c r="S328" s="553">
        <f t="shared" si="262"/>
        <v>0.32</v>
      </c>
      <c r="T328" s="553"/>
      <c r="U328" s="553">
        <f t="shared" si="263"/>
        <v>0</v>
      </c>
      <c r="V328" s="553"/>
    </row>
    <row r="329" spans="2:22" ht="21" customHeight="1" x14ac:dyDescent="0.25">
      <c r="B329" s="562">
        <v>12.089999999999998</v>
      </c>
      <c r="C329" s="576" t="e">
        <f t="shared" si="226"/>
        <v>#REF!</v>
      </c>
      <c r="D329" s="502" t="s">
        <v>26</v>
      </c>
      <c r="E329" s="496"/>
      <c r="F329" s="497"/>
      <c r="G329" s="530" t="s">
        <v>11</v>
      </c>
      <c r="H329" s="553">
        <v>0.12</v>
      </c>
      <c r="I329" s="553"/>
      <c r="J329" s="553">
        <v>34</v>
      </c>
      <c r="K329" s="553">
        <f t="shared" si="257"/>
        <v>4.08</v>
      </c>
      <c r="L329" s="553">
        <f t="shared" si="258"/>
        <v>15</v>
      </c>
      <c r="M329" s="553">
        <f t="shared" si="259"/>
        <v>1.8</v>
      </c>
      <c r="N329" s="553">
        <f t="shared" si="264"/>
        <v>0</v>
      </c>
      <c r="O329" s="553">
        <f t="shared" si="260"/>
        <v>0</v>
      </c>
      <c r="P329" s="553"/>
      <c r="Q329" s="553">
        <f t="shared" si="261"/>
        <v>0</v>
      </c>
      <c r="R329" s="553">
        <f t="shared" si="265"/>
        <v>19</v>
      </c>
      <c r="S329" s="553">
        <f t="shared" si="262"/>
        <v>2.2799999999999998</v>
      </c>
      <c r="T329" s="553"/>
      <c r="U329" s="553">
        <f t="shared" si="263"/>
        <v>0</v>
      </c>
      <c r="V329" s="553"/>
    </row>
    <row r="330" spans="2:22" s="547" customFormat="1" ht="21" customHeight="1" x14ac:dyDescent="0.25">
      <c r="B330" s="559">
        <v>12.1</v>
      </c>
      <c r="C330" s="575" t="e">
        <f>+#REF!+1</f>
        <v>#REF!</v>
      </c>
      <c r="D330" s="501" t="s">
        <v>350</v>
      </c>
      <c r="E330" s="646"/>
      <c r="F330" s="636"/>
      <c r="G330" s="596" t="s">
        <v>11</v>
      </c>
      <c r="H330" s="640"/>
      <c r="I330" s="640">
        <f>+H322*0.5</f>
        <v>11.94</v>
      </c>
      <c r="J330" s="640"/>
      <c r="K330" s="647">
        <f t="shared" si="257"/>
        <v>0</v>
      </c>
      <c r="L330" s="560">
        <f t="shared" si="258"/>
        <v>135</v>
      </c>
      <c r="M330" s="647">
        <f>+ROUND($I330*L330,2)</f>
        <v>1611.9</v>
      </c>
      <c r="N330" s="561"/>
      <c r="O330" s="561">
        <f t="shared" si="260"/>
        <v>0</v>
      </c>
      <c r="P330" s="659">
        <f>+L330</f>
        <v>135</v>
      </c>
      <c r="Q330" s="647">
        <f>+ROUND($I330*P330,2)</f>
        <v>1611.9</v>
      </c>
      <c r="R330" s="648"/>
      <c r="S330" s="561">
        <f t="shared" si="262"/>
        <v>0</v>
      </c>
      <c r="T330" s="648"/>
      <c r="U330" s="561">
        <f t="shared" si="263"/>
        <v>0</v>
      </c>
      <c r="V330" s="648"/>
    </row>
    <row r="331" spans="2:22" ht="21" customHeight="1" x14ac:dyDescent="0.25">
      <c r="B331" s="456"/>
      <c r="C331" s="466" t="e">
        <f>+#REF!+1</f>
        <v>#REF!</v>
      </c>
      <c r="D331" s="537"/>
      <c r="E331" s="538"/>
      <c r="F331" s="533" t="str">
        <f>+"SUB-TOTAL   "&amp;B320&amp;":  "</f>
        <v xml:space="preserve">SUB-TOTAL   12:  </v>
      </c>
      <c r="G331" s="567"/>
      <c r="H331" s="540"/>
      <c r="I331" s="540"/>
      <c r="J331" s="540"/>
      <c r="K331" s="589">
        <f>+SUM(K321:K330)</f>
        <v>1353.3099999999997</v>
      </c>
      <c r="L331" s="540"/>
      <c r="M331" s="589">
        <f>+SUM(M321:M330)</f>
        <v>2849.08</v>
      </c>
      <c r="N331" s="589"/>
      <c r="O331" s="589">
        <f>+SUM(O321:O330)</f>
        <v>6.15</v>
      </c>
      <c r="P331" s="589"/>
      <c r="Q331" s="589">
        <f>+SUM(Q321:Q330)</f>
        <v>1611.9</v>
      </c>
      <c r="R331" s="589"/>
      <c r="S331" s="589">
        <f>+SUM(S321:S330)</f>
        <v>122.27999999999999</v>
      </c>
      <c r="T331" s="589"/>
      <c r="U331" s="589">
        <f>+SUM(U321:U330)</f>
        <v>0</v>
      </c>
      <c r="V331" s="589"/>
    </row>
    <row r="332" spans="2:22" ht="21" customHeight="1" x14ac:dyDescent="0.25">
      <c r="B332" s="452">
        <f>1+B320</f>
        <v>13</v>
      </c>
      <c r="C332" s="466" t="e">
        <f>+#REF!+1</f>
        <v>#REF!</v>
      </c>
      <c r="D332" s="453" t="s">
        <v>452</v>
      </c>
      <c r="E332" s="445"/>
      <c r="F332" s="446"/>
      <c r="G332" s="549"/>
      <c r="H332" s="438"/>
      <c r="I332" s="438"/>
      <c r="J332" s="438"/>
      <c r="K332" s="438"/>
      <c r="L332" s="756"/>
      <c r="M332" s="438"/>
      <c r="N332" s="438"/>
      <c r="O332" s="438"/>
      <c r="P332" s="438"/>
      <c r="Q332" s="438"/>
      <c r="R332" s="438"/>
      <c r="S332" s="438"/>
      <c r="T332" s="438"/>
      <c r="U332" s="438"/>
      <c r="V332" s="438"/>
    </row>
    <row r="333" spans="2:22" ht="21" customHeight="1" x14ac:dyDescent="0.25">
      <c r="B333" s="562">
        <v>13.01</v>
      </c>
      <c r="C333" s="576" t="e">
        <f t="shared" si="226"/>
        <v>#REF!</v>
      </c>
      <c r="D333" s="502" t="s">
        <v>451</v>
      </c>
      <c r="E333" s="496"/>
      <c r="F333" s="497"/>
      <c r="G333" s="530" t="s">
        <v>11</v>
      </c>
      <c r="H333" s="553">
        <v>8.4700000000000006</v>
      </c>
      <c r="I333" s="553"/>
      <c r="J333" s="553">
        <v>23</v>
      </c>
      <c r="K333" s="553">
        <f t="shared" ref="K333:K336" si="266">+ROUND($H333*J333,2)</f>
        <v>194.81</v>
      </c>
      <c r="L333" s="553">
        <f>+L113</f>
        <v>22</v>
      </c>
      <c r="M333" s="553">
        <f t="shared" ref="M333:M335" si="267">+ROUND($H333*L333,2)</f>
        <v>186.34</v>
      </c>
      <c r="N333" s="553">
        <f>+IF($L333-$J333&gt;=0,$L333-$J333,0)</f>
        <v>0</v>
      </c>
      <c r="O333" s="553">
        <f t="shared" ref="O333:O336" si="268">+ROUND($H333*N333,2)</f>
        <v>0</v>
      </c>
      <c r="P333" s="553"/>
      <c r="Q333" s="553">
        <f t="shared" ref="Q333:Q335" si="269">+ROUND($H333*P333,2)</f>
        <v>0</v>
      </c>
      <c r="R333" s="553">
        <f>+IF($L333-$J333&lt;=0,-$L333+$J333,0)</f>
        <v>1</v>
      </c>
      <c r="S333" s="553">
        <f t="shared" ref="S333:S336" si="270">+ROUND($H333*R333,2)</f>
        <v>8.4700000000000006</v>
      </c>
      <c r="T333" s="553"/>
      <c r="U333" s="553">
        <f t="shared" ref="U333:U336" si="271">+ROUND($H333*T333,2)</f>
        <v>0</v>
      </c>
      <c r="V333" s="553"/>
    </row>
    <row r="334" spans="2:22" ht="21" customHeight="1" x14ac:dyDescent="0.25">
      <c r="B334" s="562">
        <v>13.02</v>
      </c>
      <c r="C334" s="576" t="e">
        <f t="shared" si="226"/>
        <v>#REF!</v>
      </c>
      <c r="D334" s="502" t="s">
        <v>622</v>
      </c>
      <c r="E334" s="496"/>
      <c r="F334" s="497"/>
      <c r="G334" s="530" t="s">
        <v>11</v>
      </c>
      <c r="H334" s="553">
        <v>0.12</v>
      </c>
      <c r="I334" s="553"/>
      <c r="J334" s="553">
        <v>23</v>
      </c>
      <c r="K334" s="553">
        <f t="shared" si="266"/>
        <v>2.76</v>
      </c>
      <c r="L334" s="553">
        <f>+L114</f>
        <v>22</v>
      </c>
      <c r="M334" s="553">
        <f t="shared" si="267"/>
        <v>2.64</v>
      </c>
      <c r="N334" s="553">
        <f t="shared" ref="N334:N335" si="272">+IF($L334-$J334&gt;=0,$L334-$J334,0)</f>
        <v>0</v>
      </c>
      <c r="O334" s="553">
        <f t="shared" si="268"/>
        <v>0</v>
      </c>
      <c r="P334" s="553"/>
      <c r="Q334" s="553">
        <f t="shared" si="269"/>
        <v>0</v>
      </c>
      <c r="R334" s="553">
        <f t="shared" ref="R334:R335" si="273">+IF($L334-$J334&lt;=0,-$L334+$J334,0)</f>
        <v>1</v>
      </c>
      <c r="S334" s="553">
        <f t="shared" si="270"/>
        <v>0.12</v>
      </c>
      <c r="T334" s="553"/>
      <c r="U334" s="553">
        <f t="shared" si="271"/>
        <v>0</v>
      </c>
      <c r="V334" s="553"/>
    </row>
    <row r="335" spans="2:22" ht="21" customHeight="1" x14ac:dyDescent="0.25">
      <c r="B335" s="562">
        <v>13.03</v>
      </c>
      <c r="C335" s="576" t="e">
        <f t="shared" si="226"/>
        <v>#REF!</v>
      </c>
      <c r="D335" s="502" t="s">
        <v>448</v>
      </c>
      <c r="E335" s="496"/>
      <c r="F335" s="497"/>
      <c r="G335" s="530" t="s">
        <v>11</v>
      </c>
      <c r="H335" s="553">
        <v>3.18</v>
      </c>
      <c r="I335" s="553"/>
      <c r="J335" s="553">
        <v>23</v>
      </c>
      <c r="K335" s="553">
        <f t="shared" si="266"/>
        <v>73.14</v>
      </c>
      <c r="L335" s="553">
        <f>+L115</f>
        <v>12</v>
      </c>
      <c r="M335" s="553">
        <f t="shared" si="267"/>
        <v>38.159999999999997</v>
      </c>
      <c r="N335" s="553">
        <f t="shared" si="272"/>
        <v>0</v>
      </c>
      <c r="O335" s="553">
        <f t="shared" si="268"/>
        <v>0</v>
      </c>
      <c r="P335" s="553"/>
      <c r="Q335" s="553">
        <f t="shared" si="269"/>
        <v>0</v>
      </c>
      <c r="R335" s="553">
        <f t="shared" si="273"/>
        <v>11</v>
      </c>
      <c r="S335" s="553">
        <f t="shared" si="270"/>
        <v>34.979999999999997</v>
      </c>
      <c r="T335" s="553">
        <f>+P336</f>
        <v>10</v>
      </c>
      <c r="U335" s="553">
        <f t="shared" si="271"/>
        <v>31.8</v>
      </c>
      <c r="V335" s="553" t="s">
        <v>873</v>
      </c>
    </row>
    <row r="336" spans="2:22" s="547" customFormat="1" ht="21" customHeight="1" x14ac:dyDescent="0.25">
      <c r="B336" s="775">
        <v>13.04</v>
      </c>
      <c r="C336" s="575" t="e">
        <f>+#REF!+1</f>
        <v>#REF!</v>
      </c>
      <c r="D336" s="501" t="s">
        <v>827</v>
      </c>
      <c r="E336" s="646"/>
      <c r="F336" s="636"/>
      <c r="G336" s="596" t="s">
        <v>11</v>
      </c>
      <c r="H336" s="640"/>
      <c r="I336" s="640">
        <f>+H335</f>
        <v>3.18</v>
      </c>
      <c r="J336" s="640"/>
      <c r="K336" s="647">
        <f t="shared" si="266"/>
        <v>0</v>
      </c>
      <c r="L336" s="560">
        <f>+L116</f>
        <v>10</v>
      </c>
      <c r="M336" s="647">
        <f>+ROUND($I336*L336,2)</f>
        <v>31.8</v>
      </c>
      <c r="N336" s="561"/>
      <c r="O336" s="561">
        <f t="shared" si="268"/>
        <v>0</v>
      </c>
      <c r="P336" s="659">
        <f>+L336</f>
        <v>10</v>
      </c>
      <c r="Q336" s="647">
        <f>+ROUND($I336*P336,2)</f>
        <v>31.8</v>
      </c>
      <c r="R336" s="648"/>
      <c r="S336" s="561">
        <f t="shared" si="270"/>
        <v>0</v>
      </c>
      <c r="T336" s="648"/>
      <c r="U336" s="561">
        <f t="shared" si="271"/>
        <v>0</v>
      </c>
      <c r="V336" s="648"/>
    </row>
    <row r="337" spans="2:23" ht="21" customHeight="1" x14ac:dyDescent="0.25">
      <c r="B337" s="456"/>
      <c r="C337" s="466" t="e">
        <f>+#REF!+1</f>
        <v>#REF!</v>
      </c>
      <c r="D337" s="537"/>
      <c r="E337" s="538"/>
      <c r="F337" s="533" t="str">
        <f>+"SUB-TOTAL   "&amp;B332&amp;":  "</f>
        <v xml:space="preserve">SUB-TOTAL   13:  </v>
      </c>
      <c r="G337" s="567"/>
      <c r="H337" s="540"/>
      <c r="I337" s="540"/>
      <c r="J337" s="540"/>
      <c r="K337" s="589">
        <f>+SUM(K333:K336)</f>
        <v>270.70999999999998</v>
      </c>
      <c r="L337" s="540"/>
      <c r="M337" s="589">
        <f>+SUM(M333:M336)</f>
        <v>258.94</v>
      </c>
      <c r="N337" s="589"/>
      <c r="O337" s="589">
        <f>+SUM(O333:O336)</f>
        <v>0</v>
      </c>
      <c r="P337" s="589"/>
      <c r="Q337" s="589">
        <f>+SUM(Q333:Q336)</f>
        <v>31.8</v>
      </c>
      <c r="R337" s="589"/>
      <c r="S337" s="589">
        <f>+SUM(S333:S336)</f>
        <v>43.569999999999993</v>
      </c>
      <c r="T337" s="589"/>
      <c r="U337" s="589">
        <f>+SUM(U333:U336)</f>
        <v>31.8</v>
      </c>
      <c r="V337" s="589"/>
    </row>
    <row r="338" spans="2:23" ht="21" customHeight="1" x14ac:dyDescent="0.25">
      <c r="B338" s="452">
        <f>1+B332</f>
        <v>14</v>
      </c>
      <c r="C338" s="466" t="e">
        <f>+C276+1</f>
        <v>#REF!</v>
      </c>
      <c r="D338" s="453" t="s">
        <v>623</v>
      </c>
      <c r="E338" s="445"/>
      <c r="F338" s="446"/>
      <c r="G338" s="549"/>
      <c r="H338" s="438"/>
      <c r="I338" s="438"/>
      <c r="J338" s="438"/>
      <c r="K338" s="438"/>
      <c r="L338" s="756"/>
      <c r="M338" s="438"/>
      <c r="N338" s="438"/>
      <c r="O338" s="438"/>
      <c r="P338" s="438"/>
      <c r="Q338" s="438"/>
      <c r="R338" s="438"/>
      <c r="S338" s="438"/>
      <c r="T338" s="438"/>
      <c r="U338" s="438"/>
      <c r="V338" s="438"/>
    </row>
    <row r="339" spans="2:23" ht="21" customHeight="1" x14ac:dyDescent="0.25">
      <c r="B339" s="562">
        <v>14.01</v>
      </c>
      <c r="C339" s="576" t="e">
        <f t="shared" si="226"/>
        <v>#REF!</v>
      </c>
      <c r="D339" s="502" t="s">
        <v>624</v>
      </c>
      <c r="E339" s="496"/>
      <c r="F339" s="497"/>
      <c r="G339" s="530" t="s">
        <v>11</v>
      </c>
      <c r="H339" s="553">
        <v>244.19</v>
      </c>
      <c r="I339" s="553"/>
      <c r="J339" s="553">
        <v>13</v>
      </c>
      <c r="K339" s="553">
        <f t="shared" ref="K339:K343" si="274">+ROUND($H339*J339,2)</f>
        <v>3174.47</v>
      </c>
      <c r="L339" s="553">
        <f>+L119</f>
        <v>8</v>
      </c>
      <c r="M339" s="553">
        <f t="shared" ref="M339:M341" si="275">+ROUND($H339*L339,2)</f>
        <v>1953.52</v>
      </c>
      <c r="N339" s="553">
        <f>+IF($L339-$J339&gt;=0,$L339-$J339,0)</f>
        <v>0</v>
      </c>
      <c r="O339" s="553">
        <f t="shared" ref="O339:O343" si="276">+ROUND($H339*N339,2)</f>
        <v>0</v>
      </c>
      <c r="P339" s="553"/>
      <c r="Q339" s="553">
        <f t="shared" ref="Q339:Q341" si="277">+ROUND($H339*P339,2)</f>
        <v>0</v>
      </c>
      <c r="R339" s="553">
        <f>+IF($L339-$J339&lt;=0,-$L339+$J339,0)</f>
        <v>5</v>
      </c>
      <c r="S339" s="553">
        <f t="shared" ref="S339:S343" si="278">+ROUND($H339*R339,2)</f>
        <v>1220.95</v>
      </c>
      <c r="T339" s="553">
        <f>+P342</f>
        <v>2</v>
      </c>
      <c r="U339" s="553">
        <f t="shared" ref="U339:U343" si="279">+ROUND($H339*T339,2)</f>
        <v>488.38</v>
      </c>
      <c r="V339" s="553" t="s">
        <v>874</v>
      </c>
    </row>
    <row r="340" spans="2:23" ht="21" customHeight="1" x14ac:dyDescent="0.25">
      <c r="B340" s="562">
        <v>14.02</v>
      </c>
      <c r="C340" s="576" t="e">
        <f t="shared" si="226"/>
        <v>#REF!</v>
      </c>
      <c r="D340" s="502" t="s">
        <v>625</v>
      </c>
      <c r="E340" s="496"/>
      <c r="F340" s="497"/>
      <c r="G340" s="530" t="s">
        <v>11</v>
      </c>
      <c r="H340" s="553">
        <v>253.96</v>
      </c>
      <c r="I340" s="553"/>
      <c r="J340" s="553">
        <v>3</v>
      </c>
      <c r="K340" s="553">
        <f t="shared" si="274"/>
        <v>761.88</v>
      </c>
      <c r="L340" s="553">
        <f>+L120</f>
        <v>1</v>
      </c>
      <c r="M340" s="553">
        <f t="shared" si="275"/>
        <v>253.96</v>
      </c>
      <c r="N340" s="553">
        <f t="shared" ref="N340:N341" si="280">+IF($L340-$J340&gt;=0,$L340-$J340,0)</f>
        <v>0</v>
      </c>
      <c r="O340" s="553">
        <f t="shared" si="276"/>
        <v>0</v>
      </c>
      <c r="P340" s="553"/>
      <c r="Q340" s="553">
        <f t="shared" si="277"/>
        <v>0</v>
      </c>
      <c r="R340" s="553">
        <f t="shared" ref="R340:R341" si="281">+IF($L340-$J340&lt;=0,-$L340+$J340,0)</f>
        <v>2</v>
      </c>
      <c r="S340" s="553">
        <f t="shared" si="278"/>
        <v>507.92</v>
      </c>
      <c r="T340" s="553">
        <f>+R340</f>
        <v>2</v>
      </c>
      <c r="U340" s="553">
        <f t="shared" si="279"/>
        <v>507.92</v>
      </c>
      <c r="V340" s="553" t="s">
        <v>875</v>
      </c>
    </row>
    <row r="341" spans="2:23" ht="21" customHeight="1" x14ac:dyDescent="0.25">
      <c r="B341" s="562">
        <v>14.03</v>
      </c>
      <c r="C341" s="576" t="e">
        <f t="shared" si="226"/>
        <v>#REF!</v>
      </c>
      <c r="D341" s="502" t="s">
        <v>626</v>
      </c>
      <c r="E341" s="496"/>
      <c r="F341" s="497"/>
      <c r="G341" s="530" t="s">
        <v>11</v>
      </c>
      <c r="H341" s="553">
        <v>264.52999999999997</v>
      </c>
      <c r="I341" s="553"/>
      <c r="J341" s="553">
        <v>2</v>
      </c>
      <c r="K341" s="553">
        <f t="shared" si="274"/>
        <v>529.05999999999995</v>
      </c>
      <c r="L341" s="553">
        <f>+L121</f>
        <v>1</v>
      </c>
      <c r="M341" s="553">
        <f t="shared" si="275"/>
        <v>264.52999999999997</v>
      </c>
      <c r="N341" s="553">
        <f t="shared" si="280"/>
        <v>0</v>
      </c>
      <c r="O341" s="553">
        <f t="shared" si="276"/>
        <v>0</v>
      </c>
      <c r="P341" s="553"/>
      <c r="Q341" s="553">
        <f t="shared" si="277"/>
        <v>0</v>
      </c>
      <c r="R341" s="553">
        <f t="shared" si="281"/>
        <v>1</v>
      </c>
      <c r="S341" s="553">
        <f t="shared" si="278"/>
        <v>264.52999999999997</v>
      </c>
      <c r="T341" s="553">
        <f>+R341</f>
        <v>1</v>
      </c>
      <c r="U341" s="553">
        <f t="shared" si="279"/>
        <v>264.52999999999997</v>
      </c>
      <c r="V341" s="553" t="s">
        <v>875</v>
      </c>
    </row>
    <row r="342" spans="2:23" ht="21" customHeight="1" x14ac:dyDescent="0.25">
      <c r="B342" s="574">
        <v>14.04</v>
      </c>
      <c r="C342" s="575" t="e">
        <f>+#REF!+1</f>
        <v>#REF!</v>
      </c>
      <c r="D342" s="501" t="s">
        <v>789</v>
      </c>
      <c r="E342" s="646"/>
      <c r="F342" s="636"/>
      <c r="G342" s="596" t="s">
        <v>11</v>
      </c>
      <c r="H342" s="640"/>
      <c r="I342" s="640">
        <f>+H340</f>
        <v>253.96</v>
      </c>
      <c r="J342" s="640"/>
      <c r="K342" s="647">
        <f t="shared" si="274"/>
        <v>0</v>
      </c>
      <c r="L342" s="560">
        <f>+L122</f>
        <v>2</v>
      </c>
      <c r="M342" s="647">
        <f>+ROUND($I342*L342,2)</f>
        <v>507.92</v>
      </c>
      <c r="N342" s="561"/>
      <c r="O342" s="561">
        <f t="shared" si="276"/>
        <v>0</v>
      </c>
      <c r="P342" s="659">
        <f>+L342</f>
        <v>2</v>
      </c>
      <c r="Q342" s="647">
        <f>+ROUND($I342*P342,2)</f>
        <v>507.92</v>
      </c>
      <c r="R342" s="648"/>
      <c r="S342" s="561">
        <f t="shared" si="278"/>
        <v>0</v>
      </c>
      <c r="T342" s="648"/>
      <c r="U342" s="561">
        <f t="shared" si="279"/>
        <v>0</v>
      </c>
      <c r="V342" s="648"/>
      <c r="W342" s="547"/>
    </row>
    <row r="343" spans="2:23" s="547" customFormat="1" ht="21" customHeight="1" x14ac:dyDescent="0.25">
      <c r="B343" s="559">
        <v>14.049999999999999</v>
      </c>
      <c r="C343" s="575" t="e">
        <f>+#REF!+1</f>
        <v>#REF!</v>
      </c>
      <c r="D343" s="501" t="s">
        <v>790</v>
      </c>
      <c r="E343" s="646"/>
      <c r="F343" s="636"/>
      <c r="G343" s="596" t="s">
        <v>11</v>
      </c>
      <c r="H343" s="640"/>
      <c r="I343" s="640">
        <f>+H341*1.5</f>
        <v>396.79499999999996</v>
      </c>
      <c r="J343" s="640"/>
      <c r="K343" s="647">
        <f t="shared" si="274"/>
        <v>0</v>
      </c>
      <c r="L343" s="560">
        <f>+L123</f>
        <v>3</v>
      </c>
      <c r="M343" s="647">
        <f>+ROUND($I343*L343,2)</f>
        <v>1190.3900000000001</v>
      </c>
      <c r="N343" s="561"/>
      <c r="O343" s="561">
        <f t="shared" si="276"/>
        <v>0</v>
      </c>
      <c r="P343" s="659">
        <f>+L343</f>
        <v>3</v>
      </c>
      <c r="Q343" s="647">
        <f>+ROUND($I343*P343,2)</f>
        <v>1190.3900000000001</v>
      </c>
      <c r="R343" s="648"/>
      <c r="S343" s="561">
        <f t="shared" si="278"/>
        <v>0</v>
      </c>
      <c r="T343" s="648"/>
      <c r="U343" s="561">
        <f t="shared" si="279"/>
        <v>0</v>
      </c>
      <c r="V343" s="648"/>
    </row>
    <row r="344" spans="2:23" ht="21" customHeight="1" x14ac:dyDescent="0.25">
      <c r="B344" s="456"/>
      <c r="C344" s="466" t="e">
        <f>+#REF!+1</f>
        <v>#REF!</v>
      </c>
      <c r="D344" s="537"/>
      <c r="E344" s="538"/>
      <c r="F344" s="533" t="str">
        <f>+"SUB-TOTAL   "&amp;B338&amp;":  "</f>
        <v xml:space="preserve">SUB-TOTAL   14:  </v>
      </c>
      <c r="G344" s="567"/>
      <c r="H344" s="540"/>
      <c r="I344" s="540"/>
      <c r="J344" s="540"/>
      <c r="K344" s="589">
        <f>+SUM(K339:K343)</f>
        <v>4465.41</v>
      </c>
      <c r="L344" s="540"/>
      <c r="M344" s="589">
        <f>+SUM(M339:M343)</f>
        <v>4170.3200000000006</v>
      </c>
      <c r="N344" s="589"/>
      <c r="O344" s="589">
        <f>+SUM(O339:O343)</f>
        <v>0</v>
      </c>
      <c r="P344" s="589"/>
      <c r="Q344" s="589">
        <f>+SUM(Q339:Q343)</f>
        <v>1698.3100000000002</v>
      </c>
      <c r="R344" s="589"/>
      <c r="S344" s="589">
        <f>+SUM(S339:S343)</f>
        <v>1993.4</v>
      </c>
      <c r="T344" s="589"/>
      <c r="U344" s="589">
        <f>+SUM(U339:U343)</f>
        <v>1260.83</v>
      </c>
      <c r="V344" s="589"/>
    </row>
    <row r="345" spans="2:23" ht="21" customHeight="1" x14ac:dyDescent="0.25">
      <c r="B345" s="452">
        <f>1+B338</f>
        <v>15</v>
      </c>
      <c r="C345" s="466" t="e">
        <f>+C289+1</f>
        <v>#REF!</v>
      </c>
      <c r="D345" s="453" t="s">
        <v>627</v>
      </c>
      <c r="E345" s="445"/>
      <c r="F345" s="446"/>
      <c r="G345" s="549"/>
      <c r="H345" s="438"/>
      <c r="I345" s="438"/>
      <c r="J345" s="438"/>
      <c r="K345" s="438"/>
      <c r="L345" s="756"/>
      <c r="M345" s="438"/>
      <c r="N345" s="438"/>
      <c r="O345" s="438"/>
      <c r="P345" s="438"/>
      <c r="Q345" s="438"/>
      <c r="R345" s="438"/>
      <c r="S345" s="438"/>
      <c r="T345" s="438"/>
      <c r="U345" s="438"/>
      <c r="V345" s="438"/>
    </row>
    <row r="346" spans="2:23" ht="21" customHeight="1" x14ac:dyDescent="0.25">
      <c r="B346" s="562">
        <v>15.01</v>
      </c>
      <c r="C346" s="576" t="e">
        <f t="shared" si="226"/>
        <v>#REF!</v>
      </c>
      <c r="D346" s="502" t="s">
        <v>628</v>
      </c>
      <c r="E346" s="496"/>
      <c r="F346" s="497"/>
      <c r="G346" s="530" t="s">
        <v>11</v>
      </c>
      <c r="H346" s="553">
        <v>35.28</v>
      </c>
      <c r="I346" s="553"/>
      <c r="J346" s="553">
        <v>16</v>
      </c>
      <c r="K346" s="553">
        <f t="shared" ref="K346:K349" si="282">+ROUND($H346*J346,2)</f>
        <v>564.48</v>
      </c>
      <c r="L346" s="553">
        <f>+L126</f>
        <v>11</v>
      </c>
      <c r="M346" s="553">
        <f t="shared" ref="M346:M347" si="283">+ROUND($H346*L346,2)</f>
        <v>388.08</v>
      </c>
      <c r="N346" s="553">
        <f>+IF($L346-$J346&gt;=0,$L346-$J346,0)</f>
        <v>0</v>
      </c>
      <c r="O346" s="553">
        <f t="shared" ref="O346:O349" si="284">+ROUND($H346*N346,2)</f>
        <v>0</v>
      </c>
      <c r="P346" s="553"/>
      <c r="Q346" s="553">
        <f t="shared" ref="Q346:Q347" si="285">+ROUND($H346*P346,2)</f>
        <v>0</v>
      </c>
      <c r="R346" s="553">
        <f>+IF($L346-$J346&lt;=0,-$L346+$J346,0)</f>
        <v>5</v>
      </c>
      <c r="S346" s="553">
        <f t="shared" ref="S346:S349" si="286">+ROUND($H346*R346,2)</f>
        <v>176.4</v>
      </c>
      <c r="T346" s="553">
        <f>+R346-P349</f>
        <v>2</v>
      </c>
      <c r="U346" s="553">
        <f t="shared" ref="U346:U349" si="287">+ROUND($H346*T346,2)</f>
        <v>70.56</v>
      </c>
      <c r="V346" s="553" t="s">
        <v>876</v>
      </c>
    </row>
    <row r="347" spans="2:23" ht="21" customHeight="1" x14ac:dyDescent="0.25">
      <c r="B347" s="562">
        <v>15.02</v>
      </c>
      <c r="C347" s="576" t="e">
        <f>+C346+1</f>
        <v>#REF!</v>
      </c>
      <c r="D347" s="502" t="s">
        <v>629</v>
      </c>
      <c r="E347" s="496"/>
      <c r="F347" s="497"/>
      <c r="G347" s="530" t="s">
        <v>11</v>
      </c>
      <c r="H347" s="553">
        <v>39.68</v>
      </c>
      <c r="I347" s="553"/>
      <c r="J347" s="553">
        <v>2</v>
      </c>
      <c r="K347" s="553">
        <f t="shared" si="282"/>
        <v>79.36</v>
      </c>
      <c r="L347" s="553">
        <f>+L127</f>
        <v>1</v>
      </c>
      <c r="M347" s="553">
        <f t="shared" si="283"/>
        <v>39.68</v>
      </c>
      <c r="N347" s="553">
        <f t="shared" ref="N347" si="288">+IF($L347-$J347&gt;=0,$L347-$J347,0)</f>
        <v>0</v>
      </c>
      <c r="O347" s="553">
        <f t="shared" si="284"/>
        <v>0</v>
      </c>
      <c r="P347" s="553"/>
      <c r="Q347" s="553">
        <f t="shared" si="285"/>
        <v>0</v>
      </c>
      <c r="R347" s="553">
        <f t="shared" ref="R347" si="289">+IF($L347-$J347&lt;=0,-$L347+$J347,0)</f>
        <v>1</v>
      </c>
      <c r="S347" s="553">
        <f t="shared" si="286"/>
        <v>39.68</v>
      </c>
      <c r="T347" s="553">
        <f>+R347</f>
        <v>1</v>
      </c>
      <c r="U347" s="553">
        <f t="shared" si="287"/>
        <v>39.68</v>
      </c>
      <c r="V347" s="553" t="s">
        <v>876</v>
      </c>
    </row>
    <row r="348" spans="2:23" ht="21" customHeight="1" x14ac:dyDescent="0.25">
      <c r="B348" s="559">
        <v>15.03</v>
      </c>
      <c r="C348" s="575" t="e">
        <f>+#REF!+1</f>
        <v>#REF!</v>
      </c>
      <c r="D348" s="501" t="s">
        <v>826</v>
      </c>
      <c r="E348" s="646"/>
      <c r="F348" s="636"/>
      <c r="G348" s="596" t="s">
        <v>11</v>
      </c>
      <c r="H348" s="640"/>
      <c r="I348" s="640"/>
      <c r="J348" s="640"/>
      <c r="K348" s="647">
        <f t="shared" si="282"/>
        <v>0</v>
      </c>
      <c r="L348" s="560">
        <f>+L128</f>
        <v>0</v>
      </c>
      <c r="M348" s="647">
        <f>+ROUND($I348*L348,2)</f>
        <v>0</v>
      </c>
      <c r="N348" s="561"/>
      <c r="O348" s="561">
        <f t="shared" si="284"/>
        <v>0</v>
      </c>
      <c r="P348" s="659">
        <f>+L348</f>
        <v>0</v>
      </c>
      <c r="Q348" s="647">
        <f>+ROUND($I348*P348,2)</f>
        <v>0</v>
      </c>
      <c r="R348" s="648"/>
      <c r="S348" s="561">
        <f t="shared" si="286"/>
        <v>0</v>
      </c>
      <c r="T348" s="648"/>
      <c r="U348" s="561">
        <f t="shared" si="287"/>
        <v>0</v>
      </c>
      <c r="V348" s="648"/>
      <c r="W348" s="547"/>
    </row>
    <row r="349" spans="2:23" s="547" customFormat="1" ht="21" customHeight="1" x14ac:dyDescent="0.25">
      <c r="B349" s="559">
        <v>16.03</v>
      </c>
      <c r="C349" s="575" t="e">
        <f>+#REF!+1</f>
        <v>#REF!</v>
      </c>
      <c r="D349" s="501" t="s">
        <v>791</v>
      </c>
      <c r="E349" s="646"/>
      <c r="F349" s="636"/>
      <c r="G349" s="596" t="s">
        <v>11</v>
      </c>
      <c r="H349" s="640"/>
      <c r="I349" s="640">
        <f>+H347*1.5</f>
        <v>59.519999999999996</v>
      </c>
      <c r="J349" s="640"/>
      <c r="K349" s="647">
        <f t="shared" si="282"/>
        <v>0</v>
      </c>
      <c r="L349" s="560">
        <f>+L129</f>
        <v>3</v>
      </c>
      <c r="M349" s="647">
        <f>+ROUND($I349*L349,2)</f>
        <v>178.56</v>
      </c>
      <c r="N349" s="561"/>
      <c r="O349" s="561">
        <f t="shared" si="284"/>
        <v>0</v>
      </c>
      <c r="P349" s="659">
        <f>+L349</f>
        <v>3</v>
      </c>
      <c r="Q349" s="647">
        <f>+ROUND($I349*P349,2)</f>
        <v>178.56</v>
      </c>
      <c r="R349" s="648"/>
      <c r="S349" s="561">
        <f t="shared" si="286"/>
        <v>0</v>
      </c>
      <c r="T349" s="648"/>
      <c r="U349" s="561">
        <f t="shared" si="287"/>
        <v>0</v>
      </c>
      <c r="V349" s="648"/>
    </row>
    <row r="350" spans="2:23" ht="21" customHeight="1" x14ac:dyDescent="0.25">
      <c r="B350" s="456"/>
      <c r="C350" s="466" t="e">
        <f>+#REF!+1</f>
        <v>#REF!</v>
      </c>
      <c r="D350" s="537"/>
      <c r="E350" s="538"/>
      <c r="F350" s="533" t="str">
        <f>+"SUB-TOTAL   "&amp;B345&amp;":  "</f>
        <v xml:space="preserve">SUB-TOTAL   15:  </v>
      </c>
      <c r="G350" s="567"/>
      <c r="H350" s="540"/>
      <c r="I350" s="540"/>
      <c r="J350" s="540"/>
      <c r="K350" s="589">
        <f>+SUM(K346:K349)</f>
        <v>643.84</v>
      </c>
      <c r="L350" s="540"/>
      <c r="M350" s="589">
        <f>+SUM(M346:M349)</f>
        <v>606.31999999999994</v>
      </c>
      <c r="N350" s="589"/>
      <c r="O350" s="589">
        <f>+SUM(O346:O349)</f>
        <v>0</v>
      </c>
      <c r="P350" s="589"/>
      <c r="Q350" s="589">
        <f>+SUM(Q346:Q349)</f>
        <v>178.56</v>
      </c>
      <c r="R350" s="589"/>
      <c r="S350" s="589">
        <f>+SUM(S346:S349)</f>
        <v>216.08</v>
      </c>
      <c r="T350" s="589"/>
      <c r="U350" s="589">
        <f>+SUM(U346:U348)</f>
        <v>110.24000000000001</v>
      </c>
      <c r="V350" s="589"/>
    </row>
    <row r="351" spans="2:23" ht="21" customHeight="1" x14ac:dyDescent="0.25">
      <c r="B351" s="452">
        <f>1+B345</f>
        <v>16</v>
      </c>
      <c r="C351" s="466" t="e">
        <f>+C305+1</f>
        <v>#REF!</v>
      </c>
      <c r="D351" s="453" t="s">
        <v>630</v>
      </c>
      <c r="E351" s="445"/>
      <c r="F351" s="446"/>
      <c r="G351" s="549"/>
      <c r="H351" s="438"/>
      <c r="I351" s="438"/>
      <c r="J351" s="438"/>
      <c r="K351" s="438"/>
      <c r="L351" s="756"/>
      <c r="M351" s="438"/>
      <c r="N351" s="438"/>
      <c r="O351" s="438"/>
      <c r="P351" s="438"/>
      <c r="Q351" s="438"/>
      <c r="R351" s="438"/>
      <c r="S351" s="438"/>
      <c r="T351" s="438"/>
      <c r="U351" s="438"/>
      <c r="V351" s="438"/>
    </row>
    <row r="352" spans="2:23" ht="21" customHeight="1" x14ac:dyDescent="0.25">
      <c r="B352" s="562">
        <v>16.010000000000002</v>
      </c>
      <c r="C352" s="576" t="e">
        <f t="shared" ref="C352:C353" si="290">+C351+1</f>
        <v>#REF!</v>
      </c>
      <c r="D352" s="502" t="s">
        <v>631</v>
      </c>
      <c r="E352" s="496"/>
      <c r="F352" s="497"/>
      <c r="G352" s="530" t="s">
        <v>13</v>
      </c>
      <c r="H352" s="553">
        <v>0.2</v>
      </c>
      <c r="I352" s="553"/>
      <c r="J352" s="553">
        <v>90</v>
      </c>
      <c r="K352" s="553">
        <f t="shared" ref="K352:K354" si="291">+ROUND($H352*J352,2)</f>
        <v>18</v>
      </c>
      <c r="L352" s="553">
        <f>+L132</f>
        <v>60</v>
      </c>
      <c r="M352" s="553">
        <f t="shared" ref="M352:M353" si="292">+ROUND($H352*L352,2)</f>
        <v>12</v>
      </c>
      <c r="N352" s="553">
        <f>+IF($L352-$J352&gt;=0,$L352-$J352,0)</f>
        <v>0</v>
      </c>
      <c r="O352" s="553">
        <f t="shared" ref="O352:O354" si="293">+ROUND($H352*N352,2)</f>
        <v>0</v>
      </c>
      <c r="P352" s="553"/>
      <c r="Q352" s="553">
        <f t="shared" ref="Q352:Q353" si="294">+ROUND($H352*P352,2)</f>
        <v>0</v>
      </c>
      <c r="R352" s="553">
        <f>+IF($L352-$J352&lt;=0,-$L352+$J352,0)</f>
        <v>30</v>
      </c>
      <c r="S352" s="553">
        <f t="shared" ref="S352:S354" si="295">+ROUND($H352*R352,2)</f>
        <v>6</v>
      </c>
      <c r="T352" s="553"/>
      <c r="U352" s="553">
        <f t="shared" ref="U352:U354" si="296">+ROUND($H352*T352,2)</f>
        <v>0</v>
      </c>
      <c r="V352" s="553"/>
    </row>
    <row r="353" spans="2:22" ht="21" customHeight="1" x14ac:dyDescent="0.25">
      <c r="B353" s="562">
        <v>16.020000000000003</v>
      </c>
      <c r="C353" s="576" t="e">
        <f t="shared" si="290"/>
        <v>#REF!</v>
      </c>
      <c r="D353" s="502" t="s">
        <v>632</v>
      </c>
      <c r="E353" s="496"/>
      <c r="F353" s="497"/>
      <c r="G353" s="530" t="s">
        <v>13</v>
      </c>
      <c r="H353" s="553">
        <v>0.28999999999999998</v>
      </c>
      <c r="I353" s="553"/>
      <c r="J353" s="553">
        <v>180</v>
      </c>
      <c r="K353" s="553">
        <f t="shared" si="291"/>
        <v>52.2</v>
      </c>
      <c r="L353" s="553">
        <f>+L133</f>
        <v>128</v>
      </c>
      <c r="M353" s="553">
        <f t="shared" si="292"/>
        <v>37.119999999999997</v>
      </c>
      <c r="N353" s="553">
        <f t="shared" ref="N353" si="297">+IF($L353-$J353&gt;=0,$L353-$J353,0)</f>
        <v>0</v>
      </c>
      <c r="O353" s="553">
        <f t="shared" si="293"/>
        <v>0</v>
      </c>
      <c r="P353" s="553"/>
      <c r="Q353" s="553">
        <f t="shared" si="294"/>
        <v>0</v>
      </c>
      <c r="R353" s="553">
        <f t="shared" ref="R353" si="298">+IF($L353-$J353&lt;=0,-$L353+$J353,0)</f>
        <v>52</v>
      </c>
      <c r="S353" s="553">
        <f t="shared" si="295"/>
        <v>15.08</v>
      </c>
      <c r="T353" s="553">
        <f>+P354</f>
        <v>36</v>
      </c>
      <c r="U353" s="553">
        <f t="shared" si="296"/>
        <v>10.44</v>
      </c>
      <c r="V353" s="553" t="s">
        <v>877</v>
      </c>
    </row>
    <row r="354" spans="2:22" s="547" customFormat="1" ht="21" customHeight="1" x14ac:dyDescent="0.25">
      <c r="B354" s="559">
        <v>16.03</v>
      </c>
      <c r="C354" s="575" t="e">
        <f>+#REF!+1</f>
        <v>#REF!</v>
      </c>
      <c r="D354" s="501" t="s">
        <v>792</v>
      </c>
      <c r="E354" s="646"/>
      <c r="F354" s="636"/>
      <c r="G354" s="596" t="s">
        <v>13</v>
      </c>
      <c r="H354" s="640"/>
      <c r="I354" s="640">
        <f>+H353*1.2</f>
        <v>0.34799999999999998</v>
      </c>
      <c r="J354" s="640"/>
      <c r="K354" s="647">
        <f t="shared" si="291"/>
        <v>0</v>
      </c>
      <c r="L354" s="560">
        <f>+L134</f>
        <v>36</v>
      </c>
      <c r="M354" s="647">
        <f>+ROUND($I354*L354,2)</f>
        <v>12.53</v>
      </c>
      <c r="N354" s="561"/>
      <c r="O354" s="561">
        <f t="shared" si="293"/>
        <v>0</v>
      </c>
      <c r="P354" s="659">
        <f>+L354</f>
        <v>36</v>
      </c>
      <c r="Q354" s="647">
        <f>+ROUND($I354*P354,2)</f>
        <v>12.53</v>
      </c>
      <c r="R354" s="648"/>
      <c r="S354" s="561">
        <f t="shared" si="295"/>
        <v>0</v>
      </c>
      <c r="T354" s="648"/>
      <c r="U354" s="561">
        <f t="shared" si="296"/>
        <v>0</v>
      </c>
      <c r="V354" s="648"/>
    </row>
    <row r="355" spans="2:22" ht="21" customHeight="1" x14ac:dyDescent="0.25">
      <c r="B355" s="456"/>
      <c r="C355" s="466" t="e">
        <f>+#REF!+1</f>
        <v>#REF!</v>
      </c>
      <c r="D355" s="537"/>
      <c r="E355" s="538"/>
      <c r="F355" s="533" t="str">
        <f>+"SUB-TOTAL   "&amp;B351&amp;":  "</f>
        <v xml:space="preserve">SUB-TOTAL   16:  </v>
      </c>
      <c r="G355" s="597"/>
      <c r="H355" s="540"/>
      <c r="I355" s="540"/>
      <c r="J355" s="540"/>
      <c r="K355" s="589">
        <f>+SUM(K352:K354)</f>
        <v>70.2</v>
      </c>
      <c r="L355" s="540"/>
      <c r="M355" s="589">
        <f>+SUM(M352:M354)</f>
        <v>61.65</v>
      </c>
      <c r="N355" s="589"/>
      <c r="O355" s="589">
        <f>+SUM(O352:O354)</f>
        <v>0</v>
      </c>
      <c r="P355" s="589"/>
      <c r="Q355" s="589">
        <f>+SUM(Q352:Q354)</f>
        <v>12.53</v>
      </c>
      <c r="R355" s="589"/>
      <c r="S355" s="589">
        <f>+SUM(S352:S354)</f>
        <v>21.08</v>
      </c>
      <c r="T355" s="589"/>
      <c r="U355" s="589">
        <f>+SUM(U352:U354)</f>
        <v>10.44</v>
      </c>
      <c r="V355" s="589"/>
    </row>
    <row r="356" spans="2:22" s="630" customFormat="1" ht="45.75" customHeight="1" x14ac:dyDescent="0.3">
      <c r="B356" s="623"/>
      <c r="C356" s="624" t="e">
        <f>+#REF!+1</f>
        <v>#REF!</v>
      </c>
      <c r="D356" s="625" t="s">
        <v>35</v>
      </c>
      <c r="E356" s="626"/>
      <c r="F356" s="627"/>
      <c r="G356" s="628"/>
      <c r="H356" s="629"/>
      <c r="I356" s="629"/>
      <c r="J356" s="629"/>
      <c r="K356" s="629">
        <f>+K242+K248+K251+K255+K260+K267+K271+K274+K282+K285+K305+K319+K331+K337+K344+K350+K355</f>
        <v>16212.189999999999</v>
      </c>
      <c r="L356" s="629"/>
      <c r="M356" s="629">
        <f>+M242+M248+M251+M255+M260+M267+M271+M274+M282+M285+M305+M319+M331+M337+M344+M350+M355</f>
        <v>19115.259999999998</v>
      </c>
      <c r="N356" s="629"/>
      <c r="O356" s="629">
        <f>+O242+O248+O251+O255+O260+O267+O271+O274+O282+O285+O305+O319+O331+O337+O344+O350+O355</f>
        <v>2169.3000000000002</v>
      </c>
      <c r="P356" s="629"/>
      <c r="Q356" s="629">
        <f>+Q242+Q248+Q251+Q255+Q260+Q267+Q271+Q274+Q282+Q285+Q305+Q319+Q331+Q337+Q344+Q350+Q355</f>
        <v>4146.01</v>
      </c>
      <c r="R356" s="629"/>
      <c r="S356" s="629">
        <f>+S242+S248+S251+S255+S260+S267+S271+S274+S282+S285+S305+S319+S331+S337+S344+S350+S355</f>
        <v>3412.24</v>
      </c>
      <c r="T356" s="629"/>
      <c r="U356" s="629">
        <f>+U242+U248+U251+U255+U260+U267+U271+U274+U282+U285+U305+U319+U331+U337+U344+U350+U355</f>
        <v>2082.23</v>
      </c>
      <c r="V356" s="629"/>
    </row>
    <row r="357" spans="2:22" ht="21" customHeight="1" x14ac:dyDescent="0.25"/>
    <row r="358" spans="2:22" ht="21" customHeight="1" x14ac:dyDescent="0.25"/>
  </sheetData>
  <mergeCells count="48">
    <mergeCell ref="T44:T45"/>
    <mergeCell ref="U44:U45"/>
    <mergeCell ref="N264:N265"/>
    <mergeCell ref="O264:O265"/>
    <mergeCell ref="Q264:Q265"/>
    <mergeCell ref="R264:R265"/>
    <mergeCell ref="S264:S265"/>
    <mergeCell ref="T264:T265"/>
    <mergeCell ref="U264:U265"/>
    <mergeCell ref="N44:N45"/>
    <mergeCell ref="O44:O45"/>
    <mergeCell ref="Q44:Q45"/>
    <mergeCell ref="R44:R45"/>
    <mergeCell ref="S44:S45"/>
    <mergeCell ref="L264:L265"/>
    <mergeCell ref="M264:M265"/>
    <mergeCell ref="B44:B45"/>
    <mergeCell ref="G44:G45"/>
    <mergeCell ref="H44:H45"/>
    <mergeCell ref="J44:J45"/>
    <mergeCell ref="K44:K45"/>
    <mergeCell ref="B264:B265"/>
    <mergeCell ref="G264:G265"/>
    <mergeCell ref="H264:H265"/>
    <mergeCell ref="J264:J265"/>
    <mergeCell ref="K264:K265"/>
    <mergeCell ref="J13:J14"/>
    <mergeCell ref="K13:K14"/>
    <mergeCell ref="L13:L14"/>
    <mergeCell ref="M13:M14"/>
    <mergeCell ref="L44:L45"/>
    <mergeCell ref="M44:M45"/>
    <mergeCell ref="N13:O13"/>
    <mergeCell ref="P13:Q13"/>
    <mergeCell ref="R13:S13"/>
    <mergeCell ref="T13:U13"/>
    <mergeCell ref="B6:V7"/>
    <mergeCell ref="F8:V8"/>
    <mergeCell ref="B12:B15"/>
    <mergeCell ref="C12:F15"/>
    <mergeCell ref="G12:G15"/>
    <mergeCell ref="H12:H14"/>
    <mergeCell ref="I12:I14"/>
    <mergeCell ref="J12:K12"/>
    <mergeCell ref="L12:M12"/>
    <mergeCell ref="N12:Q12"/>
    <mergeCell ref="R12:U12"/>
    <mergeCell ref="V12:V15"/>
  </mergeCells>
  <printOptions horizontalCentered="1" verticalCentered="1"/>
  <pageMargins left="0.39370078740157483" right="0.39370078740157483" top="0.23622047244094491" bottom="0.23622047244094491" header="0" footer="0"/>
  <pageSetup paperSize="9" scale="55" fitToHeight="0" pageOrder="overThenDown" orientation="landscape" r:id="rId1"/>
  <headerFooter>
    <oddFooter>&amp;R&amp;P/&amp;N</oddFooter>
  </headerFooter>
  <rowBreaks count="10" manualBreakCount="10">
    <brk id="47" min="1" max="20" man="1"/>
    <brk id="85" min="1" max="20" man="1"/>
    <brk id="117" min="1" max="20" man="1"/>
    <brk id="149" min="1" max="20" man="1"/>
    <brk id="175" min="1" max="20" man="1"/>
    <brk id="217" min="1" max="20" man="1"/>
    <brk id="235" min="1" max="20" man="1"/>
    <brk id="267" min="1" max="20" man="1"/>
    <brk id="285" min="1" max="20" man="1"/>
    <brk id="319" min="1" max="2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60EF-6338-4258-A3D9-3B1E8F742261}">
  <dimension ref="B1:O48"/>
  <sheetViews>
    <sheetView showGridLines="0" view="pageBreakPreview" topLeftCell="A13" zoomScale="70" zoomScaleNormal="80" zoomScaleSheetLayoutView="70" workbookViewId="0">
      <selection activeCell="I21" sqref="I21:I24"/>
    </sheetView>
  </sheetViews>
  <sheetFormatPr baseColWidth="10" defaultColWidth="13.33203125" defaultRowHeight="13.2" x14ac:dyDescent="0.25"/>
  <cols>
    <col min="1" max="1" width="1.6640625" style="789" customWidth="1"/>
    <col min="2" max="2" width="6.44140625" style="789" customWidth="1"/>
    <col min="3" max="3" width="70.33203125" style="789" customWidth="1"/>
    <col min="4" max="10" width="19.6640625" style="789" customWidth="1"/>
    <col min="11" max="11" width="7.44140625" style="789" customWidth="1"/>
    <col min="12" max="12" width="24" style="789" customWidth="1"/>
    <col min="13" max="13" width="14" style="789" customWidth="1"/>
    <col min="14" max="16384" width="13.33203125" style="789"/>
  </cols>
  <sheetData>
    <row r="1" spans="2:15" ht="7.5" customHeight="1" thickBot="1" x14ac:dyDescent="0.3"/>
    <row r="2" spans="2:15" x14ac:dyDescent="0.25">
      <c r="B2" s="850"/>
      <c r="C2" s="851"/>
      <c r="D2" s="851"/>
      <c r="E2" s="851"/>
      <c r="F2" s="851"/>
      <c r="G2" s="851"/>
      <c r="H2" s="851"/>
      <c r="I2" s="851"/>
      <c r="J2" s="852"/>
    </row>
    <row r="3" spans="2:15" ht="24.6" x14ac:dyDescent="0.25">
      <c r="B3" s="853" t="s">
        <v>921</v>
      </c>
      <c r="C3" s="854"/>
      <c r="D3" s="854"/>
      <c r="E3" s="854"/>
      <c r="F3" s="854"/>
      <c r="G3" s="854"/>
      <c r="H3" s="854"/>
      <c r="I3" s="854"/>
      <c r="J3" s="855"/>
    </row>
    <row r="4" spans="2:15" ht="21.6" thickBot="1" x14ac:dyDescent="0.3">
      <c r="B4" s="856"/>
      <c r="C4" s="857"/>
      <c r="D4" s="857"/>
      <c r="E4" s="857"/>
      <c r="F4" s="857"/>
      <c r="G4" s="857"/>
      <c r="H4" s="857"/>
      <c r="I4" s="857"/>
      <c r="J4" s="858"/>
    </row>
    <row r="5" spans="2:15" x14ac:dyDescent="0.25">
      <c r="B5" s="946"/>
      <c r="C5" s="929"/>
      <c r="D5" s="929"/>
      <c r="E5" s="929"/>
      <c r="F5" s="929"/>
      <c r="G5" s="929"/>
      <c r="H5" s="929"/>
      <c r="I5" s="929"/>
      <c r="J5" s="947"/>
    </row>
    <row r="6" spans="2:15" ht="17.399999999999999" x14ac:dyDescent="0.25">
      <c r="B6" s="946"/>
      <c r="C6" s="948" t="s">
        <v>922</v>
      </c>
      <c r="D6" s="949"/>
      <c r="E6" s="949"/>
      <c r="F6" s="949"/>
      <c r="G6" s="949"/>
      <c r="H6" s="949"/>
      <c r="I6" s="949"/>
      <c r="J6" s="950"/>
    </row>
    <row r="7" spans="2:15" ht="61.5" customHeight="1" x14ac:dyDescent="0.25">
      <c r="B7" s="946"/>
      <c r="C7" s="1270" t="s">
        <v>923</v>
      </c>
      <c r="D7" s="1270"/>
      <c r="E7" s="1270"/>
      <c r="F7" s="1270"/>
      <c r="G7" s="1270"/>
      <c r="H7" s="1270"/>
      <c r="I7" s="1270"/>
      <c r="J7" s="1271"/>
    </row>
    <row r="8" spans="2:15" ht="21" x14ac:dyDescent="0.25">
      <c r="B8" s="946"/>
      <c r="C8" s="951"/>
      <c r="D8" s="929"/>
      <c r="E8" s="929"/>
      <c r="F8" s="929"/>
      <c r="G8" s="929"/>
      <c r="H8" s="929"/>
      <c r="I8" s="929"/>
      <c r="J8" s="947"/>
    </row>
    <row r="9" spans="2:15" ht="17.399999999999999" x14ac:dyDescent="0.25">
      <c r="B9" s="946"/>
      <c r="C9" s="928" t="s">
        <v>36</v>
      </c>
      <c r="D9" s="929"/>
      <c r="E9" s="929"/>
      <c r="F9" s="929"/>
      <c r="G9" s="929"/>
      <c r="H9" s="929"/>
      <c r="I9" s="929"/>
      <c r="J9" s="947"/>
    </row>
    <row r="10" spans="2:15" ht="17.399999999999999" x14ac:dyDescent="0.25">
      <c r="B10" s="946"/>
      <c r="C10" s="928" t="s">
        <v>924</v>
      </c>
      <c r="D10" s="952">
        <f>+'RES-RP'!H18</f>
        <v>370101.87999999995</v>
      </c>
      <c r="E10" s="929"/>
      <c r="F10" s="929"/>
      <c r="G10" s="953"/>
      <c r="H10" s="953"/>
      <c r="I10" s="929"/>
      <c r="J10" s="954"/>
      <c r="L10" s="869" t="b">
        <f>D10=SUM(G13:G28)</f>
        <v>1</v>
      </c>
      <c r="M10" s="870"/>
    </row>
    <row r="11" spans="2:15" ht="13.8" thickBot="1" x14ac:dyDescent="0.3">
      <c r="B11" s="946"/>
      <c r="C11" s="929"/>
      <c r="D11" s="929"/>
      <c r="E11" s="929"/>
      <c r="F11" s="929"/>
      <c r="G11" s="929"/>
      <c r="H11" s="929"/>
      <c r="I11" s="929"/>
      <c r="J11" s="947"/>
    </row>
    <row r="12" spans="2:15" ht="28.2" thickBot="1" x14ac:dyDescent="0.3">
      <c r="B12" s="871" t="s">
        <v>925</v>
      </c>
      <c r="C12" s="872" t="s">
        <v>926</v>
      </c>
      <c r="D12" s="872" t="s">
        <v>927</v>
      </c>
      <c r="E12" s="872" t="s">
        <v>928</v>
      </c>
      <c r="F12" s="874" t="s">
        <v>929</v>
      </c>
      <c r="G12" s="872" t="s">
        <v>930</v>
      </c>
      <c r="H12" s="872" t="s">
        <v>931</v>
      </c>
      <c r="I12" s="872" t="s">
        <v>932</v>
      </c>
      <c r="J12" s="875" t="s">
        <v>933</v>
      </c>
    </row>
    <row r="13" spans="2:15" ht="19.5" customHeight="1" x14ac:dyDescent="0.25">
      <c r="B13" s="955">
        <v>1</v>
      </c>
      <c r="C13" s="877" t="s">
        <v>296</v>
      </c>
      <c r="D13" s="878" t="s">
        <v>934</v>
      </c>
      <c r="E13" s="879" t="s">
        <v>935</v>
      </c>
      <c r="F13" s="1272" t="s">
        <v>936</v>
      </c>
      <c r="G13" s="956">
        <f>+'Mtdo-Ppto RP'!M31</f>
        <v>0</v>
      </c>
      <c r="H13" s="957">
        <f>ROUND(G13/$D$10,3)</f>
        <v>0</v>
      </c>
      <c r="I13" s="958">
        <f>ROUND(G13/SUM($G$13:$G$20),4)</f>
        <v>0</v>
      </c>
      <c r="J13" s="959">
        <f>ROUND(SUM(H13:H20),3)</f>
        <v>0.247</v>
      </c>
      <c r="K13" s="884"/>
      <c r="L13" s="960"/>
      <c r="M13" s="886"/>
      <c r="N13" s="887"/>
      <c r="O13" s="961"/>
    </row>
    <row r="14" spans="2:15" ht="19.5" customHeight="1" x14ac:dyDescent="0.25">
      <c r="B14" s="955"/>
      <c r="C14" s="877" t="s">
        <v>937</v>
      </c>
      <c r="D14" s="878" t="s">
        <v>938</v>
      </c>
      <c r="E14" s="879" t="s">
        <v>939</v>
      </c>
      <c r="F14" s="1263"/>
      <c r="G14" s="956">
        <f>+'Mtdo-Ppto RP'!M22</f>
        <v>2021</v>
      </c>
      <c r="H14" s="957">
        <f>ROUND(G14/$D$10,3)</f>
        <v>5.0000000000000001E-3</v>
      </c>
      <c r="I14" s="958">
        <f>ROUND(G14/SUM($G$13:$G$20),4)</f>
        <v>2.1999999999999999E-2</v>
      </c>
      <c r="J14" s="959"/>
      <c r="K14" s="884"/>
      <c r="L14" s="960"/>
      <c r="M14" s="886"/>
      <c r="N14" s="887"/>
      <c r="O14" s="961"/>
    </row>
    <row r="15" spans="2:15" ht="19.5" customHeight="1" x14ac:dyDescent="0.25">
      <c r="B15" s="955"/>
      <c r="C15" s="877" t="s">
        <v>940</v>
      </c>
      <c r="D15" s="878" t="s">
        <v>941</v>
      </c>
      <c r="E15" s="879" t="s">
        <v>936</v>
      </c>
      <c r="F15" s="1263"/>
      <c r="G15" s="956">
        <f>+'Mtdo-Ppto RP'!M28+'Mtdo-Ppto RP'!M35</f>
        <v>53371.710000000006</v>
      </c>
      <c r="H15" s="957">
        <f>ROUND(G15/$D$10,3)</f>
        <v>0.14399999999999999</v>
      </c>
      <c r="I15" s="958">
        <f>ROUND(G15/SUM($G$13:$G$20),4)+0.0001</f>
        <v>0.58119999999999994</v>
      </c>
      <c r="J15" s="959"/>
      <c r="K15" s="884"/>
      <c r="L15" s="960"/>
      <c r="M15" s="886"/>
      <c r="N15" s="887"/>
    </row>
    <row r="16" spans="2:15" ht="19.5" customHeight="1" x14ac:dyDescent="0.25">
      <c r="B16" s="955"/>
      <c r="C16" s="877" t="s">
        <v>509</v>
      </c>
      <c r="D16" s="878" t="s">
        <v>941</v>
      </c>
      <c r="E16" s="879" t="s">
        <v>942</v>
      </c>
      <c r="F16" s="1263"/>
      <c r="G16" s="956">
        <f>+'Mtdo-Ppto RP'!M40</f>
        <v>9029.5</v>
      </c>
      <c r="H16" s="957">
        <f>ROUND(G16/$D$10,3)</f>
        <v>2.4E-2</v>
      </c>
      <c r="I16" s="958">
        <f t="shared" ref="I16:I20" si="0">ROUND(G16/SUM($G$13:$G$20),4)</f>
        <v>9.8299999999999998E-2</v>
      </c>
      <c r="J16" s="962"/>
      <c r="K16" s="884"/>
      <c r="L16" s="960"/>
    </row>
    <row r="17" spans="2:13" ht="19.5" customHeight="1" x14ac:dyDescent="0.25">
      <c r="B17" s="955"/>
      <c r="C17" s="877" t="s">
        <v>952</v>
      </c>
      <c r="D17" s="963" t="s">
        <v>950</v>
      </c>
      <c r="E17" s="879" t="s">
        <v>953</v>
      </c>
      <c r="F17" s="1263"/>
      <c r="G17" s="956">
        <f>+'Mtdo-Ppto RP'!M85</f>
        <v>3735.48</v>
      </c>
      <c r="H17" s="957">
        <f>ROUND(G17/$D$10,3)</f>
        <v>0.01</v>
      </c>
      <c r="I17" s="958">
        <f t="shared" si="0"/>
        <v>4.07E-2</v>
      </c>
      <c r="J17" s="959"/>
      <c r="K17" s="884"/>
      <c r="L17" s="960"/>
    </row>
    <row r="18" spans="2:13" ht="19.5" customHeight="1" x14ac:dyDescent="0.25">
      <c r="B18" s="955"/>
      <c r="C18" s="877" t="s">
        <v>20</v>
      </c>
      <c r="D18" s="963" t="s">
        <v>950</v>
      </c>
      <c r="E18" s="879" t="s">
        <v>951</v>
      </c>
      <c r="F18" s="1263"/>
      <c r="G18" s="956">
        <f>+'Mtdo-Ppto RP'!M99</f>
        <v>6000.31</v>
      </c>
      <c r="H18" s="957">
        <f t="shared" ref="H18:H28" si="1">ROUND(G18/$D$10,3)</f>
        <v>1.6E-2</v>
      </c>
      <c r="I18" s="958">
        <f t="shared" si="0"/>
        <v>6.5299999999999997E-2</v>
      </c>
      <c r="J18" s="962"/>
      <c r="K18" s="884"/>
      <c r="L18" s="960"/>
    </row>
    <row r="19" spans="2:13" ht="19.5" customHeight="1" x14ac:dyDescent="0.25">
      <c r="B19" s="955"/>
      <c r="C19" s="877" t="s">
        <v>977</v>
      </c>
      <c r="D19" s="963" t="s">
        <v>954</v>
      </c>
      <c r="E19" s="879" t="s">
        <v>955</v>
      </c>
      <c r="F19" s="1263"/>
      <c r="G19" s="956">
        <f>+'Mtdo-Ppto RP'!M65</f>
        <v>5523.2</v>
      </c>
      <c r="H19" s="957">
        <f t="shared" si="1"/>
        <v>1.4999999999999999E-2</v>
      </c>
      <c r="I19" s="958">
        <f t="shared" si="0"/>
        <v>6.0100000000000001E-2</v>
      </c>
      <c r="J19" s="962"/>
      <c r="K19" s="884"/>
      <c r="L19" s="960"/>
    </row>
    <row r="20" spans="2:13" ht="19.5" customHeight="1" x14ac:dyDescent="0.25">
      <c r="B20" s="964"/>
      <c r="C20" s="965" t="s">
        <v>459</v>
      </c>
      <c r="D20" s="966" t="s">
        <v>954</v>
      </c>
      <c r="E20" s="967" t="s">
        <v>956</v>
      </c>
      <c r="F20" s="1264"/>
      <c r="G20" s="968">
        <f>+'Mtdo-Ppto RP'!M111</f>
        <v>12159.04</v>
      </c>
      <c r="H20" s="969">
        <f>ROUND(G20/$D$10,3+0.1)</f>
        <v>3.3000000000000002E-2</v>
      </c>
      <c r="I20" s="970">
        <f t="shared" si="0"/>
        <v>0.13239999999999999</v>
      </c>
      <c r="J20" s="971"/>
      <c r="K20" s="884"/>
      <c r="L20" s="960"/>
    </row>
    <row r="21" spans="2:13" ht="19.5" customHeight="1" x14ac:dyDescent="0.25">
      <c r="B21" s="955">
        <v>2</v>
      </c>
      <c r="C21" s="877" t="s">
        <v>946</v>
      </c>
      <c r="D21" s="878" t="s">
        <v>947</v>
      </c>
      <c r="E21" s="879" t="s">
        <v>948</v>
      </c>
      <c r="F21" s="1262" t="s">
        <v>948</v>
      </c>
      <c r="G21" s="956">
        <f>+'Mtdo-Ppto RP'!M117</f>
        <v>14296.26</v>
      </c>
      <c r="H21" s="957">
        <f t="shared" si="1"/>
        <v>3.9E-2</v>
      </c>
      <c r="I21" s="958">
        <f>ROUND(G21/SUM($G$21:$G$24),4)</f>
        <v>0.32619999999999999</v>
      </c>
      <c r="J21" s="959">
        <f>ROUND(SUM(H21:H24),3)</f>
        <v>0.11899999999999999</v>
      </c>
      <c r="K21" s="884"/>
      <c r="L21" s="885"/>
    </row>
    <row r="22" spans="2:13" ht="19.5" customHeight="1" x14ac:dyDescent="0.25">
      <c r="B22" s="955"/>
      <c r="C22" s="877" t="s">
        <v>505</v>
      </c>
      <c r="D22" s="878" t="s">
        <v>947</v>
      </c>
      <c r="E22" s="879" t="s">
        <v>949</v>
      </c>
      <c r="F22" s="1263"/>
      <c r="G22" s="956">
        <f>+'Mtdo-Ppto RP'!M47+'Mtdo-Ppto RP'!M51</f>
        <v>15572.01</v>
      </c>
      <c r="H22" s="957">
        <f>ROUND(G22/$D$10,3)</f>
        <v>4.2000000000000003E-2</v>
      </c>
      <c r="I22" s="958">
        <f>ROUND(G22/SUM($G$21:$G$24),4)+0.0001</f>
        <v>0.35539999999999999</v>
      </c>
      <c r="J22" s="959"/>
      <c r="K22" s="884"/>
      <c r="L22" s="885"/>
    </row>
    <row r="23" spans="2:13" ht="19.5" customHeight="1" x14ac:dyDescent="0.25">
      <c r="B23" s="955"/>
      <c r="C23" s="877" t="s">
        <v>978</v>
      </c>
      <c r="D23" s="963" t="s">
        <v>979</v>
      </c>
      <c r="E23" s="879" t="s">
        <v>980</v>
      </c>
      <c r="F23" s="1263"/>
      <c r="G23" s="956">
        <f>+'Mtdo-Ppto RP'!M135</f>
        <v>3267.2200000000003</v>
      </c>
      <c r="H23" s="957">
        <f>ROUND(G23/$D$10,3)</f>
        <v>8.9999999999999993E-3</v>
      </c>
      <c r="I23" s="958">
        <f>ROUND(G23/SUM($G$21:$G$24),4)</f>
        <v>7.4499999999999997E-2</v>
      </c>
      <c r="J23" s="959"/>
      <c r="K23" s="884"/>
      <c r="L23" s="885"/>
    </row>
    <row r="24" spans="2:13" ht="19.5" customHeight="1" x14ac:dyDescent="0.25">
      <c r="B24" s="955"/>
      <c r="C24" s="877" t="s">
        <v>943</v>
      </c>
      <c r="D24" s="963" t="s">
        <v>944</v>
      </c>
      <c r="E24" s="879" t="s">
        <v>945</v>
      </c>
      <c r="F24" s="1264"/>
      <c r="G24" s="956">
        <f>+'Mtdo-Ppto RP'!M54+'Mtdo-Ppto RP'!M62</f>
        <v>10691.09</v>
      </c>
      <c r="H24" s="957">
        <f t="shared" si="1"/>
        <v>2.9000000000000001E-2</v>
      </c>
      <c r="I24" s="958">
        <f t="shared" ref="I24" si="2">ROUND(G24/SUM($G$21:$G$24),4)</f>
        <v>0.24390000000000001</v>
      </c>
      <c r="J24" s="972"/>
      <c r="K24" s="884"/>
      <c r="L24" s="885"/>
    </row>
    <row r="25" spans="2:13" ht="19.5" customHeight="1" x14ac:dyDescent="0.25">
      <c r="B25" s="973">
        <v>3</v>
      </c>
      <c r="C25" s="974" t="s">
        <v>981</v>
      </c>
      <c r="D25" s="975" t="s">
        <v>982</v>
      </c>
      <c r="E25" s="976" t="s">
        <v>983</v>
      </c>
      <c r="F25" s="976" t="s">
        <v>983</v>
      </c>
      <c r="G25" s="907">
        <f>+'Mtdo-Ppto RP'!M124+'Mtdo-Ppto RP'!M130</f>
        <v>87538.77</v>
      </c>
      <c r="H25" s="977">
        <f>ROUND(G25/$D$10,3)</f>
        <v>0.23699999999999999</v>
      </c>
      <c r="I25" s="978">
        <f>ROUND(G25/SUM($G$25:$G$25),4)</f>
        <v>1</v>
      </c>
      <c r="J25" s="979">
        <f>ROUND(SUM(H25),3)</f>
        <v>0.23699999999999999</v>
      </c>
      <c r="K25" s="884"/>
      <c r="L25" s="885"/>
    </row>
    <row r="26" spans="2:13" ht="19.5" customHeight="1" x14ac:dyDescent="0.25">
      <c r="B26" s="973">
        <v>4</v>
      </c>
      <c r="C26" s="974" t="s">
        <v>89</v>
      </c>
      <c r="D26" s="975" t="s">
        <v>958</v>
      </c>
      <c r="E26" s="976" t="s">
        <v>959</v>
      </c>
      <c r="F26" s="1262" t="s">
        <v>959</v>
      </c>
      <c r="G26" s="907">
        <f>+'Mtdo-Ppto RP'!M235</f>
        <v>84855.489999999991</v>
      </c>
      <c r="H26" s="957">
        <f t="shared" si="1"/>
        <v>0.22900000000000001</v>
      </c>
      <c r="I26" s="958">
        <f>ROUND(G26/($G$26+$G$27),4)</f>
        <v>0.81610000000000005</v>
      </c>
      <c r="J26" s="959">
        <f>ROUND(SUM(H26:H27),3)</f>
        <v>0.28100000000000003</v>
      </c>
      <c r="K26" s="884"/>
      <c r="L26" s="913"/>
    </row>
    <row r="27" spans="2:13" ht="19.5" customHeight="1" x14ac:dyDescent="0.25">
      <c r="B27" s="964"/>
      <c r="C27" s="965" t="s">
        <v>960</v>
      </c>
      <c r="D27" s="966" t="s">
        <v>961</v>
      </c>
      <c r="E27" s="967" t="s">
        <v>962</v>
      </c>
      <c r="F27" s="1264"/>
      <c r="G27" s="968">
        <f>+'Mtdo-Ppto RP'!M356</f>
        <v>19115.259999999998</v>
      </c>
      <c r="H27" s="969">
        <f t="shared" si="1"/>
        <v>5.1999999999999998E-2</v>
      </c>
      <c r="I27" s="970">
        <f>ROUND(G27/($G$26+$G$27),4)</f>
        <v>0.18390000000000001</v>
      </c>
      <c r="J27" s="972"/>
      <c r="K27" s="884"/>
    </row>
    <row r="28" spans="2:13" ht="19.5" customHeight="1" thickBot="1" x14ac:dyDescent="0.3">
      <c r="B28" s="980">
        <v>5</v>
      </c>
      <c r="C28" s="981" t="s">
        <v>963</v>
      </c>
      <c r="D28" s="982" t="s">
        <v>964</v>
      </c>
      <c r="E28" s="983" t="s">
        <v>965</v>
      </c>
      <c r="F28" s="983" t="s">
        <v>965</v>
      </c>
      <c r="G28" s="984">
        <f>+'RES-RP'!H16+'RES-RP'!H17</f>
        <v>42925.54</v>
      </c>
      <c r="H28" s="985">
        <f t="shared" si="1"/>
        <v>0.11600000000000001</v>
      </c>
      <c r="I28" s="986">
        <f>+G28/G28</f>
        <v>1</v>
      </c>
      <c r="J28" s="987">
        <f>ROUND(SUM(H28),3)</f>
        <v>0.11600000000000001</v>
      </c>
      <c r="K28" s="884"/>
      <c r="L28" s="923"/>
      <c r="M28" s="923"/>
    </row>
    <row r="29" spans="2:13" ht="15" x14ac:dyDescent="0.25">
      <c r="B29" s="988"/>
      <c r="C29" s="989"/>
      <c r="D29" s="989"/>
      <c r="E29" s="989"/>
      <c r="F29" s="989"/>
      <c r="G29" s="990"/>
      <c r="H29" s="990"/>
      <c r="I29" s="989"/>
      <c r="J29" s="991"/>
      <c r="L29" s="926"/>
    </row>
    <row r="30" spans="2:13" ht="17.399999999999999" x14ac:dyDescent="0.25">
      <c r="B30" s="992" t="s">
        <v>967</v>
      </c>
      <c r="C30" s="928" t="str">
        <f>J13&amp;" PCr/PCo + "&amp;J21&amp;" AE1r/AE1o + "&amp;J25&amp;" ENr/ENo+ "&amp;J26&amp;" Jr/Jo + "&amp;J28&amp;" GGr/GGo"</f>
        <v>0.247 PCr/PCo + 0.119 AE1r/AE1o + 0.237 ENr/ENo+ 0.281 Jr/Jo + 0.116 GGr/GGo</v>
      </c>
      <c r="D30" s="929"/>
      <c r="E30" s="929"/>
      <c r="F30" s="929"/>
      <c r="G30" s="953"/>
      <c r="H30" s="953"/>
      <c r="I30" s="993"/>
      <c r="J30" s="994"/>
    </row>
    <row r="31" spans="2:13" ht="13.8" thickBot="1" x14ac:dyDescent="0.3">
      <c r="B31" s="995"/>
      <c r="C31" s="996"/>
      <c r="D31" s="996"/>
      <c r="E31" s="996"/>
      <c r="F31" s="996"/>
      <c r="G31" s="996"/>
      <c r="H31" s="996"/>
      <c r="I31" s="996"/>
      <c r="J31" s="997"/>
    </row>
    <row r="32" spans="2:13" x14ac:dyDescent="0.25">
      <c r="B32" s="946"/>
      <c r="C32" s="929"/>
      <c r="D32" s="929"/>
      <c r="E32" s="929"/>
      <c r="F32" s="929"/>
      <c r="G32" s="929"/>
      <c r="H32" s="929"/>
      <c r="I32" s="929"/>
      <c r="J32" s="947"/>
    </row>
    <row r="33" spans="2:10" x14ac:dyDescent="0.25">
      <c r="B33" s="946" t="s">
        <v>232</v>
      </c>
      <c r="C33" s="929"/>
      <c r="D33" s="929"/>
      <c r="E33" s="929"/>
      <c r="F33" s="929"/>
      <c r="G33" s="929"/>
      <c r="H33" s="929"/>
      <c r="I33" s="929"/>
      <c r="J33" s="947"/>
    </row>
    <row r="34" spans="2:10" x14ac:dyDescent="0.25">
      <c r="B34" s="946"/>
      <c r="C34" s="929"/>
      <c r="D34" s="929"/>
      <c r="E34" s="929"/>
      <c r="F34" s="929"/>
      <c r="G34" s="929"/>
      <c r="H34" s="929"/>
      <c r="I34" s="929"/>
      <c r="J34" s="947"/>
    </row>
    <row r="35" spans="2:10" ht="13.8" x14ac:dyDescent="0.25">
      <c r="B35" s="998" t="s">
        <v>968</v>
      </c>
      <c r="C35" s="999" t="s">
        <v>969</v>
      </c>
      <c r="D35" s="929"/>
      <c r="E35" s="929"/>
      <c r="F35" s="929"/>
      <c r="G35" s="929"/>
      <c r="H35" s="929"/>
      <c r="I35" s="929"/>
      <c r="J35" s="947"/>
    </row>
    <row r="36" spans="2:10" ht="13.8" x14ac:dyDescent="0.25">
      <c r="B36" s="998"/>
      <c r="C36" s="999" t="s">
        <v>970</v>
      </c>
      <c r="D36" s="929"/>
      <c r="E36" s="929"/>
      <c r="F36" s="929"/>
      <c r="G36" s="929"/>
      <c r="H36" s="929"/>
      <c r="I36" s="929"/>
      <c r="J36" s="947"/>
    </row>
    <row r="37" spans="2:10" ht="13.8" x14ac:dyDescent="0.25">
      <c r="B37" s="998"/>
      <c r="C37" s="999" t="s">
        <v>971</v>
      </c>
      <c r="D37" s="929"/>
      <c r="E37" s="929"/>
      <c r="F37" s="929"/>
      <c r="G37" s="929"/>
      <c r="H37" s="929"/>
      <c r="I37" s="929"/>
      <c r="J37" s="947"/>
    </row>
    <row r="38" spans="2:10" ht="13.8" x14ac:dyDescent="0.25">
      <c r="B38" s="998" t="s">
        <v>972</v>
      </c>
      <c r="C38" s="999" t="s">
        <v>973</v>
      </c>
      <c r="D38" s="929"/>
      <c r="E38" s="929"/>
      <c r="F38" s="929"/>
      <c r="G38" s="929"/>
      <c r="H38" s="929"/>
      <c r="I38" s="929"/>
      <c r="J38" s="947"/>
    </row>
    <row r="39" spans="2:10" ht="13.8" x14ac:dyDescent="0.25">
      <c r="B39" s="998"/>
      <c r="C39" s="999" t="s">
        <v>974</v>
      </c>
      <c r="D39" s="929"/>
      <c r="E39" s="929"/>
      <c r="F39" s="929"/>
      <c r="G39" s="929"/>
      <c r="H39" s="929"/>
      <c r="I39" s="929"/>
      <c r="J39" s="947"/>
    </row>
    <row r="40" spans="2:10" ht="14.4" thickBot="1" x14ac:dyDescent="0.3">
      <c r="B40" s="1000" t="s">
        <v>975</v>
      </c>
      <c r="C40" s="1001" t="s">
        <v>976</v>
      </c>
      <c r="D40" s="996"/>
      <c r="E40" s="996"/>
      <c r="F40" s="996"/>
      <c r="G40" s="996"/>
      <c r="H40" s="996"/>
      <c r="I40" s="996"/>
      <c r="J40" s="997"/>
    </row>
    <row r="42" spans="2:10" x14ac:dyDescent="0.25">
      <c r="G42" s="939"/>
      <c r="H42" s="1002" t="str">
        <f>+IF(SUM(H13:H28)=1,"OK","X")</f>
        <v>OK</v>
      </c>
      <c r="I42" s="1002" t="str">
        <f>+IF(SUM(I13:I28)=5,"OK","X")</f>
        <v>OK</v>
      </c>
      <c r="J42" s="1002" t="str">
        <f>+IF(SUM(J13:J28)=1,"OK","X")</f>
        <v>OK</v>
      </c>
    </row>
    <row r="43" spans="2:10" x14ac:dyDescent="0.25">
      <c r="G43" s="1003"/>
      <c r="H43" s="869"/>
      <c r="I43" s="869"/>
      <c r="J43" s="869"/>
    </row>
    <row r="44" spans="2:10" x14ac:dyDescent="0.25">
      <c r="G44" s="942"/>
      <c r="H44" s="1004"/>
    </row>
    <row r="45" spans="2:10" x14ac:dyDescent="0.25">
      <c r="G45" s="941"/>
    </row>
    <row r="48" spans="2:10" x14ac:dyDescent="0.25">
      <c r="H48" s="923"/>
      <c r="I48" s="923"/>
      <c r="J48" s="923"/>
    </row>
  </sheetData>
  <mergeCells count="4">
    <mergeCell ref="C7:J7"/>
    <mergeCell ref="F13:F20"/>
    <mergeCell ref="F21:F24"/>
    <mergeCell ref="F26:F27"/>
  </mergeCells>
  <printOptions horizontalCentered="1" verticalCentered="1"/>
  <pageMargins left="0.78740157480314965" right="0.78740157480314965" top="0" bottom="0" header="0" footer="0"/>
  <pageSetup paperSize="9" scale="6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B1:Q25"/>
  <sheetViews>
    <sheetView showGridLines="0" view="pageBreakPreview" zoomScale="85" zoomScaleNormal="100" zoomScaleSheetLayoutView="85" workbookViewId="0">
      <selection activeCell="B2" sqref="B2"/>
    </sheetView>
  </sheetViews>
  <sheetFormatPr baseColWidth="10" defaultColWidth="11.44140625" defaultRowHeight="13.2" x14ac:dyDescent="0.25"/>
  <cols>
    <col min="1" max="1" width="1.88671875" style="3" customWidth="1"/>
    <col min="2" max="2" width="11.33203125" style="7" customWidth="1"/>
    <col min="3" max="3" width="2.5546875" style="7" customWidth="1"/>
    <col min="4" max="4" width="6.109375" style="7" customWidth="1"/>
    <col min="5" max="5" width="7.44140625" style="7" customWidth="1"/>
    <col min="6" max="6" width="45.33203125" style="7" customWidth="1"/>
    <col min="7" max="8" width="19.5546875" style="7" customWidth="1"/>
    <col min="9" max="9" width="16.6640625" style="7" hidden="1" customWidth="1"/>
    <col min="10" max="10" width="14.6640625" style="7" hidden="1" customWidth="1"/>
    <col min="11" max="11" width="14" style="7" hidden="1" customWidth="1"/>
    <col min="12" max="12" width="16.6640625" style="7" hidden="1" customWidth="1"/>
    <col min="13" max="13" width="15.6640625" style="3" customWidth="1"/>
    <col min="14" max="14" width="11.88671875" style="3" customWidth="1"/>
    <col min="15" max="16384" width="11.44140625" style="3"/>
  </cols>
  <sheetData>
    <row r="1" spans="2:17" ht="8.25" customHeight="1" x14ac:dyDescent="0.25">
      <c r="B1" s="5"/>
      <c r="C1" s="6"/>
      <c r="D1" s="6"/>
      <c r="E1" s="6"/>
      <c r="F1" s="6"/>
      <c r="G1" s="6"/>
      <c r="H1" s="6"/>
      <c r="I1" s="6"/>
      <c r="J1" s="6"/>
      <c r="K1" s="6"/>
    </row>
    <row r="2" spans="2:17" ht="15" customHeight="1" x14ac:dyDescent="0.25">
      <c r="B2" s="728" t="s">
        <v>1026</v>
      </c>
      <c r="C2" s="8"/>
      <c r="D2" s="8"/>
      <c r="E2" s="8"/>
      <c r="F2" s="8"/>
      <c r="G2" s="8"/>
      <c r="H2" s="8"/>
      <c r="I2" s="8"/>
      <c r="J2" s="8"/>
      <c r="K2" s="8"/>
      <c r="L2" s="727"/>
    </row>
    <row r="3" spans="2:17" ht="12" customHeight="1" x14ac:dyDescent="0.25">
      <c r="B3" s="726"/>
      <c r="C3" s="8"/>
      <c r="D3" s="8"/>
      <c r="E3" s="8"/>
      <c r="F3" s="8"/>
      <c r="G3" s="8"/>
      <c r="H3" s="8"/>
      <c r="I3" s="8"/>
      <c r="J3" s="8"/>
      <c r="K3" s="8"/>
    </row>
    <row r="4" spans="2:17" ht="42.75" customHeight="1" x14ac:dyDescent="0.25">
      <c r="B4" s="1221" t="s">
        <v>298</v>
      </c>
      <c r="C4" s="1221"/>
      <c r="D4" s="1221"/>
      <c r="E4" s="1221"/>
      <c r="F4" s="1221"/>
      <c r="G4" s="1221"/>
      <c r="H4" s="1221"/>
      <c r="I4" s="1221"/>
      <c r="J4" s="1221"/>
      <c r="K4" s="1221"/>
      <c r="L4" s="1221"/>
    </row>
    <row r="5" spans="2:17" ht="15" customHeight="1" x14ac:dyDescent="0.25">
      <c r="B5" s="725"/>
      <c r="C5" s="9"/>
      <c r="D5" s="9"/>
      <c r="E5" s="9"/>
      <c r="F5" s="9"/>
      <c r="G5" s="9"/>
      <c r="H5" s="9"/>
      <c r="I5" s="9"/>
      <c r="J5" s="9"/>
      <c r="K5" s="9"/>
    </row>
    <row r="6" spans="2:17" ht="18" customHeight="1" x14ac:dyDescent="0.25">
      <c r="B6" s="724" t="s">
        <v>0</v>
      </c>
      <c r="C6" s="10" t="s">
        <v>1</v>
      </c>
      <c r="D6" s="11" t="s">
        <v>299</v>
      </c>
      <c r="E6" s="11"/>
      <c r="G6" s="11"/>
      <c r="H6" s="11"/>
      <c r="I6" s="11"/>
      <c r="J6" s="11"/>
      <c r="K6" s="11"/>
    </row>
    <row r="7" spans="2:17" ht="18" customHeight="1" x14ac:dyDescent="0.25">
      <c r="B7" s="13" t="s">
        <v>40</v>
      </c>
      <c r="C7" s="12" t="s">
        <v>1</v>
      </c>
      <c r="D7" s="13" t="s">
        <v>41</v>
      </c>
      <c r="E7" s="13"/>
      <c r="G7" s="13"/>
      <c r="H7" s="729" t="s">
        <v>300</v>
      </c>
      <c r="I7" s="13"/>
      <c r="J7" s="13"/>
      <c r="K7" s="13"/>
    </row>
    <row r="8" spans="2:17" ht="18" customHeight="1" x14ac:dyDescent="0.25">
      <c r="B8" s="723"/>
      <c r="C8" s="722"/>
      <c r="D8" s="721"/>
      <c r="E8" s="721"/>
      <c r="F8" s="721"/>
      <c r="G8" s="721"/>
      <c r="H8" s="1131" t="s">
        <v>301</v>
      </c>
      <c r="I8" s="721"/>
      <c r="J8" s="721"/>
      <c r="K8" s="721"/>
      <c r="L8" s="1129"/>
    </row>
    <row r="9" spans="2:17" ht="20.25" customHeight="1" x14ac:dyDescent="0.25">
      <c r="B9" s="1222" t="s">
        <v>3</v>
      </c>
      <c r="C9" s="1224" t="s">
        <v>84</v>
      </c>
      <c r="D9" s="1225"/>
      <c r="E9" s="1225"/>
      <c r="F9" s="1226"/>
      <c r="G9" s="1189" t="s">
        <v>106</v>
      </c>
      <c r="H9" s="1189" t="s">
        <v>436</v>
      </c>
      <c r="I9" s="1199" t="s">
        <v>433</v>
      </c>
      <c r="J9" s="1200"/>
      <c r="K9" s="1201" t="s">
        <v>294</v>
      </c>
      <c r="L9" s="1201"/>
    </row>
    <row r="10" spans="2:17" ht="33" customHeight="1" x14ac:dyDescent="0.25">
      <c r="B10" s="1223"/>
      <c r="C10" s="1227"/>
      <c r="D10" s="1228"/>
      <c r="E10" s="1228"/>
      <c r="F10" s="1229"/>
      <c r="G10" s="1190"/>
      <c r="H10" s="1190"/>
      <c r="I10" s="691" t="s">
        <v>114</v>
      </c>
      <c r="J10" s="691" t="s">
        <v>434</v>
      </c>
      <c r="K10" s="675" t="s">
        <v>297</v>
      </c>
      <c r="L10" s="675" t="s">
        <v>115</v>
      </c>
    </row>
    <row r="11" spans="2:17" ht="21.75" customHeight="1" x14ac:dyDescent="0.25">
      <c r="B11" s="661"/>
      <c r="C11" s="665"/>
      <c r="D11" s="666"/>
      <c r="E11" s="666"/>
      <c r="F11" s="667"/>
      <c r="G11" s="674"/>
      <c r="H11" s="674"/>
      <c r="I11" s="674"/>
      <c r="J11" s="674"/>
      <c r="K11" s="674"/>
      <c r="L11" s="674"/>
    </row>
    <row r="12" spans="2:17" ht="21.75" customHeight="1" x14ac:dyDescent="0.25">
      <c r="B12" s="662" t="s">
        <v>86</v>
      </c>
      <c r="C12" s="668"/>
      <c r="D12" s="669" t="s">
        <v>99</v>
      </c>
      <c r="E12" s="669"/>
      <c r="F12" s="670"/>
      <c r="G12" s="663">
        <f>+'Mtdo-Ppto RS'!K127</f>
        <v>301377.10000000003</v>
      </c>
      <c r="H12" s="663">
        <f>+'Mtdo-Ppto RS'!M127</f>
        <v>420410.61000000004</v>
      </c>
      <c r="I12" s="663">
        <f>+'Mtdo-Ppto RS'!O127</f>
        <v>56280.94</v>
      </c>
      <c r="J12" s="663">
        <f>+'Mtdo-Ppto RS'!Q127</f>
        <v>142438.63999999998</v>
      </c>
      <c r="K12" s="663">
        <f>+'Mtdo-Ppto RS'!S127</f>
        <v>79686.080000000016</v>
      </c>
      <c r="L12" s="663">
        <f>+'Mtdo-Ppto RS'!U127</f>
        <v>71672.950000000012</v>
      </c>
      <c r="M12" s="17"/>
      <c r="N12" s="18"/>
      <c r="P12" s="16"/>
      <c r="Q12" s="17"/>
    </row>
    <row r="13" spans="2:17" ht="21.75" customHeight="1" x14ac:dyDescent="0.25">
      <c r="B13" s="662" t="s">
        <v>88</v>
      </c>
      <c r="C13" s="671"/>
      <c r="D13" s="15" t="s">
        <v>89</v>
      </c>
      <c r="E13" s="15"/>
      <c r="F13" s="672"/>
      <c r="G13" s="663">
        <f>+'Mtdo-Ppto RS'!K240</f>
        <v>273560.14</v>
      </c>
      <c r="H13" s="663">
        <f>+'Mtdo-Ppto RS'!M240</f>
        <v>323016.92000000004</v>
      </c>
      <c r="I13" s="663">
        <f>+'Mtdo-Ppto RS'!O240</f>
        <v>56606.16</v>
      </c>
      <c r="J13" s="663">
        <f>+'Mtdo-Ppto RS'!Q240</f>
        <v>20757.419999999998</v>
      </c>
      <c r="K13" s="663">
        <f>+'Mtdo-Ppto RS'!S240</f>
        <v>27906.79</v>
      </c>
      <c r="L13" s="663">
        <f>+'Mtdo-Ppto RS'!U240</f>
        <v>25189.23</v>
      </c>
      <c r="M13" s="17"/>
      <c r="N13" s="18"/>
      <c r="P13" s="16"/>
      <c r="Q13" s="17"/>
    </row>
    <row r="14" spans="2:17" ht="21.75" customHeight="1" x14ac:dyDescent="0.25">
      <c r="B14" s="662" t="s">
        <v>90</v>
      </c>
      <c r="C14" s="671"/>
      <c r="D14" s="15" t="s">
        <v>100</v>
      </c>
      <c r="E14" s="15"/>
      <c r="F14" s="672"/>
      <c r="G14" s="663">
        <f>+'Mtdo-Ppto RS'!K352</f>
        <v>39859.509999999987</v>
      </c>
      <c r="H14" s="663">
        <f>+'Mtdo-Ppto RS'!M352</f>
        <v>46723.13</v>
      </c>
      <c r="I14" s="663">
        <f>+'Mtdo-Ppto RS'!O352</f>
        <v>4340.5800000000008</v>
      </c>
      <c r="J14" s="663">
        <f>+'Mtdo-Ppto RS'!Q352</f>
        <v>6469.0599999999995</v>
      </c>
      <c r="K14" s="663">
        <f>+'Mtdo-Ppto RS'!S352</f>
        <v>3946.0200000000004</v>
      </c>
      <c r="L14" s="663">
        <f>+'Mtdo-Ppto RS'!U352</f>
        <v>3211.3700000000003</v>
      </c>
      <c r="M14" s="17"/>
      <c r="N14" s="18"/>
      <c r="P14" s="16"/>
      <c r="Q14" s="17"/>
    </row>
    <row r="15" spans="2:17" s="689" customFormat="1" ht="36.75" customHeight="1" x14ac:dyDescent="0.25">
      <c r="B15" s="686" t="s">
        <v>92</v>
      </c>
      <c r="C15" s="676"/>
      <c r="D15" s="677" t="s">
        <v>101</v>
      </c>
      <c r="E15" s="677"/>
      <c r="F15" s="678"/>
      <c r="G15" s="679">
        <f t="shared" ref="G15:L15" si="0">+SUM(G12:G14)</f>
        <v>614796.75</v>
      </c>
      <c r="H15" s="679">
        <f t="shared" si="0"/>
        <v>790150.66</v>
      </c>
      <c r="I15" s="679">
        <f t="shared" si="0"/>
        <v>117227.68000000001</v>
      </c>
      <c r="J15" s="679">
        <f t="shared" si="0"/>
        <v>169665.12</v>
      </c>
      <c r="K15" s="679">
        <f t="shared" si="0"/>
        <v>111538.89000000003</v>
      </c>
      <c r="L15" s="679">
        <f t="shared" si="0"/>
        <v>100073.55</v>
      </c>
      <c r="M15" s="688"/>
      <c r="N15" s="594"/>
      <c r="P15" s="690"/>
      <c r="Q15" s="688"/>
    </row>
    <row r="16" spans="2:17" ht="24.75" customHeight="1" x14ac:dyDescent="0.25">
      <c r="B16" s="664" t="s">
        <v>94</v>
      </c>
      <c r="C16" s="665"/>
      <c r="D16" s="680" t="s">
        <v>807</v>
      </c>
      <c r="E16" s="680"/>
      <c r="F16" s="673"/>
      <c r="G16" s="663">
        <f t="shared" ref="G16:L16" si="1">ROUND(G15*10.12%,2)</f>
        <v>62217.43</v>
      </c>
      <c r="H16" s="663">
        <f t="shared" si="1"/>
        <v>79963.25</v>
      </c>
      <c r="I16" s="663">
        <f t="shared" si="1"/>
        <v>11863.44</v>
      </c>
      <c r="J16" s="663">
        <f t="shared" si="1"/>
        <v>17170.11</v>
      </c>
      <c r="K16" s="663">
        <f t="shared" si="1"/>
        <v>11287.74</v>
      </c>
      <c r="L16" s="663">
        <f t="shared" si="1"/>
        <v>10127.44</v>
      </c>
      <c r="M16" s="17"/>
      <c r="N16" s="19"/>
      <c r="P16" s="16"/>
      <c r="Q16" s="17"/>
    </row>
    <row r="17" spans="2:17" ht="24.75" customHeight="1" x14ac:dyDescent="0.25">
      <c r="B17" s="664" t="s">
        <v>95</v>
      </c>
      <c r="C17" s="665"/>
      <c r="D17" s="14" t="s">
        <v>808</v>
      </c>
      <c r="E17" s="14"/>
      <c r="F17" s="673"/>
      <c r="G17" s="663">
        <f t="shared" ref="G17:L17" si="2">ROUND(G15*3%,2)</f>
        <v>18443.900000000001</v>
      </c>
      <c r="H17" s="663">
        <f t="shared" si="2"/>
        <v>23704.52</v>
      </c>
      <c r="I17" s="663">
        <f t="shared" si="2"/>
        <v>3516.83</v>
      </c>
      <c r="J17" s="663">
        <f t="shared" si="2"/>
        <v>5089.95</v>
      </c>
      <c r="K17" s="663">
        <f t="shared" si="2"/>
        <v>3346.17</v>
      </c>
      <c r="L17" s="663">
        <f t="shared" si="2"/>
        <v>3002.21</v>
      </c>
      <c r="M17" s="17"/>
      <c r="N17" s="19"/>
      <c r="P17" s="16"/>
      <c r="Q17" s="17"/>
    </row>
    <row r="18" spans="2:17" s="689" customFormat="1" ht="36.75" customHeight="1" x14ac:dyDescent="0.25">
      <c r="B18" s="686" t="s">
        <v>113</v>
      </c>
      <c r="C18" s="676"/>
      <c r="D18" s="677" t="s">
        <v>102</v>
      </c>
      <c r="E18" s="677"/>
      <c r="F18" s="678"/>
      <c r="G18" s="687">
        <f t="shared" ref="G18:L18" si="3">G17+G16+G15</f>
        <v>695458.08</v>
      </c>
      <c r="H18" s="687">
        <f t="shared" si="3"/>
        <v>893818.43</v>
      </c>
      <c r="I18" s="687">
        <f t="shared" si="3"/>
        <v>132607.95000000001</v>
      </c>
      <c r="J18" s="687">
        <f t="shared" si="3"/>
        <v>191925.18</v>
      </c>
      <c r="K18" s="687">
        <f t="shared" si="3"/>
        <v>126172.80000000003</v>
      </c>
      <c r="L18" s="687">
        <f t="shared" si="3"/>
        <v>113203.20000000001</v>
      </c>
      <c r="M18" s="690">
        <f>+H18-G18</f>
        <v>198360.35000000009</v>
      </c>
      <c r="N18" s="594"/>
      <c r="P18" s="690"/>
      <c r="Q18" s="688"/>
    </row>
    <row r="19" spans="2:17" s="689" customFormat="1" ht="6" customHeight="1" x14ac:dyDescent="0.25">
      <c r="B19" s="1137"/>
      <c r="C19" s="1138"/>
      <c r="D19" s="677"/>
      <c r="E19" s="677"/>
      <c r="F19" s="677"/>
      <c r="G19" s="1139"/>
      <c r="H19" s="1139"/>
      <c r="I19" s="1136"/>
      <c r="J19" s="1135"/>
      <c r="K19" s="1135"/>
      <c r="L19" s="1135"/>
      <c r="M19" s="690"/>
      <c r="N19" s="594"/>
      <c r="P19" s="690"/>
      <c r="Q19" s="688"/>
    </row>
    <row r="20" spans="2:17" ht="38.25" customHeight="1" x14ac:dyDescent="0.25">
      <c r="B20" s="681"/>
      <c r="C20" s="682"/>
      <c r="D20" s="683" t="s">
        <v>112</v>
      </c>
      <c r="E20" s="683"/>
      <c r="F20" s="684"/>
      <c r="G20" s="685">
        <f>+G18/G18</f>
        <v>1</v>
      </c>
      <c r="H20" s="685">
        <f>+H18/$G$18</f>
        <v>1.2852225830779047</v>
      </c>
      <c r="I20" s="685">
        <f>+I18/$G$18</f>
        <v>0.19067712895074856</v>
      </c>
      <c r="J20" s="685">
        <f t="shared" ref="J20" si="4">+J18/$G$18</f>
        <v>0.27596944448470567</v>
      </c>
      <c r="K20" s="685">
        <f>+K18/$G$18</f>
        <v>0.18142401911557349</v>
      </c>
      <c r="L20" s="685">
        <f>+L18/$G$18</f>
        <v>0.16277501585717433</v>
      </c>
      <c r="M20" s="20"/>
    </row>
    <row r="21" spans="2:17" x14ac:dyDescent="0.25">
      <c r="L21" s="20"/>
    </row>
    <row r="22" spans="2:17" ht="13.8" x14ac:dyDescent="0.25">
      <c r="H22" s="20">
        <f>+H18-I18+K18-J18</f>
        <v>695458.10000000009</v>
      </c>
      <c r="I22" s="63"/>
      <c r="J22" s="63"/>
      <c r="K22" s="20">
        <f>+G12-H12+I12+J12-K12</f>
        <v>-1.0000000038417056E-2</v>
      </c>
      <c r="L22" s="20"/>
      <c r="M22" s="16"/>
    </row>
    <row r="23" spans="2:17" ht="13.8" x14ac:dyDescent="0.25">
      <c r="H23" s="20">
        <f>+G18-H22</f>
        <v>-2.0000000135041773E-2</v>
      </c>
      <c r="I23" s="63"/>
      <c r="J23" s="63"/>
      <c r="K23" s="20">
        <f>+G13-H13+I13+J13-K13</f>
        <v>9.9999999729334377E-3</v>
      </c>
      <c r="L23" s="20"/>
      <c r="M23" s="16"/>
    </row>
    <row r="24" spans="2:17" x14ac:dyDescent="0.25">
      <c r="H24" s="20"/>
      <c r="I24" s="20"/>
      <c r="J24" s="20"/>
      <c r="K24" s="20">
        <f>+G14-H14+I14+J14-K14</f>
        <v>-1.0004441719502211E-11</v>
      </c>
      <c r="L24" s="20"/>
      <c r="M24" s="16"/>
    </row>
    <row r="25" spans="2:17" x14ac:dyDescent="0.25">
      <c r="H25" s="20"/>
      <c r="I25" s="20"/>
      <c r="J25" s="20"/>
      <c r="K25" s="20">
        <f>+G15-H15+I15+J15-K15</f>
        <v>0</v>
      </c>
      <c r="L25" s="20"/>
      <c r="M25" s="16"/>
    </row>
  </sheetData>
  <mergeCells count="7">
    <mergeCell ref="B4:L4"/>
    <mergeCell ref="K9:L9"/>
    <mergeCell ref="B9:B10"/>
    <mergeCell ref="C9:F10"/>
    <mergeCell ref="G9:G10"/>
    <mergeCell ref="H9:H10"/>
    <mergeCell ref="I9:J9"/>
  </mergeCells>
  <printOptions horizontalCentered="1" verticalCentered="1"/>
  <pageMargins left="0" right="0" top="0" bottom="0" header="0" footer="0"/>
  <pageSetup paperSize="9" scale="75" fitToWidth="0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AA354"/>
  <sheetViews>
    <sheetView showGridLines="0" view="pageBreakPreview" topLeftCell="A6" zoomScale="83" zoomScaleNormal="100" zoomScaleSheetLayoutView="83" workbookViewId="0">
      <selection activeCell="B6" sqref="B6:V7"/>
    </sheetView>
  </sheetViews>
  <sheetFormatPr baseColWidth="10" defaultColWidth="11.44140625" defaultRowHeight="13.8" x14ac:dyDescent="0.25"/>
  <cols>
    <col min="1" max="1" width="4.44140625" style="414" customWidth="1"/>
    <col min="2" max="2" width="7.6640625" style="414" customWidth="1"/>
    <col min="3" max="3" width="3.88671875" style="414" hidden="1" customWidth="1"/>
    <col min="4" max="4" width="11" style="414" customWidth="1"/>
    <col min="5" max="5" width="3.109375" style="415" customWidth="1"/>
    <col min="6" max="6" width="68" style="414" customWidth="1"/>
    <col min="7" max="7" width="8.6640625" style="414" customWidth="1"/>
    <col min="8" max="8" width="12.33203125" style="414" customWidth="1"/>
    <col min="9" max="9" width="13.109375" style="418" customWidth="1"/>
    <col min="10" max="10" width="13.88671875" style="416" customWidth="1"/>
    <col min="11" max="11" width="17.44140625" style="417" customWidth="1"/>
    <col min="12" max="12" width="13.88671875" style="414" customWidth="1"/>
    <col min="13" max="13" width="17.44140625" style="414" customWidth="1"/>
    <col min="14" max="14" width="13.88671875" style="414" hidden="1" customWidth="1"/>
    <col min="15" max="15" width="17.44140625" style="414" hidden="1" customWidth="1"/>
    <col min="16" max="16" width="13.88671875" style="414" hidden="1" customWidth="1"/>
    <col min="17" max="17" width="17.44140625" style="414" hidden="1" customWidth="1"/>
    <col min="18" max="18" width="13.88671875" style="414" hidden="1" customWidth="1"/>
    <col min="19" max="19" width="17.44140625" style="414" hidden="1" customWidth="1"/>
    <col min="20" max="20" width="13.88671875" style="414" hidden="1" customWidth="1"/>
    <col min="21" max="21" width="17.44140625" style="414" hidden="1" customWidth="1"/>
    <col min="22" max="22" width="35.33203125" style="414" hidden="1" customWidth="1"/>
    <col min="23" max="23" width="12.88671875" style="414" customWidth="1"/>
    <col min="24" max="16384" width="11.44140625" style="414"/>
  </cols>
  <sheetData>
    <row r="1" spans="2:22" hidden="1" x14ac:dyDescent="0.25"/>
    <row r="2" spans="2:22" ht="15" hidden="1" customHeight="1" x14ac:dyDescent="0.25"/>
    <row r="3" spans="2:22" ht="15" hidden="1" customHeight="1" x14ac:dyDescent="0.25"/>
    <row r="4" spans="2:22" ht="15" hidden="1" customHeight="1" x14ac:dyDescent="0.25"/>
    <row r="5" spans="2:22" hidden="1" x14ac:dyDescent="0.25"/>
    <row r="6" spans="2:22" ht="20.25" customHeight="1" x14ac:dyDescent="0.25">
      <c r="B6" s="1230" t="s">
        <v>1027</v>
      </c>
      <c r="C6" s="1230"/>
      <c r="D6" s="1230"/>
      <c r="E6" s="1230"/>
      <c r="F6" s="1230"/>
      <c r="G6" s="1230"/>
      <c r="H6" s="1230"/>
      <c r="I6" s="1230"/>
      <c r="J6" s="1230"/>
      <c r="K6" s="1230"/>
      <c r="L6" s="1230"/>
      <c r="M6" s="1230"/>
      <c r="N6" s="1230"/>
      <c r="O6" s="1230"/>
      <c r="P6" s="1230"/>
      <c r="Q6" s="1230"/>
      <c r="R6" s="1230"/>
      <c r="S6" s="1230"/>
      <c r="T6" s="1230"/>
      <c r="U6" s="1230"/>
      <c r="V6" s="1230"/>
    </row>
    <row r="7" spans="2:22" ht="17.25" customHeight="1" x14ac:dyDescent="0.25">
      <c r="B7" s="1230"/>
      <c r="C7" s="1230"/>
      <c r="D7" s="1230"/>
      <c r="E7" s="1230"/>
      <c r="F7" s="1230"/>
      <c r="G7" s="1230"/>
      <c r="H7" s="1230"/>
      <c r="I7" s="1230"/>
      <c r="J7" s="1230"/>
      <c r="K7" s="1230"/>
      <c r="L7" s="1230"/>
      <c r="M7" s="1230"/>
      <c r="N7" s="1230"/>
      <c r="O7" s="1230"/>
      <c r="P7" s="1230"/>
      <c r="Q7" s="1230"/>
      <c r="R7" s="1230"/>
      <c r="S7" s="1230"/>
      <c r="T7" s="1230"/>
      <c r="U7" s="1230"/>
      <c r="V7" s="1230"/>
    </row>
    <row r="8" spans="2:22" s="418" customFormat="1" ht="32.25" customHeight="1" x14ac:dyDescent="0.25">
      <c r="B8" s="419" t="s">
        <v>111</v>
      </c>
      <c r="C8" s="420"/>
      <c r="D8" s="420"/>
      <c r="E8" s="421" t="s">
        <v>1</v>
      </c>
      <c r="F8" s="1249" t="str">
        <f>+'RES-GRAL OBRA'!F4:L4</f>
        <v>AMPLIACIÓN DEL SERVICIO DE ENERGÍA ELÉCTRICA EN LA PROVINCIA DEL SANTA Y EN EL DISTRITO DE PAMPAROMAS – DEPARTAMENTO DE ANCASH</v>
      </c>
      <c r="G8" s="1249"/>
      <c r="H8" s="1249"/>
      <c r="I8" s="1249"/>
      <c r="J8" s="1249"/>
      <c r="K8" s="1249"/>
      <c r="L8" s="1249"/>
      <c r="M8" s="1249"/>
      <c r="N8" s="1249"/>
      <c r="O8" s="1249"/>
      <c r="P8" s="1249"/>
      <c r="Q8" s="1249"/>
      <c r="R8" s="1249"/>
      <c r="S8" s="1249"/>
      <c r="T8" s="1249"/>
      <c r="U8" s="1249"/>
      <c r="V8" s="1249"/>
    </row>
    <row r="9" spans="2:22" s="418" customFormat="1" ht="24" customHeight="1" x14ac:dyDescent="0.25">
      <c r="B9" s="419" t="s">
        <v>103</v>
      </c>
      <c r="C9" s="25"/>
      <c r="D9" s="25"/>
      <c r="E9" s="421" t="s">
        <v>1</v>
      </c>
      <c r="F9" s="422" t="str">
        <f>+'RES-GRAL OBRA'!F5</f>
        <v>ANCASH</v>
      </c>
      <c r="G9" s="420"/>
      <c r="H9" s="420"/>
      <c r="I9" s="420"/>
      <c r="J9" s="420"/>
      <c r="K9" s="420"/>
      <c r="L9" s="423"/>
      <c r="M9" s="423"/>
      <c r="N9" s="423"/>
      <c r="O9" s="423"/>
      <c r="P9" s="423"/>
      <c r="Q9" s="423"/>
      <c r="R9" s="420"/>
      <c r="S9" s="420"/>
      <c r="T9" s="420"/>
      <c r="U9" s="420"/>
      <c r="V9" s="420"/>
    </row>
    <row r="10" spans="2:22" s="418" customFormat="1" ht="24" customHeight="1" x14ac:dyDescent="0.25">
      <c r="B10" s="419" t="s">
        <v>40</v>
      </c>
      <c r="C10" s="424"/>
      <c r="D10" s="424"/>
      <c r="E10" s="425" t="s">
        <v>1</v>
      </c>
      <c r="F10" s="419" t="s">
        <v>41</v>
      </c>
      <c r="G10" s="426"/>
      <c r="H10" s="427"/>
      <c r="I10" s="427"/>
      <c r="J10" s="428"/>
      <c r="K10" s="428"/>
      <c r="L10" s="428"/>
      <c r="M10" s="428"/>
      <c r="N10" s="428"/>
      <c r="O10" s="428"/>
      <c r="P10" s="428"/>
      <c r="Q10" s="428"/>
      <c r="R10" s="420"/>
      <c r="S10" s="420"/>
      <c r="T10" s="420"/>
      <c r="U10" s="420"/>
      <c r="V10" s="420"/>
    </row>
    <row r="11" spans="2:22" ht="8.25" customHeight="1" x14ac:dyDescent="0.25">
      <c r="B11" s="430"/>
      <c r="C11" s="430"/>
      <c r="D11" s="430"/>
      <c r="E11" s="431"/>
      <c r="F11" s="430"/>
      <c r="G11" s="430"/>
      <c r="H11" s="430"/>
      <c r="I11" s="429"/>
      <c r="J11" s="432"/>
      <c r="K11" s="433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</row>
    <row r="12" spans="2:22" ht="20.25" customHeight="1" x14ac:dyDescent="0.25">
      <c r="B12" s="1277" t="s">
        <v>3</v>
      </c>
      <c r="C12" s="1277" t="s">
        <v>4</v>
      </c>
      <c r="D12" s="1277"/>
      <c r="E12" s="1277"/>
      <c r="F12" s="1277"/>
      <c r="G12" s="1273" t="s">
        <v>5</v>
      </c>
      <c r="H12" s="1274" t="s">
        <v>108</v>
      </c>
      <c r="I12" s="1274" t="s">
        <v>293</v>
      </c>
      <c r="J12" s="1238" t="s">
        <v>104</v>
      </c>
      <c r="K12" s="1240"/>
      <c r="L12" s="1238" t="s">
        <v>302</v>
      </c>
      <c r="M12" s="1240"/>
      <c r="N12" s="1238" t="s">
        <v>433</v>
      </c>
      <c r="O12" s="1279"/>
      <c r="P12" s="1279"/>
      <c r="Q12" s="1280"/>
      <c r="R12" s="1238" t="s">
        <v>294</v>
      </c>
      <c r="S12" s="1279"/>
      <c r="T12" s="1279"/>
      <c r="U12" s="1280"/>
      <c r="V12" s="1275" t="s">
        <v>287</v>
      </c>
    </row>
    <row r="13" spans="2:22" ht="22.5" customHeight="1" x14ac:dyDescent="0.25">
      <c r="B13" s="1277"/>
      <c r="C13" s="1277"/>
      <c r="D13" s="1277"/>
      <c r="E13" s="1277"/>
      <c r="F13" s="1277"/>
      <c r="G13" s="1273"/>
      <c r="H13" s="1274"/>
      <c r="I13" s="1274"/>
      <c r="J13" s="1276" t="s">
        <v>6</v>
      </c>
      <c r="K13" s="1275" t="s">
        <v>7</v>
      </c>
      <c r="L13" s="1276" t="s">
        <v>6</v>
      </c>
      <c r="M13" s="1275" t="s">
        <v>7</v>
      </c>
      <c r="N13" s="1238" t="s">
        <v>114</v>
      </c>
      <c r="O13" s="1240"/>
      <c r="P13" s="1241" t="s">
        <v>434</v>
      </c>
      <c r="Q13" s="1242"/>
      <c r="R13" s="1243" t="s">
        <v>435</v>
      </c>
      <c r="S13" s="1278"/>
      <c r="T13" s="1243" t="s">
        <v>295</v>
      </c>
      <c r="U13" s="1278"/>
      <c r="V13" s="1275"/>
    </row>
    <row r="14" spans="2:22" ht="20.25" customHeight="1" x14ac:dyDescent="0.25">
      <c r="B14" s="1277"/>
      <c r="C14" s="1277"/>
      <c r="D14" s="1277"/>
      <c r="E14" s="1277"/>
      <c r="F14" s="1277"/>
      <c r="G14" s="1273"/>
      <c r="H14" s="1274"/>
      <c r="I14" s="1274"/>
      <c r="J14" s="1276"/>
      <c r="K14" s="1275"/>
      <c r="L14" s="1276"/>
      <c r="M14" s="1275"/>
      <c r="N14" s="434" t="s">
        <v>6</v>
      </c>
      <c r="O14" s="435" t="s">
        <v>7</v>
      </c>
      <c r="P14" s="434" t="s">
        <v>6</v>
      </c>
      <c r="Q14" s="435" t="s">
        <v>7</v>
      </c>
      <c r="R14" s="434" t="s">
        <v>6</v>
      </c>
      <c r="S14" s="435" t="s">
        <v>7</v>
      </c>
      <c r="T14" s="434" t="s">
        <v>6</v>
      </c>
      <c r="U14" s="435" t="s">
        <v>7</v>
      </c>
      <c r="V14" s="1275"/>
    </row>
    <row r="15" spans="2:22" ht="20.25" customHeight="1" x14ac:dyDescent="0.25">
      <c r="B15" s="1277"/>
      <c r="C15" s="1277"/>
      <c r="D15" s="1277"/>
      <c r="E15" s="1277"/>
      <c r="F15" s="1277"/>
      <c r="G15" s="1273"/>
      <c r="H15" s="436" t="s">
        <v>9</v>
      </c>
      <c r="I15" s="436" t="s">
        <v>9</v>
      </c>
      <c r="J15" s="436" t="s">
        <v>8</v>
      </c>
      <c r="K15" s="436" t="s">
        <v>10</v>
      </c>
      <c r="L15" s="436" t="s">
        <v>8</v>
      </c>
      <c r="M15" s="436" t="s">
        <v>10</v>
      </c>
      <c r="N15" s="436" t="s">
        <v>8</v>
      </c>
      <c r="O15" s="436" t="s">
        <v>10</v>
      </c>
      <c r="P15" s="436" t="s">
        <v>8</v>
      </c>
      <c r="Q15" s="436" t="s">
        <v>10</v>
      </c>
      <c r="R15" s="436" t="s">
        <v>8</v>
      </c>
      <c r="S15" s="436" t="s">
        <v>10</v>
      </c>
      <c r="T15" s="436" t="s">
        <v>8</v>
      </c>
      <c r="U15" s="436" t="s">
        <v>10</v>
      </c>
      <c r="V15" s="1275"/>
    </row>
    <row r="16" spans="2:22" ht="21" customHeight="1" x14ac:dyDescent="0.25">
      <c r="B16" s="437" t="s">
        <v>86</v>
      </c>
      <c r="C16" s="479"/>
      <c r="D16" s="489" t="s">
        <v>99</v>
      </c>
      <c r="E16" s="490"/>
      <c r="F16" s="491"/>
      <c r="G16" s="529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</row>
    <row r="17" spans="2:25" ht="21" customHeight="1" x14ac:dyDescent="0.25">
      <c r="B17" s="552">
        <v>1</v>
      </c>
      <c r="C17" s="480">
        <v>3</v>
      </c>
      <c r="D17" s="492" t="s">
        <v>306</v>
      </c>
      <c r="E17" s="493"/>
      <c r="F17" s="494"/>
      <c r="G17" s="530"/>
      <c r="H17" s="553"/>
      <c r="I17" s="553"/>
      <c r="J17" s="553"/>
      <c r="K17" s="553"/>
      <c r="L17" s="553"/>
      <c r="M17" s="553"/>
      <c r="N17" s="657"/>
      <c r="O17" s="553"/>
      <c r="P17" s="553"/>
      <c r="Q17" s="553"/>
      <c r="R17" s="553"/>
      <c r="S17" s="553"/>
      <c r="T17" s="553"/>
      <c r="U17" s="553"/>
      <c r="V17" s="553"/>
    </row>
    <row r="18" spans="2:25" ht="21" customHeight="1" x14ac:dyDescent="0.25">
      <c r="B18" s="554">
        <f>+B17+0.01</f>
        <v>1.01</v>
      </c>
      <c r="C18" s="480">
        <f>+C17+1</f>
        <v>4</v>
      </c>
      <c r="D18" s="495" t="s">
        <v>42</v>
      </c>
      <c r="E18" s="496"/>
      <c r="F18" s="497"/>
      <c r="G18" s="530" t="s">
        <v>11</v>
      </c>
      <c r="H18" s="553">
        <v>372.21</v>
      </c>
      <c r="I18" s="553"/>
      <c r="J18" s="553">
        <v>153</v>
      </c>
      <c r="K18" s="553">
        <f>+ROUND($H18*J18,2)</f>
        <v>56948.13</v>
      </c>
      <c r="L18" s="553">
        <f>+[193]Metrado!F12</f>
        <v>141</v>
      </c>
      <c r="M18" s="553">
        <f>+ROUND($H18*L18,2)</f>
        <v>52481.61</v>
      </c>
      <c r="N18" s="553">
        <f>+IF($L18-$J18&gt;=0,$L18-$J18,0)</f>
        <v>0</v>
      </c>
      <c r="O18" s="553">
        <f>+ROUND($H18*N18,2)</f>
        <v>0</v>
      </c>
      <c r="P18" s="553"/>
      <c r="Q18" s="553">
        <f>+ROUND($H18*P18,2)</f>
        <v>0</v>
      </c>
      <c r="R18" s="553">
        <f>+IF($L18-$J18&lt;=0,-$L18+$J18,0)</f>
        <v>12</v>
      </c>
      <c r="S18" s="553">
        <f>+ROUND($H18*R18,2)</f>
        <v>4466.5200000000004</v>
      </c>
      <c r="T18" s="553">
        <f>+R18</f>
        <v>12</v>
      </c>
      <c r="U18" s="553">
        <f>+ROUND($H18*T18,2)</f>
        <v>4466.5200000000004</v>
      </c>
      <c r="V18" s="553" t="s">
        <v>889</v>
      </c>
      <c r="Y18" s="1147">
        <v>0</v>
      </c>
    </row>
    <row r="19" spans="2:25" ht="21" customHeight="1" x14ac:dyDescent="0.25">
      <c r="B19" s="554">
        <f t="shared" ref="B19" si="0">+B18+0.01</f>
        <v>1.02</v>
      </c>
      <c r="C19" s="480">
        <f t="shared" ref="C19:C80" si="1">+C18+1</f>
        <v>5</v>
      </c>
      <c r="D19" s="495" t="s">
        <v>307</v>
      </c>
      <c r="E19" s="496"/>
      <c r="F19" s="497"/>
      <c r="G19" s="532" t="s">
        <v>11</v>
      </c>
      <c r="H19" s="565">
        <v>402.99</v>
      </c>
      <c r="I19" s="565"/>
      <c r="J19" s="565">
        <v>79</v>
      </c>
      <c r="K19" s="565">
        <f t="shared" ref="K19:K69" si="2">+ROUND($H19*J19,2)</f>
        <v>31836.21</v>
      </c>
      <c r="L19" s="553">
        <f>+[193]Metrado!F13</f>
        <v>100</v>
      </c>
      <c r="M19" s="565">
        <f t="shared" ref="M19:S19" si="3">+ROUND($H19*L19,2)</f>
        <v>40299</v>
      </c>
      <c r="N19" s="565">
        <f>+IF($L19-$J19&gt;=0,$L19-$J19,0)</f>
        <v>21</v>
      </c>
      <c r="O19" s="565">
        <f t="shared" si="3"/>
        <v>8462.7900000000009</v>
      </c>
      <c r="P19" s="565"/>
      <c r="Q19" s="565">
        <f t="shared" si="3"/>
        <v>0</v>
      </c>
      <c r="R19" s="565">
        <f>+IF($L19-$J19&lt;=0,-$L19+$J19,0)</f>
        <v>0</v>
      </c>
      <c r="S19" s="565">
        <f t="shared" si="3"/>
        <v>0</v>
      </c>
      <c r="T19" s="565"/>
      <c r="U19" s="565">
        <f t="shared" ref="U19" si="4">+ROUND($H19*T19,2)</f>
        <v>0</v>
      </c>
      <c r="V19" s="565"/>
      <c r="Y19" s="1147">
        <v>0</v>
      </c>
    </row>
    <row r="20" spans="2:25" ht="21" customHeight="1" x14ac:dyDescent="0.25">
      <c r="B20" s="448"/>
      <c r="C20" s="480">
        <f t="shared" si="1"/>
        <v>6</v>
      </c>
      <c r="D20" s="542"/>
      <c r="E20" s="571"/>
      <c r="F20" s="544" t="str">
        <f>+"SUB-TOTAL   "&amp;B17&amp;":  "</f>
        <v xml:space="preserve">SUB-TOTAL   1:  </v>
      </c>
      <c r="G20" s="567"/>
      <c r="H20" s="449"/>
      <c r="I20" s="449"/>
      <c r="J20" s="449"/>
      <c r="K20" s="450">
        <f>+SUM(K18:K19)</f>
        <v>88784.34</v>
      </c>
      <c r="L20" s="540"/>
      <c r="M20" s="450">
        <f>+SUM(M18:M19)</f>
        <v>92780.61</v>
      </c>
      <c r="N20" s="450"/>
      <c r="O20" s="450">
        <f>+SUM(O18:O19)</f>
        <v>8462.7900000000009</v>
      </c>
      <c r="P20" s="450"/>
      <c r="Q20" s="450">
        <f>+SUM(Q18:Q19)</f>
        <v>0</v>
      </c>
      <c r="R20" s="451"/>
      <c r="S20" s="450">
        <f>+SUM(S18:S19)</f>
        <v>4466.5200000000004</v>
      </c>
      <c r="T20" s="451"/>
      <c r="U20" s="450">
        <f>+SUM(U18:U19)</f>
        <v>4466.5200000000004</v>
      </c>
      <c r="V20" s="451"/>
      <c r="W20" s="660">
        <f>+K20-M20+O20+Q20-S20</f>
        <v>0</v>
      </c>
      <c r="Y20" s="1147">
        <v>0</v>
      </c>
    </row>
    <row r="21" spans="2:25" ht="21" customHeight="1" x14ac:dyDescent="0.25">
      <c r="B21" s="452">
        <f>1+B17</f>
        <v>2</v>
      </c>
      <c r="C21" s="481">
        <f t="shared" si="1"/>
        <v>7</v>
      </c>
      <c r="D21" s="568" t="s">
        <v>296</v>
      </c>
      <c r="E21" s="569"/>
      <c r="F21" s="570"/>
      <c r="G21" s="549"/>
      <c r="H21" s="438"/>
      <c r="I21" s="438"/>
      <c r="J21" s="438"/>
      <c r="K21" s="454"/>
      <c r="L21" s="756"/>
      <c r="M21" s="454"/>
      <c r="N21" s="454"/>
      <c r="O21" s="454"/>
      <c r="P21" s="454"/>
      <c r="Q21" s="454"/>
      <c r="R21" s="438"/>
      <c r="S21" s="454"/>
      <c r="T21" s="438"/>
      <c r="U21" s="454"/>
      <c r="V21" s="438"/>
      <c r="Y21" s="1147">
        <v>0</v>
      </c>
    </row>
    <row r="22" spans="2:25" ht="21" customHeight="1" x14ac:dyDescent="0.25">
      <c r="B22" s="554">
        <f>+B21+0.01</f>
        <v>2.0099999999999998</v>
      </c>
      <c r="C22" s="480">
        <f t="shared" si="1"/>
        <v>8</v>
      </c>
      <c r="D22" s="495" t="s">
        <v>308</v>
      </c>
      <c r="E22" s="496"/>
      <c r="F22" s="497"/>
      <c r="G22" s="532" t="s">
        <v>11</v>
      </c>
      <c r="H22" s="565">
        <v>805.66</v>
      </c>
      <c r="I22" s="565"/>
      <c r="J22" s="565">
        <v>9</v>
      </c>
      <c r="K22" s="566">
        <f t="shared" si="2"/>
        <v>7250.94</v>
      </c>
      <c r="L22" s="553">
        <f>+[193]Metrado!F16</f>
        <v>0</v>
      </c>
      <c r="M22" s="566">
        <f t="shared" ref="M22:S22" si="5">+ROUND($H22*L22,2)</f>
        <v>0</v>
      </c>
      <c r="N22" s="566">
        <f>+IF($L22-$J22&gt;=0,$L22-$J22,0)</f>
        <v>0</v>
      </c>
      <c r="O22" s="566">
        <f t="shared" si="5"/>
        <v>0</v>
      </c>
      <c r="P22" s="566"/>
      <c r="Q22" s="566">
        <f t="shared" si="5"/>
        <v>0</v>
      </c>
      <c r="R22" s="565">
        <f>+IF($L22-$J22&lt;=0,-$L22+$J22,0)</f>
        <v>9</v>
      </c>
      <c r="S22" s="566">
        <f t="shared" si="5"/>
        <v>7250.94</v>
      </c>
      <c r="T22" s="565">
        <f>+R22</f>
        <v>9</v>
      </c>
      <c r="U22" s="566">
        <f t="shared" ref="U22" si="6">+ROUND($H22*T22,2)</f>
        <v>7250.94</v>
      </c>
      <c r="V22" s="565" t="s">
        <v>890</v>
      </c>
      <c r="Y22" s="1147">
        <v>0</v>
      </c>
    </row>
    <row r="23" spans="2:25" ht="21" customHeight="1" x14ac:dyDescent="0.25">
      <c r="B23" s="455"/>
      <c r="C23" s="480">
        <f t="shared" si="1"/>
        <v>9</v>
      </c>
      <c r="D23" s="542"/>
      <c r="E23" s="571"/>
      <c r="F23" s="544" t="str">
        <f>+"SUB-TOTAL   "&amp;B21&amp;":  "</f>
        <v xml:space="preserve">SUB-TOTAL   2:  </v>
      </c>
      <c r="G23" s="539"/>
      <c r="H23" s="449"/>
      <c r="I23" s="449"/>
      <c r="J23" s="449"/>
      <c r="K23" s="450">
        <f>+SUM(K22)</f>
        <v>7250.94</v>
      </c>
      <c r="L23" s="540"/>
      <c r="M23" s="450">
        <f>+SUM(M22)</f>
        <v>0</v>
      </c>
      <c r="N23" s="450"/>
      <c r="O23" s="450">
        <f>+SUM(O22)</f>
        <v>0</v>
      </c>
      <c r="P23" s="450"/>
      <c r="Q23" s="450">
        <f>+SUM(Q22)</f>
        <v>0</v>
      </c>
      <c r="R23" s="451"/>
      <c r="S23" s="450">
        <f>+SUM(S22)</f>
        <v>7250.94</v>
      </c>
      <c r="T23" s="451"/>
      <c r="U23" s="450">
        <f>+SUM(U22)</f>
        <v>7250.94</v>
      </c>
      <c r="V23" s="451"/>
      <c r="W23" s="660">
        <f>+K23-M23+O23+Q23-S23</f>
        <v>0</v>
      </c>
      <c r="Y23" s="1147">
        <v>0</v>
      </c>
    </row>
    <row r="24" spans="2:25" ht="21" customHeight="1" x14ac:dyDescent="0.25">
      <c r="B24" s="452" t="s">
        <v>303</v>
      </c>
      <c r="C24" s="481">
        <f t="shared" si="1"/>
        <v>10</v>
      </c>
      <c r="D24" s="568" t="s">
        <v>309</v>
      </c>
      <c r="E24" s="569"/>
      <c r="F24" s="570"/>
      <c r="G24" s="549"/>
      <c r="H24" s="438"/>
      <c r="I24" s="438"/>
      <c r="J24" s="438"/>
      <c r="K24" s="454"/>
      <c r="L24" s="756"/>
      <c r="M24" s="454"/>
      <c r="N24" s="454"/>
      <c r="O24" s="454"/>
      <c r="P24" s="454"/>
      <c r="Q24" s="454"/>
      <c r="R24" s="438"/>
      <c r="S24" s="454"/>
      <c r="T24" s="438"/>
      <c r="U24" s="454"/>
      <c r="V24" s="438"/>
      <c r="Y24" s="1147">
        <v>0</v>
      </c>
    </row>
    <row r="25" spans="2:25" s="547" customFormat="1" ht="21" customHeight="1" x14ac:dyDescent="0.25">
      <c r="B25" s="559" t="s">
        <v>304</v>
      </c>
      <c r="C25" s="573">
        <f t="shared" si="1"/>
        <v>11</v>
      </c>
      <c r="D25" s="501" t="s">
        <v>310</v>
      </c>
      <c r="E25" s="545"/>
      <c r="F25" s="546"/>
      <c r="G25" s="531" t="s">
        <v>11</v>
      </c>
      <c r="H25" s="560"/>
      <c r="I25" s="560">
        <v>830.68</v>
      </c>
      <c r="J25" s="560"/>
      <c r="K25" s="561">
        <f t="shared" si="2"/>
        <v>0</v>
      </c>
      <c r="L25" s="560">
        <f>+[193]Metrado!F19</f>
        <v>14</v>
      </c>
      <c r="M25" s="561">
        <f>+ROUND($I25*L25,2)</f>
        <v>11629.52</v>
      </c>
      <c r="N25" s="561"/>
      <c r="O25" s="561">
        <f>+ROUND($H25*N25,2)</f>
        <v>0</v>
      </c>
      <c r="P25" s="561">
        <f>+L25</f>
        <v>14</v>
      </c>
      <c r="Q25" s="561">
        <f>+ROUND($I25*P25,2)</f>
        <v>11629.52</v>
      </c>
      <c r="R25" s="560"/>
      <c r="S25" s="561">
        <f>+ROUND($H25*R25,2)</f>
        <v>0</v>
      </c>
      <c r="T25" s="560"/>
      <c r="U25" s="561">
        <f>+ROUND($H25*T25,2)</f>
        <v>0</v>
      </c>
      <c r="V25" s="560"/>
      <c r="Y25" s="1149">
        <v>0</v>
      </c>
    </row>
    <row r="26" spans="2:25" s="547" customFormat="1" ht="21" customHeight="1" x14ac:dyDescent="0.25">
      <c r="B26" s="559" t="s">
        <v>305</v>
      </c>
      <c r="C26" s="575">
        <f t="shared" si="1"/>
        <v>12</v>
      </c>
      <c r="D26" s="501" t="s">
        <v>311</v>
      </c>
      <c r="E26" s="545"/>
      <c r="F26" s="546"/>
      <c r="G26" s="564" t="s">
        <v>11</v>
      </c>
      <c r="H26" s="633"/>
      <c r="I26" s="633">
        <v>921.22133333333329</v>
      </c>
      <c r="J26" s="633"/>
      <c r="K26" s="634">
        <f t="shared" si="2"/>
        <v>0</v>
      </c>
      <c r="L26" s="560">
        <f>+[193]Metrado!F20</f>
        <v>16</v>
      </c>
      <c r="M26" s="634">
        <f>+ROUND($I26*L26,2)</f>
        <v>14739.54</v>
      </c>
      <c r="N26" s="634"/>
      <c r="O26" s="634">
        <f>+ROUND($H26*N26,2)</f>
        <v>0</v>
      </c>
      <c r="P26" s="634">
        <f>+L26</f>
        <v>16</v>
      </c>
      <c r="Q26" s="634">
        <f>+ROUND($I26*P26,2)</f>
        <v>14739.54</v>
      </c>
      <c r="R26" s="633"/>
      <c r="S26" s="634">
        <f>+ROUND($H26*R26,2)</f>
        <v>0</v>
      </c>
      <c r="T26" s="633"/>
      <c r="U26" s="634">
        <f>+ROUND($H26*T26,2)</f>
        <v>0</v>
      </c>
      <c r="V26" s="633"/>
      <c r="Y26" s="1149">
        <v>0</v>
      </c>
    </row>
    <row r="27" spans="2:25" ht="21" customHeight="1" x14ac:dyDescent="0.25">
      <c r="B27" s="456"/>
      <c r="C27" s="466">
        <f t="shared" si="1"/>
        <v>13</v>
      </c>
      <c r="D27" s="537"/>
      <c r="E27" s="538"/>
      <c r="F27" s="533" t="str">
        <f>+"SUB-TOTAL   "&amp;B24&amp;":  "</f>
        <v xml:space="preserve">SUB-TOTAL   2.00A:  </v>
      </c>
      <c r="G27" s="440"/>
      <c r="H27" s="438"/>
      <c r="I27" s="438"/>
      <c r="J27" s="438"/>
      <c r="K27" s="450">
        <f>+SUM(K25:K26)</f>
        <v>0</v>
      </c>
      <c r="L27" s="540"/>
      <c r="M27" s="450">
        <f>+SUM(M25:M26)</f>
        <v>26369.06</v>
      </c>
      <c r="N27" s="454"/>
      <c r="O27" s="450">
        <f>+SUM(O25:O26)</f>
        <v>0</v>
      </c>
      <c r="P27" s="454"/>
      <c r="Q27" s="450">
        <f>+SUM(Q25:Q26)</f>
        <v>26369.06</v>
      </c>
      <c r="R27" s="438"/>
      <c r="S27" s="450">
        <f>+SUM(S25:S26)</f>
        <v>0</v>
      </c>
      <c r="T27" s="438"/>
      <c r="U27" s="450">
        <f>+SUM(U25:U26)</f>
        <v>0</v>
      </c>
      <c r="V27" s="438"/>
      <c r="Y27" s="1147">
        <v>0</v>
      </c>
    </row>
    <row r="28" spans="2:25" ht="21" customHeight="1" x14ac:dyDescent="0.25">
      <c r="B28" s="452">
        <f>+B21+1</f>
        <v>3</v>
      </c>
      <c r="C28" s="481">
        <f t="shared" si="1"/>
        <v>14</v>
      </c>
      <c r="D28" s="453" t="s">
        <v>43</v>
      </c>
      <c r="E28" s="445"/>
      <c r="F28" s="446"/>
      <c r="G28" s="527"/>
      <c r="H28" s="438"/>
      <c r="I28" s="438"/>
      <c r="J28" s="438"/>
      <c r="K28" s="454"/>
      <c r="L28" s="756"/>
      <c r="M28" s="454"/>
      <c r="N28" s="454"/>
      <c r="O28" s="454"/>
      <c r="P28" s="454"/>
      <c r="Q28" s="454"/>
      <c r="R28" s="438"/>
      <c r="S28" s="454"/>
      <c r="T28" s="438"/>
      <c r="U28" s="454"/>
      <c r="V28" s="438"/>
      <c r="Y28" s="1147">
        <v>0</v>
      </c>
    </row>
    <row r="29" spans="2:25" ht="21" customHeight="1" x14ac:dyDescent="0.25">
      <c r="B29" s="562">
        <f>+B28+0.01</f>
        <v>3.01</v>
      </c>
      <c r="C29" s="576">
        <f t="shared" si="1"/>
        <v>15</v>
      </c>
      <c r="D29" s="502" t="s">
        <v>312</v>
      </c>
      <c r="E29" s="496"/>
      <c r="F29" s="497"/>
      <c r="G29" s="530" t="s">
        <v>12</v>
      </c>
      <c r="H29" s="553">
        <v>7749.03</v>
      </c>
      <c r="I29" s="553"/>
      <c r="J29" s="553">
        <v>1.46</v>
      </c>
      <c r="K29" s="558">
        <f t="shared" si="2"/>
        <v>11313.58</v>
      </c>
      <c r="L29" s="553">
        <f>+[193]Metrado!F23</f>
        <v>0.53</v>
      </c>
      <c r="M29" s="558">
        <f t="shared" ref="M29:S36" si="7">+ROUND($H29*L29,2)</f>
        <v>4106.99</v>
      </c>
      <c r="N29" s="558">
        <f>+IF($L29-$J29&gt;=0,$L29-$J29,0)</f>
        <v>0</v>
      </c>
      <c r="O29" s="558">
        <f t="shared" si="7"/>
        <v>0</v>
      </c>
      <c r="P29" s="558"/>
      <c r="Q29" s="558">
        <f t="shared" si="7"/>
        <v>0</v>
      </c>
      <c r="R29" s="553">
        <f>+IF($L29-$J29&lt;=0,-$L29+$J29,0)</f>
        <v>0.92999999999999994</v>
      </c>
      <c r="S29" s="558">
        <f t="shared" si="7"/>
        <v>7206.6</v>
      </c>
      <c r="T29" s="553">
        <f>+R29</f>
        <v>0.92999999999999994</v>
      </c>
      <c r="U29" s="558">
        <f t="shared" ref="U29:U36" si="8">+ROUND($H29*T29,2)</f>
        <v>7206.6</v>
      </c>
      <c r="V29" s="765" t="s">
        <v>891</v>
      </c>
      <c r="Y29" s="1147">
        <v>0</v>
      </c>
    </row>
    <row r="30" spans="2:25" ht="21" customHeight="1" x14ac:dyDescent="0.25">
      <c r="B30" s="562">
        <f t="shared" ref="B30:B36" si="9">+B29+0.01</f>
        <v>3.0199999999999996</v>
      </c>
      <c r="C30" s="576">
        <f t="shared" si="1"/>
        <v>16</v>
      </c>
      <c r="D30" s="502" t="s">
        <v>313</v>
      </c>
      <c r="E30" s="496"/>
      <c r="F30" s="497"/>
      <c r="G30" s="530" t="s">
        <v>12</v>
      </c>
      <c r="H30" s="553">
        <v>6431.99</v>
      </c>
      <c r="I30" s="553"/>
      <c r="J30" s="553">
        <v>0.05</v>
      </c>
      <c r="K30" s="558">
        <f t="shared" si="2"/>
        <v>321.60000000000002</v>
      </c>
      <c r="L30" s="553">
        <f>+[193]Metrado!F24</f>
        <v>0</v>
      </c>
      <c r="M30" s="558">
        <f t="shared" si="7"/>
        <v>0</v>
      </c>
      <c r="N30" s="558">
        <f t="shared" ref="N30:N33" si="10">+IF($L30-$J30&gt;=0,$L30-$J30,0)</f>
        <v>0</v>
      </c>
      <c r="O30" s="558">
        <f t="shared" si="7"/>
        <v>0</v>
      </c>
      <c r="P30" s="558"/>
      <c r="Q30" s="558">
        <f t="shared" si="7"/>
        <v>0</v>
      </c>
      <c r="R30" s="553">
        <f t="shared" ref="R30:R33" si="11">+IF($L30-$J30&lt;=0,-$L30+$J30,0)</f>
        <v>0.05</v>
      </c>
      <c r="S30" s="558">
        <f t="shared" si="7"/>
        <v>321.60000000000002</v>
      </c>
      <c r="T30" s="553">
        <f t="shared" ref="T30:T33" si="12">+R30</f>
        <v>0.05</v>
      </c>
      <c r="U30" s="558">
        <f t="shared" si="8"/>
        <v>321.60000000000002</v>
      </c>
      <c r="V30" s="765" t="s">
        <v>891</v>
      </c>
      <c r="Y30" s="1147">
        <v>0</v>
      </c>
    </row>
    <row r="31" spans="2:25" ht="21" customHeight="1" x14ac:dyDescent="0.25">
      <c r="B31" s="562">
        <f t="shared" si="9"/>
        <v>3.0299999999999994</v>
      </c>
      <c r="C31" s="576">
        <f t="shared" si="1"/>
        <v>17</v>
      </c>
      <c r="D31" s="502" t="s">
        <v>314</v>
      </c>
      <c r="E31" s="496"/>
      <c r="F31" s="497"/>
      <c r="G31" s="530" t="s">
        <v>12</v>
      </c>
      <c r="H31" s="553">
        <v>6248.95</v>
      </c>
      <c r="I31" s="553"/>
      <c r="J31" s="553">
        <v>7.08</v>
      </c>
      <c r="K31" s="558">
        <f t="shared" si="2"/>
        <v>44242.57</v>
      </c>
      <c r="L31" s="553">
        <f>+[193]Metrado!F25</f>
        <v>3.61</v>
      </c>
      <c r="M31" s="558">
        <f t="shared" si="7"/>
        <v>22558.71</v>
      </c>
      <c r="N31" s="558">
        <f t="shared" si="10"/>
        <v>0</v>
      </c>
      <c r="O31" s="558">
        <f t="shared" si="7"/>
        <v>0</v>
      </c>
      <c r="P31" s="558"/>
      <c r="Q31" s="558">
        <f t="shared" si="7"/>
        <v>0</v>
      </c>
      <c r="R31" s="553">
        <f t="shared" si="11"/>
        <v>3.47</v>
      </c>
      <c r="S31" s="558">
        <f t="shared" si="7"/>
        <v>21683.86</v>
      </c>
      <c r="T31" s="553">
        <f t="shared" si="12"/>
        <v>3.47</v>
      </c>
      <c r="U31" s="558">
        <f t="shared" si="8"/>
        <v>21683.86</v>
      </c>
      <c r="V31" s="765" t="s">
        <v>891</v>
      </c>
      <c r="Y31" s="1147">
        <v>0</v>
      </c>
    </row>
    <row r="32" spans="2:25" ht="21" customHeight="1" x14ac:dyDescent="0.25">
      <c r="B32" s="562">
        <f t="shared" si="9"/>
        <v>3.0399999999999991</v>
      </c>
      <c r="C32" s="576">
        <f t="shared" si="1"/>
        <v>18</v>
      </c>
      <c r="D32" s="502" t="s">
        <v>315</v>
      </c>
      <c r="E32" s="498"/>
      <c r="F32" s="499"/>
      <c r="G32" s="530" t="s">
        <v>12</v>
      </c>
      <c r="H32" s="553">
        <v>4940.38</v>
      </c>
      <c r="I32" s="553"/>
      <c r="J32" s="553">
        <v>0.18</v>
      </c>
      <c r="K32" s="558">
        <f t="shared" si="2"/>
        <v>889.27</v>
      </c>
      <c r="L32" s="553">
        <f>+[193]Metrado!F26</f>
        <v>0</v>
      </c>
      <c r="M32" s="558">
        <f t="shared" si="7"/>
        <v>0</v>
      </c>
      <c r="N32" s="558">
        <f t="shared" si="10"/>
        <v>0</v>
      </c>
      <c r="O32" s="558">
        <f t="shared" si="7"/>
        <v>0</v>
      </c>
      <c r="P32" s="556"/>
      <c r="Q32" s="558">
        <f t="shared" si="7"/>
        <v>0</v>
      </c>
      <c r="R32" s="553">
        <f t="shared" si="11"/>
        <v>0.18</v>
      </c>
      <c r="S32" s="558">
        <f t="shared" si="7"/>
        <v>889.27</v>
      </c>
      <c r="T32" s="553">
        <f t="shared" si="12"/>
        <v>0.18</v>
      </c>
      <c r="U32" s="558">
        <f t="shared" si="8"/>
        <v>889.27</v>
      </c>
      <c r="V32" s="765" t="s">
        <v>891</v>
      </c>
      <c r="Y32" s="1147">
        <v>0</v>
      </c>
    </row>
    <row r="33" spans="2:25" ht="21" customHeight="1" x14ac:dyDescent="0.25">
      <c r="B33" s="562">
        <f t="shared" si="9"/>
        <v>3.0499999999999989</v>
      </c>
      <c r="C33" s="576">
        <f t="shared" si="1"/>
        <v>19</v>
      </c>
      <c r="D33" s="502" t="s">
        <v>316</v>
      </c>
      <c r="E33" s="500"/>
      <c r="F33" s="494"/>
      <c r="G33" s="530" t="s">
        <v>12</v>
      </c>
      <c r="H33" s="553">
        <v>3440.29</v>
      </c>
      <c r="I33" s="553"/>
      <c r="J33" s="553">
        <v>4.0600000000000005</v>
      </c>
      <c r="K33" s="558">
        <f t="shared" si="2"/>
        <v>13967.58</v>
      </c>
      <c r="L33" s="553">
        <f>+[193]Metrado!F27</f>
        <v>0.06</v>
      </c>
      <c r="M33" s="558">
        <f t="shared" si="7"/>
        <v>206.42</v>
      </c>
      <c r="N33" s="558">
        <f t="shared" si="10"/>
        <v>0</v>
      </c>
      <c r="O33" s="558">
        <f t="shared" si="7"/>
        <v>0</v>
      </c>
      <c r="P33" s="558"/>
      <c r="Q33" s="558">
        <f t="shared" si="7"/>
        <v>0</v>
      </c>
      <c r="R33" s="553">
        <f t="shared" si="11"/>
        <v>4.0000000000000009</v>
      </c>
      <c r="S33" s="558">
        <f t="shared" si="7"/>
        <v>13761.16</v>
      </c>
      <c r="T33" s="553">
        <f t="shared" si="12"/>
        <v>4.0000000000000009</v>
      </c>
      <c r="U33" s="558">
        <f t="shared" si="8"/>
        <v>13761.16</v>
      </c>
      <c r="V33" s="765" t="s">
        <v>891</v>
      </c>
      <c r="Y33" s="1147">
        <v>0</v>
      </c>
    </row>
    <row r="34" spans="2:25" s="547" customFormat="1" ht="21" customHeight="1" x14ac:dyDescent="0.25">
      <c r="B34" s="559">
        <f t="shared" si="9"/>
        <v>3.0599999999999987</v>
      </c>
      <c r="C34" s="577" t="e">
        <f>+#REF!+1</f>
        <v>#REF!</v>
      </c>
      <c r="D34" s="501" t="s">
        <v>317</v>
      </c>
      <c r="E34" s="545"/>
      <c r="F34" s="546"/>
      <c r="G34" s="531" t="s">
        <v>12</v>
      </c>
      <c r="H34" s="560"/>
      <c r="I34" s="560">
        <v>8623.15</v>
      </c>
      <c r="J34" s="560"/>
      <c r="K34" s="561">
        <f t="shared" si="2"/>
        <v>0</v>
      </c>
      <c r="L34" s="560">
        <f>+[193]Metrado!F28</f>
        <v>0.44</v>
      </c>
      <c r="M34" s="561">
        <f t="shared" ref="M34:M36" si="13">+ROUND($I34*L34,2)</f>
        <v>3794.19</v>
      </c>
      <c r="N34" s="561"/>
      <c r="O34" s="561">
        <f t="shared" si="7"/>
        <v>0</v>
      </c>
      <c r="P34" s="561">
        <f t="shared" ref="P34:P36" si="14">+L34</f>
        <v>0.44</v>
      </c>
      <c r="Q34" s="561">
        <f t="shared" ref="Q34" si="15">+ROUND($I34*P34,2)</f>
        <v>3794.19</v>
      </c>
      <c r="R34" s="560"/>
      <c r="S34" s="561">
        <f t="shared" si="7"/>
        <v>0</v>
      </c>
      <c r="T34" s="560"/>
      <c r="U34" s="561">
        <f t="shared" si="8"/>
        <v>0</v>
      </c>
      <c r="V34" s="560"/>
      <c r="Y34" s="1149">
        <v>0</v>
      </c>
    </row>
    <row r="35" spans="2:25" s="547" customFormat="1" ht="21" customHeight="1" x14ac:dyDescent="0.25">
      <c r="B35" s="559">
        <f t="shared" si="9"/>
        <v>3.0699999999999985</v>
      </c>
      <c r="C35" s="577" t="e">
        <f>+#REF!+1</f>
        <v>#REF!</v>
      </c>
      <c r="D35" s="501" t="s">
        <v>318</v>
      </c>
      <c r="E35" s="545"/>
      <c r="F35" s="546"/>
      <c r="G35" s="531" t="s">
        <v>12</v>
      </c>
      <c r="H35" s="560"/>
      <c r="I35" s="560">
        <v>7908.7</v>
      </c>
      <c r="J35" s="560"/>
      <c r="K35" s="561">
        <f t="shared" si="2"/>
        <v>0</v>
      </c>
      <c r="L35" s="560">
        <f>+[193]Metrado!F29</f>
        <v>4.3100000000000005</v>
      </c>
      <c r="M35" s="561">
        <f t="shared" si="13"/>
        <v>34086.5</v>
      </c>
      <c r="N35" s="561"/>
      <c r="O35" s="561">
        <f t="shared" si="7"/>
        <v>0</v>
      </c>
      <c r="P35" s="561">
        <f t="shared" si="14"/>
        <v>4.3100000000000005</v>
      </c>
      <c r="Q35" s="561">
        <f t="shared" ref="Q35" si="16">+ROUND($I35*P35,2)</f>
        <v>34086.5</v>
      </c>
      <c r="R35" s="560"/>
      <c r="S35" s="561">
        <f t="shared" si="7"/>
        <v>0</v>
      </c>
      <c r="T35" s="560"/>
      <c r="U35" s="561">
        <f t="shared" si="8"/>
        <v>0</v>
      </c>
      <c r="V35" s="560"/>
      <c r="Y35" s="1149">
        <v>0</v>
      </c>
    </row>
    <row r="36" spans="2:25" s="547" customFormat="1" ht="21" customHeight="1" x14ac:dyDescent="0.25">
      <c r="B36" s="559">
        <f t="shared" si="9"/>
        <v>3.0799999999999983</v>
      </c>
      <c r="C36" s="575" t="e">
        <f t="shared" si="1"/>
        <v>#REF!</v>
      </c>
      <c r="D36" s="501" t="s">
        <v>319</v>
      </c>
      <c r="E36" s="635"/>
      <c r="F36" s="636"/>
      <c r="G36" s="564" t="s">
        <v>12</v>
      </c>
      <c r="H36" s="633"/>
      <c r="I36" s="633">
        <v>6504.86</v>
      </c>
      <c r="J36" s="633"/>
      <c r="K36" s="561">
        <f t="shared" si="2"/>
        <v>0</v>
      </c>
      <c r="L36" s="560">
        <f>+[193]Metrado!F30</f>
        <v>5.25</v>
      </c>
      <c r="M36" s="561">
        <f t="shared" si="13"/>
        <v>34150.519999999997</v>
      </c>
      <c r="N36" s="634"/>
      <c r="O36" s="561">
        <f t="shared" si="7"/>
        <v>0</v>
      </c>
      <c r="P36" s="634">
        <f t="shared" si="14"/>
        <v>5.25</v>
      </c>
      <c r="Q36" s="561">
        <f t="shared" ref="Q36" si="17">+ROUND($I36*P36,2)</f>
        <v>34150.519999999997</v>
      </c>
      <c r="R36" s="637"/>
      <c r="S36" s="561">
        <f t="shared" si="7"/>
        <v>0</v>
      </c>
      <c r="T36" s="637"/>
      <c r="U36" s="561">
        <f t="shared" si="8"/>
        <v>0</v>
      </c>
      <c r="V36" s="637"/>
      <c r="Y36" s="1149">
        <v>0</v>
      </c>
    </row>
    <row r="37" spans="2:25" ht="21" customHeight="1" x14ac:dyDescent="0.25">
      <c r="B37" s="456"/>
      <c r="C37" s="483" t="e">
        <f t="shared" si="1"/>
        <v>#REF!</v>
      </c>
      <c r="D37" s="537"/>
      <c r="E37" s="580"/>
      <c r="F37" s="533" t="str">
        <f>+"SUB-TOTAL   "&amp;B28&amp;":  "</f>
        <v xml:space="preserve">SUB-TOTAL   3:  </v>
      </c>
      <c r="G37" s="440"/>
      <c r="H37" s="438"/>
      <c r="I37" s="438"/>
      <c r="J37" s="438"/>
      <c r="K37" s="450">
        <f>+SUM(K29:K36)</f>
        <v>70734.599999999991</v>
      </c>
      <c r="L37" s="540"/>
      <c r="M37" s="450">
        <f>+SUM(M29:M36)</f>
        <v>98903.329999999987</v>
      </c>
      <c r="N37" s="438"/>
      <c r="O37" s="450">
        <f>+SUM(O29:O36)</f>
        <v>0</v>
      </c>
      <c r="P37" s="438"/>
      <c r="Q37" s="450">
        <f>+SUM(Q29:Q36)</f>
        <v>72031.209999999992</v>
      </c>
      <c r="R37" s="438"/>
      <c r="S37" s="450">
        <f>+SUM(S29:S36)</f>
        <v>43862.490000000005</v>
      </c>
      <c r="T37" s="438"/>
      <c r="U37" s="450">
        <f>+SUM(U29:U36)</f>
        <v>43862.490000000005</v>
      </c>
      <c r="V37" s="438"/>
      <c r="W37" s="660">
        <f>+K37-M37+O37+Q37-S37</f>
        <v>-1.0000000009313226E-2</v>
      </c>
      <c r="Y37" s="1147">
        <v>0</v>
      </c>
    </row>
    <row r="38" spans="2:25" ht="21" customHeight="1" x14ac:dyDescent="0.25">
      <c r="B38" s="452">
        <f>+B28+1</f>
        <v>4</v>
      </c>
      <c r="C38" s="481" t="e">
        <f t="shared" si="1"/>
        <v>#REF!</v>
      </c>
      <c r="D38" s="453" t="s">
        <v>44</v>
      </c>
      <c r="E38" s="445"/>
      <c r="F38" s="446"/>
      <c r="G38" s="527"/>
      <c r="H38" s="438"/>
      <c r="I38" s="438"/>
      <c r="J38" s="438"/>
      <c r="K38" s="438"/>
      <c r="L38" s="756"/>
      <c r="M38" s="438"/>
      <c r="N38" s="438"/>
      <c r="O38" s="438"/>
      <c r="P38" s="438"/>
      <c r="Q38" s="438"/>
      <c r="R38" s="438"/>
      <c r="S38" s="438"/>
      <c r="T38" s="438"/>
      <c r="U38" s="438"/>
      <c r="V38" s="438"/>
      <c r="Y38" s="1147">
        <v>0</v>
      </c>
    </row>
    <row r="39" spans="2:25" ht="21" customHeight="1" x14ac:dyDescent="0.25">
      <c r="B39" s="562">
        <f t="shared" ref="B39:B50" si="18">+B38+0.01</f>
        <v>4.01</v>
      </c>
      <c r="C39" s="576" t="e">
        <f t="shared" si="1"/>
        <v>#REF!</v>
      </c>
      <c r="D39" s="502" t="s">
        <v>320</v>
      </c>
      <c r="E39" s="496"/>
      <c r="F39" s="497"/>
      <c r="G39" s="530" t="s">
        <v>11</v>
      </c>
      <c r="H39" s="553">
        <v>12</v>
      </c>
      <c r="I39" s="553"/>
      <c r="J39" s="553">
        <v>163</v>
      </c>
      <c r="K39" s="553">
        <f t="shared" si="2"/>
        <v>1956</v>
      </c>
      <c r="L39" s="553">
        <f>+[193]Metrado!F33</f>
        <v>182</v>
      </c>
      <c r="M39" s="553">
        <f t="shared" ref="M39:S50" si="19">+ROUND($H39*L39,2)</f>
        <v>2184</v>
      </c>
      <c r="N39" s="553">
        <f>+IF($L39-$J39&gt;=0,$L39-$J39,0)</f>
        <v>19</v>
      </c>
      <c r="O39" s="553">
        <f t="shared" si="19"/>
        <v>228</v>
      </c>
      <c r="P39" s="553"/>
      <c r="Q39" s="553">
        <f t="shared" si="19"/>
        <v>0</v>
      </c>
      <c r="R39" s="553">
        <f>+IF($L39-$J39&lt;=0,-$L39+$J39,0)</f>
        <v>0</v>
      </c>
      <c r="S39" s="553">
        <f t="shared" si="19"/>
        <v>0</v>
      </c>
      <c r="T39" s="553"/>
      <c r="U39" s="553">
        <f t="shared" ref="U39:U50" si="20">+ROUND($H39*T39,2)</f>
        <v>0</v>
      </c>
      <c r="V39" s="553"/>
      <c r="Y39" s="1147">
        <v>0</v>
      </c>
    </row>
    <row r="40" spans="2:25" ht="21" customHeight="1" x14ac:dyDescent="0.25">
      <c r="B40" s="562">
        <f t="shared" si="18"/>
        <v>4.0199999999999996</v>
      </c>
      <c r="C40" s="576" t="e">
        <f t="shared" si="1"/>
        <v>#REF!</v>
      </c>
      <c r="D40" s="502" t="s">
        <v>321</v>
      </c>
      <c r="E40" s="496"/>
      <c r="F40" s="497"/>
      <c r="G40" s="530" t="s">
        <v>11</v>
      </c>
      <c r="H40" s="553">
        <v>16.87</v>
      </c>
      <c r="I40" s="553"/>
      <c r="J40" s="553">
        <v>218</v>
      </c>
      <c r="K40" s="553">
        <f t="shared" si="2"/>
        <v>3677.66</v>
      </c>
      <c r="L40" s="553">
        <f>+[193]Metrado!F34</f>
        <v>287</v>
      </c>
      <c r="M40" s="553">
        <f t="shared" si="19"/>
        <v>4841.6899999999996</v>
      </c>
      <c r="N40" s="553">
        <f t="shared" ref="N40:N47" si="21">+IF($L40-$J40&gt;=0,$L40-$J40,0)</f>
        <v>69</v>
      </c>
      <c r="O40" s="553">
        <f t="shared" si="19"/>
        <v>1164.03</v>
      </c>
      <c r="P40" s="553"/>
      <c r="Q40" s="553">
        <f t="shared" si="19"/>
        <v>0</v>
      </c>
      <c r="R40" s="553">
        <f t="shared" ref="R40:R47" si="22">+IF($L40-$J40&lt;=0,-$L40+$J40,0)</f>
        <v>0</v>
      </c>
      <c r="S40" s="553">
        <f t="shared" si="19"/>
        <v>0</v>
      </c>
      <c r="T40" s="553"/>
      <c r="U40" s="553">
        <f t="shared" si="20"/>
        <v>0</v>
      </c>
      <c r="V40" s="553"/>
      <c r="Y40" s="1147">
        <v>0</v>
      </c>
    </row>
    <row r="41" spans="2:25" ht="21" customHeight="1" x14ac:dyDescent="0.25">
      <c r="B41" s="562">
        <f t="shared" si="18"/>
        <v>4.0299999999999994</v>
      </c>
      <c r="C41" s="576" t="e">
        <f t="shared" si="1"/>
        <v>#REF!</v>
      </c>
      <c r="D41" s="502" t="s">
        <v>322</v>
      </c>
      <c r="E41" s="496"/>
      <c r="F41" s="497"/>
      <c r="G41" s="530" t="s">
        <v>11</v>
      </c>
      <c r="H41" s="553">
        <v>5.21</v>
      </c>
      <c r="I41" s="553"/>
      <c r="J41" s="553">
        <v>2</v>
      </c>
      <c r="K41" s="553">
        <f t="shared" si="2"/>
        <v>10.42</v>
      </c>
      <c r="L41" s="553">
        <f>+[193]Metrado!F35</f>
        <v>0</v>
      </c>
      <c r="M41" s="553">
        <f t="shared" si="19"/>
        <v>0</v>
      </c>
      <c r="N41" s="553">
        <f t="shared" si="21"/>
        <v>0</v>
      </c>
      <c r="O41" s="553">
        <f t="shared" si="19"/>
        <v>0</v>
      </c>
      <c r="P41" s="553"/>
      <c r="Q41" s="553">
        <f t="shared" si="19"/>
        <v>0</v>
      </c>
      <c r="R41" s="553">
        <f t="shared" si="22"/>
        <v>2</v>
      </c>
      <c r="S41" s="553">
        <f t="shared" si="19"/>
        <v>10.42</v>
      </c>
      <c r="T41" s="553">
        <f>+R41</f>
        <v>2</v>
      </c>
      <c r="U41" s="553">
        <f t="shared" si="20"/>
        <v>10.42</v>
      </c>
      <c r="V41" s="553" t="s">
        <v>892</v>
      </c>
      <c r="Y41" s="1147">
        <v>0</v>
      </c>
    </row>
    <row r="42" spans="2:25" ht="21" customHeight="1" x14ac:dyDescent="0.25">
      <c r="B42" s="562">
        <f t="shared" si="18"/>
        <v>4.0399999999999991</v>
      </c>
      <c r="C42" s="576" t="e">
        <f t="shared" si="1"/>
        <v>#REF!</v>
      </c>
      <c r="D42" s="502" t="s">
        <v>45</v>
      </c>
      <c r="E42" s="496"/>
      <c r="F42" s="497"/>
      <c r="G42" s="530" t="s">
        <v>11</v>
      </c>
      <c r="H42" s="553">
        <v>7.04</v>
      </c>
      <c r="I42" s="553"/>
      <c r="J42" s="553">
        <v>4</v>
      </c>
      <c r="K42" s="553">
        <f t="shared" si="2"/>
        <v>28.16</v>
      </c>
      <c r="L42" s="553">
        <f>+[193]Metrado!F36</f>
        <v>27</v>
      </c>
      <c r="M42" s="553">
        <f t="shared" si="19"/>
        <v>190.08</v>
      </c>
      <c r="N42" s="553">
        <f t="shared" si="21"/>
        <v>23</v>
      </c>
      <c r="O42" s="553">
        <f t="shared" si="19"/>
        <v>161.91999999999999</v>
      </c>
      <c r="P42" s="553"/>
      <c r="Q42" s="553">
        <f t="shared" si="19"/>
        <v>0</v>
      </c>
      <c r="R42" s="553">
        <f t="shared" si="22"/>
        <v>0</v>
      </c>
      <c r="S42" s="553">
        <f t="shared" si="19"/>
        <v>0</v>
      </c>
      <c r="T42" s="553"/>
      <c r="U42" s="553">
        <f t="shared" si="20"/>
        <v>0</v>
      </c>
      <c r="V42" s="553"/>
      <c r="Y42" s="1147">
        <v>0</v>
      </c>
    </row>
    <row r="43" spans="2:25" ht="21" customHeight="1" x14ac:dyDescent="0.25">
      <c r="B43" s="562">
        <f t="shared" si="18"/>
        <v>4.0499999999999989</v>
      </c>
      <c r="C43" s="576" t="e">
        <f t="shared" si="1"/>
        <v>#REF!</v>
      </c>
      <c r="D43" s="502" t="s">
        <v>323</v>
      </c>
      <c r="E43" s="496"/>
      <c r="F43" s="497"/>
      <c r="G43" s="530" t="s">
        <v>11</v>
      </c>
      <c r="H43" s="553">
        <v>9.06</v>
      </c>
      <c r="I43" s="553"/>
      <c r="J43" s="553">
        <v>26</v>
      </c>
      <c r="K43" s="553">
        <f t="shared" si="2"/>
        <v>235.56</v>
      </c>
      <c r="L43" s="553">
        <f>+[193]Metrado!F37</f>
        <v>12</v>
      </c>
      <c r="M43" s="553">
        <f t="shared" si="19"/>
        <v>108.72</v>
      </c>
      <c r="N43" s="553">
        <f t="shared" si="21"/>
        <v>0</v>
      </c>
      <c r="O43" s="553">
        <f t="shared" si="19"/>
        <v>0</v>
      </c>
      <c r="P43" s="553"/>
      <c r="Q43" s="553">
        <f t="shared" si="19"/>
        <v>0</v>
      </c>
      <c r="R43" s="553">
        <f t="shared" si="22"/>
        <v>14</v>
      </c>
      <c r="S43" s="553">
        <f t="shared" si="19"/>
        <v>126.84</v>
      </c>
      <c r="T43" s="553">
        <f>+R43</f>
        <v>14</v>
      </c>
      <c r="U43" s="553">
        <f t="shared" si="20"/>
        <v>126.84</v>
      </c>
      <c r="V43" s="553" t="s">
        <v>892</v>
      </c>
      <c r="Y43" s="1147">
        <v>0</v>
      </c>
    </row>
    <row r="44" spans="2:25" ht="21" customHeight="1" x14ac:dyDescent="0.25">
      <c r="B44" s="562">
        <f t="shared" si="18"/>
        <v>4.0599999999999987</v>
      </c>
      <c r="C44" s="576" t="e">
        <f t="shared" si="1"/>
        <v>#REF!</v>
      </c>
      <c r="D44" s="502" t="s">
        <v>324</v>
      </c>
      <c r="E44" s="498"/>
      <c r="F44" s="499"/>
      <c r="G44" s="530" t="s">
        <v>11</v>
      </c>
      <c r="H44" s="553">
        <v>10.95</v>
      </c>
      <c r="I44" s="553"/>
      <c r="J44" s="553">
        <v>52</v>
      </c>
      <c r="K44" s="553">
        <f t="shared" si="2"/>
        <v>569.4</v>
      </c>
      <c r="L44" s="553">
        <f>+[193]Metrado!F38</f>
        <v>232</v>
      </c>
      <c r="M44" s="553">
        <f t="shared" si="19"/>
        <v>2540.4</v>
      </c>
      <c r="N44" s="553">
        <f t="shared" si="21"/>
        <v>180</v>
      </c>
      <c r="O44" s="553">
        <f t="shared" si="19"/>
        <v>1971</v>
      </c>
      <c r="P44" s="557"/>
      <c r="Q44" s="553">
        <f t="shared" si="19"/>
        <v>0</v>
      </c>
      <c r="R44" s="553">
        <f t="shared" si="22"/>
        <v>0</v>
      </c>
      <c r="S44" s="553">
        <f t="shared" si="19"/>
        <v>0</v>
      </c>
      <c r="T44" s="557"/>
      <c r="U44" s="553">
        <f t="shared" si="20"/>
        <v>0</v>
      </c>
      <c r="V44" s="557"/>
      <c r="Y44" s="1147">
        <v>0</v>
      </c>
    </row>
    <row r="45" spans="2:25" ht="21" customHeight="1" x14ac:dyDescent="0.25">
      <c r="B45" s="562">
        <f t="shared" si="18"/>
        <v>4.0699999999999985</v>
      </c>
      <c r="C45" s="576" t="e">
        <f t="shared" si="1"/>
        <v>#REF!</v>
      </c>
      <c r="D45" s="502" t="s">
        <v>325</v>
      </c>
      <c r="E45" s="500"/>
      <c r="F45" s="494"/>
      <c r="G45" s="530" t="s">
        <v>11</v>
      </c>
      <c r="H45" s="553">
        <v>0.4</v>
      </c>
      <c r="I45" s="553"/>
      <c r="J45" s="553">
        <v>1838</v>
      </c>
      <c r="K45" s="553">
        <f t="shared" si="2"/>
        <v>735.2</v>
      </c>
      <c r="L45" s="553">
        <f>+[193]Metrado!F39</f>
        <v>2278</v>
      </c>
      <c r="M45" s="553">
        <f t="shared" si="19"/>
        <v>911.2</v>
      </c>
      <c r="N45" s="553">
        <f t="shared" si="21"/>
        <v>440</v>
      </c>
      <c r="O45" s="553">
        <f t="shared" si="19"/>
        <v>176</v>
      </c>
      <c r="P45" s="553"/>
      <c r="Q45" s="553">
        <f t="shared" si="19"/>
        <v>0</v>
      </c>
      <c r="R45" s="553">
        <f t="shared" si="22"/>
        <v>0</v>
      </c>
      <c r="S45" s="553">
        <f t="shared" si="19"/>
        <v>0</v>
      </c>
      <c r="T45" s="553"/>
      <c r="U45" s="553">
        <f t="shared" si="20"/>
        <v>0</v>
      </c>
      <c r="V45" s="553"/>
      <c r="Y45" s="1147">
        <v>0</v>
      </c>
    </row>
    <row r="46" spans="2:25" ht="21" customHeight="1" x14ac:dyDescent="0.25">
      <c r="B46" s="562">
        <f t="shared" si="18"/>
        <v>4.0799999999999983</v>
      </c>
      <c r="C46" s="576" t="e">
        <f t="shared" si="1"/>
        <v>#REF!</v>
      </c>
      <c r="D46" s="502" t="s">
        <v>326</v>
      </c>
      <c r="E46" s="496"/>
      <c r="F46" s="497"/>
      <c r="G46" s="530" t="s">
        <v>13</v>
      </c>
      <c r="H46" s="553">
        <v>4.46</v>
      </c>
      <c r="I46" s="553"/>
      <c r="J46" s="553">
        <v>51.3</v>
      </c>
      <c r="K46" s="553">
        <f t="shared" si="2"/>
        <v>228.8</v>
      </c>
      <c r="L46" s="553">
        <f>+[193]Metrado!F40</f>
        <v>61</v>
      </c>
      <c r="M46" s="553">
        <f t="shared" si="19"/>
        <v>272.06</v>
      </c>
      <c r="N46" s="553">
        <f t="shared" si="21"/>
        <v>9.7000000000000028</v>
      </c>
      <c r="O46" s="553">
        <f t="shared" si="19"/>
        <v>43.26</v>
      </c>
      <c r="P46" s="553"/>
      <c r="Q46" s="553">
        <f t="shared" si="19"/>
        <v>0</v>
      </c>
      <c r="R46" s="553">
        <f t="shared" si="22"/>
        <v>0</v>
      </c>
      <c r="S46" s="553">
        <f t="shared" si="19"/>
        <v>0</v>
      </c>
      <c r="T46" s="553"/>
      <c r="U46" s="553">
        <f t="shared" si="20"/>
        <v>0</v>
      </c>
      <c r="V46" s="553"/>
      <c r="Y46" s="1147">
        <v>0</v>
      </c>
    </row>
    <row r="47" spans="2:25" ht="21" customHeight="1" x14ac:dyDescent="0.25">
      <c r="B47" s="562">
        <f t="shared" si="18"/>
        <v>4.0899999999999981</v>
      </c>
      <c r="C47" s="576" t="e">
        <f t="shared" si="1"/>
        <v>#REF!</v>
      </c>
      <c r="D47" s="502" t="s">
        <v>46</v>
      </c>
      <c r="E47" s="496"/>
      <c r="F47" s="497"/>
      <c r="G47" s="530" t="s">
        <v>13</v>
      </c>
      <c r="H47" s="553">
        <v>1.53</v>
      </c>
      <c r="I47" s="553"/>
      <c r="J47" s="553">
        <v>19</v>
      </c>
      <c r="K47" s="553">
        <f t="shared" si="2"/>
        <v>29.07</v>
      </c>
      <c r="L47" s="553">
        <f>+[193]Metrado!F41</f>
        <v>183</v>
      </c>
      <c r="M47" s="553">
        <f t="shared" si="19"/>
        <v>279.99</v>
      </c>
      <c r="N47" s="553">
        <f t="shared" si="21"/>
        <v>164</v>
      </c>
      <c r="O47" s="553">
        <f t="shared" si="19"/>
        <v>250.92</v>
      </c>
      <c r="P47" s="553"/>
      <c r="Q47" s="553">
        <f t="shared" si="19"/>
        <v>0</v>
      </c>
      <c r="R47" s="553">
        <f t="shared" si="22"/>
        <v>0</v>
      </c>
      <c r="S47" s="553">
        <f t="shared" si="19"/>
        <v>0</v>
      </c>
      <c r="T47" s="553"/>
      <c r="U47" s="553">
        <f t="shared" si="20"/>
        <v>0</v>
      </c>
      <c r="V47" s="553"/>
      <c r="Y47" s="1147">
        <v>0</v>
      </c>
    </row>
    <row r="48" spans="2:25" s="547" customFormat="1" ht="21" customHeight="1" x14ac:dyDescent="0.25">
      <c r="B48" s="559">
        <f t="shared" si="18"/>
        <v>4.0999999999999979</v>
      </c>
      <c r="C48" s="577" t="e">
        <f t="shared" si="1"/>
        <v>#REF!</v>
      </c>
      <c r="D48" s="501" t="s">
        <v>327</v>
      </c>
      <c r="E48" s="545"/>
      <c r="F48" s="546"/>
      <c r="G48" s="531" t="s">
        <v>11</v>
      </c>
      <c r="H48" s="560"/>
      <c r="I48" s="560">
        <v>25.34</v>
      </c>
      <c r="J48" s="560"/>
      <c r="K48" s="560">
        <f t="shared" si="2"/>
        <v>0</v>
      </c>
      <c r="L48" s="560">
        <f>+[193]Metrado!F42</f>
        <v>9</v>
      </c>
      <c r="M48" s="560">
        <f>+ROUND($I48*L48,2)</f>
        <v>228.06</v>
      </c>
      <c r="N48" s="560"/>
      <c r="O48" s="560">
        <f t="shared" si="19"/>
        <v>0</v>
      </c>
      <c r="P48" s="560">
        <f>+L48</f>
        <v>9</v>
      </c>
      <c r="Q48" s="560">
        <f>+ROUND($I48*P48,2)</f>
        <v>228.06</v>
      </c>
      <c r="R48" s="560"/>
      <c r="S48" s="560">
        <f t="shared" si="19"/>
        <v>0</v>
      </c>
      <c r="T48" s="560"/>
      <c r="U48" s="560">
        <f t="shared" si="20"/>
        <v>0</v>
      </c>
      <c r="V48" s="560"/>
      <c r="Y48" s="1149">
        <v>0</v>
      </c>
    </row>
    <row r="49" spans="2:25" s="547" customFormat="1" ht="21" customHeight="1" x14ac:dyDescent="0.25">
      <c r="B49" s="559">
        <f t="shared" si="18"/>
        <v>4.1099999999999977</v>
      </c>
      <c r="C49" s="577" t="e">
        <f t="shared" si="1"/>
        <v>#REF!</v>
      </c>
      <c r="D49" s="501" t="s">
        <v>328</v>
      </c>
      <c r="E49" s="545"/>
      <c r="F49" s="546"/>
      <c r="G49" s="531" t="s">
        <v>13</v>
      </c>
      <c r="H49" s="560"/>
      <c r="I49" s="560">
        <v>1</v>
      </c>
      <c r="J49" s="560"/>
      <c r="K49" s="560">
        <f t="shared" si="2"/>
        <v>0</v>
      </c>
      <c r="L49" s="560">
        <f>+[193]Metrado!F43</f>
        <v>9</v>
      </c>
      <c r="M49" s="560">
        <f t="shared" ref="M49:M50" si="23">+ROUND($I49*L49,2)</f>
        <v>9</v>
      </c>
      <c r="N49" s="560"/>
      <c r="O49" s="560">
        <f t="shared" si="19"/>
        <v>0</v>
      </c>
      <c r="P49" s="560">
        <f t="shared" ref="P49:P50" si="24">+L49</f>
        <v>9</v>
      </c>
      <c r="Q49" s="560">
        <f t="shared" ref="Q49" si="25">+ROUND($I49*P49,2)</f>
        <v>9</v>
      </c>
      <c r="R49" s="560"/>
      <c r="S49" s="560">
        <f t="shared" si="19"/>
        <v>0</v>
      </c>
      <c r="T49" s="560"/>
      <c r="U49" s="560">
        <f t="shared" si="20"/>
        <v>0</v>
      </c>
      <c r="V49" s="560"/>
      <c r="Y49" s="1149">
        <v>0</v>
      </c>
    </row>
    <row r="50" spans="2:25" s="547" customFormat="1" ht="21" customHeight="1" x14ac:dyDescent="0.25">
      <c r="B50" s="559">
        <f t="shared" si="18"/>
        <v>4.1199999999999974</v>
      </c>
      <c r="C50" s="575" t="e">
        <f t="shared" si="1"/>
        <v>#REF!</v>
      </c>
      <c r="D50" s="501" t="s">
        <v>329</v>
      </c>
      <c r="E50" s="545"/>
      <c r="F50" s="546"/>
      <c r="G50" s="564" t="s">
        <v>11</v>
      </c>
      <c r="H50" s="633"/>
      <c r="I50" s="633">
        <v>17.760000000000002</v>
      </c>
      <c r="J50" s="633"/>
      <c r="K50" s="560">
        <f t="shared" si="2"/>
        <v>0</v>
      </c>
      <c r="L50" s="560">
        <f>+[193]Metrado!F44</f>
        <v>9</v>
      </c>
      <c r="M50" s="560">
        <f t="shared" si="23"/>
        <v>159.84</v>
      </c>
      <c r="N50" s="633"/>
      <c r="O50" s="560">
        <f t="shared" si="19"/>
        <v>0</v>
      </c>
      <c r="P50" s="633">
        <f t="shared" si="24"/>
        <v>9</v>
      </c>
      <c r="Q50" s="560">
        <f t="shared" ref="Q50" si="26">+ROUND($I50*P50,2)</f>
        <v>159.84</v>
      </c>
      <c r="R50" s="633"/>
      <c r="S50" s="560">
        <f t="shared" si="19"/>
        <v>0</v>
      </c>
      <c r="T50" s="633"/>
      <c r="U50" s="560">
        <f t="shared" si="20"/>
        <v>0</v>
      </c>
      <c r="V50" s="633"/>
      <c r="Y50" s="1149">
        <v>0</v>
      </c>
    </row>
    <row r="51" spans="2:25" ht="21" customHeight="1" x14ac:dyDescent="0.25">
      <c r="B51" s="456"/>
      <c r="C51" s="483" t="e">
        <f t="shared" si="1"/>
        <v>#REF!</v>
      </c>
      <c r="D51" s="537"/>
      <c r="E51" s="538"/>
      <c r="F51" s="544" t="str">
        <f>+"SUB-TOTAL   "&amp;B38&amp;":  "</f>
        <v xml:space="preserve">SUB-TOTAL   4:  </v>
      </c>
      <c r="G51" s="440"/>
      <c r="H51" s="438"/>
      <c r="I51" s="438"/>
      <c r="J51" s="438"/>
      <c r="K51" s="450">
        <f>+SUM(K39:K50)</f>
        <v>7470.2699999999995</v>
      </c>
      <c r="L51" s="540"/>
      <c r="M51" s="450">
        <f>+SUM(M39:M50)</f>
        <v>11725.039999999999</v>
      </c>
      <c r="N51" s="438"/>
      <c r="O51" s="450">
        <f>+SUM(O39:O50)</f>
        <v>3995.13</v>
      </c>
      <c r="P51" s="438"/>
      <c r="Q51" s="450">
        <f>+SUM(Q39:Q50)</f>
        <v>396.9</v>
      </c>
      <c r="R51" s="438"/>
      <c r="S51" s="450">
        <f>+SUM(S39:S50)</f>
        <v>137.26</v>
      </c>
      <c r="T51" s="438"/>
      <c r="U51" s="450">
        <f>+SUM(U39:U50)</f>
        <v>137.26</v>
      </c>
      <c r="V51" s="438"/>
      <c r="W51" s="660">
        <f>+K51-M51+O51+Q51-S51</f>
        <v>5.6843418860808015E-13</v>
      </c>
      <c r="Y51" s="1147">
        <v>0</v>
      </c>
    </row>
    <row r="52" spans="2:25" ht="21" customHeight="1" x14ac:dyDescent="0.25">
      <c r="B52" s="452">
        <f>+B38+1</f>
        <v>5</v>
      </c>
      <c r="C52" s="483" t="e">
        <f t="shared" si="1"/>
        <v>#REF!</v>
      </c>
      <c r="D52" s="453" t="s">
        <v>47</v>
      </c>
      <c r="E52" s="445"/>
      <c r="F52" s="446"/>
      <c r="G52" s="440"/>
      <c r="H52" s="438"/>
      <c r="I52" s="438"/>
      <c r="J52" s="438"/>
      <c r="K52" s="438"/>
      <c r="L52" s="756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Y52" s="1147">
        <v>0</v>
      </c>
    </row>
    <row r="53" spans="2:25" ht="21" customHeight="1" x14ac:dyDescent="0.25">
      <c r="B53" s="562">
        <f t="shared" ref="B53:B56" si="27">+B52+0.01</f>
        <v>5.01</v>
      </c>
      <c r="C53" s="581" t="e">
        <f t="shared" si="1"/>
        <v>#REF!</v>
      </c>
      <c r="D53" s="502" t="s">
        <v>330</v>
      </c>
      <c r="E53" s="496"/>
      <c r="F53" s="497"/>
      <c r="G53" s="530" t="s">
        <v>13</v>
      </c>
      <c r="H53" s="553">
        <v>19.260000000000002</v>
      </c>
      <c r="I53" s="553"/>
      <c r="J53" s="553">
        <v>1.2</v>
      </c>
      <c r="K53" s="553">
        <f t="shared" si="2"/>
        <v>23.11</v>
      </c>
      <c r="L53" s="553">
        <f>+[193]Metrado!F47</f>
        <v>18</v>
      </c>
      <c r="M53" s="553">
        <f t="shared" ref="M53:S56" si="28">+ROUND($H53*L53,2)</f>
        <v>346.68</v>
      </c>
      <c r="N53" s="553">
        <f>+IF($L53-$J53&gt;=0,$L53-$J53,0)</f>
        <v>16.8</v>
      </c>
      <c r="O53" s="553">
        <f t="shared" si="28"/>
        <v>323.57</v>
      </c>
      <c r="P53" s="553"/>
      <c r="Q53" s="553">
        <f t="shared" si="28"/>
        <v>0</v>
      </c>
      <c r="R53" s="553">
        <f>+IF($L53-$J53&lt;=0,-$L53+$J53,0)</f>
        <v>0</v>
      </c>
      <c r="S53" s="553">
        <f t="shared" si="28"/>
        <v>0</v>
      </c>
      <c r="T53" s="553"/>
      <c r="U53" s="553">
        <f t="shared" ref="U53:U56" si="29">+ROUND($H53*T53,2)</f>
        <v>0</v>
      </c>
      <c r="V53" s="553"/>
      <c r="Y53" s="1147">
        <v>0</v>
      </c>
    </row>
    <row r="54" spans="2:25" ht="21" customHeight="1" x14ac:dyDescent="0.25">
      <c r="B54" s="562">
        <f t="shared" si="27"/>
        <v>5.0199999999999996</v>
      </c>
      <c r="C54" s="576" t="e">
        <f t="shared" si="1"/>
        <v>#REF!</v>
      </c>
      <c r="D54" s="502" t="s">
        <v>48</v>
      </c>
      <c r="E54" s="496"/>
      <c r="F54" s="497"/>
      <c r="G54" s="530" t="s">
        <v>13</v>
      </c>
      <c r="H54" s="553">
        <v>4.82</v>
      </c>
      <c r="I54" s="553"/>
      <c r="J54" s="553">
        <v>111.5</v>
      </c>
      <c r="K54" s="553">
        <f t="shared" si="2"/>
        <v>537.42999999999995</v>
      </c>
      <c r="L54" s="553">
        <f>+[193]Metrado!F48</f>
        <v>160</v>
      </c>
      <c r="M54" s="553">
        <f t="shared" si="28"/>
        <v>771.2</v>
      </c>
      <c r="N54" s="553">
        <f>+IF($L54-$J54&gt;=0,$L54-$J54,0)</f>
        <v>48.5</v>
      </c>
      <c r="O54" s="553">
        <f t="shared" si="28"/>
        <v>233.77</v>
      </c>
      <c r="P54" s="553"/>
      <c r="Q54" s="553">
        <f t="shared" si="28"/>
        <v>0</v>
      </c>
      <c r="R54" s="553">
        <f t="shared" ref="R54:R56" si="30">+IF($L54-$J54&lt;=0,-$L54+$J54,0)</f>
        <v>0</v>
      </c>
      <c r="S54" s="553">
        <f t="shared" si="28"/>
        <v>0</v>
      </c>
      <c r="T54" s="553"/>
      <c r="U54" s="553">
        <f t="shared" si="29"/>
        <v>0</v>
      </c>
      <c r="V54" s="553"/>
      <c r="Y54" s="1147">
        <v>0</v>
      </c>
    </row>
    <row r="55" spans="2:25" ht="21" customHeight="1" x14ac:dyDescent="0.25">
      <c r="B55" s="562">
        <f t="shared" si="27"/>
        <v>5.0299999999999994</v>
      </c>
      <c r="C55" s="576" t="e">
        <f t="shared" si="1"/>
        <v>#REF!</v>
      </c>
      <c r="D55" s="502" t="s">
        <v>49</v>
      </c>
      <c r="E55" s="496"/>
      <c r="F55" s="497"/>
      <c r="G55" s="530" t="s">
        <v>13</v>
      </c>
      <c r="H55" s="553">
        <v>4.8</v>
      </c>
      <c r="I55" s="553"/>
      <c r="J55" s="553">
        <v>3985</v>
      </c>
      <c r="K55" s="553">
        <f t="shared" si="2"/>
        <v>19128</v>
      </c>
      <c r="L55" s="553">
        <f>+[193]Metrado!F49</f>
        <v>7465</v>
      </c>
      <c r="M55" s="553">
        <f t="shared" si="28"/>
        <v>35832</v>
      </c>
      <c r="N55" s="553">
        <f>+IF($L55-$J55&gt;=0,$L55-$J55,0)</f>
        <v>3480</v>
      </c>
      <c r="O55" s="553">
        <f t="shared" si="28"/>
        <v>16704</v>
      </c>
      <c r="P55" s="553"/>
      <c r="Q55" s="553">
        <f t="shared" si="28"/>
        <v>0</v>
      </c>
      <c r="R55" s="553">
        <f t="shared" si="30"/>
        <v>0</v>
      </c>
      <c r="S55" s="553">
        <f t="shared" si="28"/>
        <v>0</v>
      </c>
      <c r="T55" s="553"/>
      <c r="U55" s="553">
        <f t="shared" si="29"/>
        <v>0</v>
      </c>
      <c r="V55" s="553"/>
      <c r="Y55" s="1147">
        <v>0</v>
      </c>
    </row>
    <row r="56" spans="2:25" ht="21" customHeight="1" x14ac:dyDescent="0.25">
      <c r="B56" s="562">
        <f t="shared" si="27"/>
        <v>5.0399999999999991</v>
      </c>
      <c r="C56" s="583" t="e">
        <f t="shared" si="1"/>
        <v>#REF!</v>
      </c>
      <c r="D56" s="502" t="s">
        <v>14</v>
      </c>
      <c r="E56" s="496"/>
      <c r="F56" s="497"/>
      <c r="G56" s="539" t="s">
        <v>13</v>
      </c>
      <c r="H56" s="565">
        <v>12.8</v>
      </c>
      <c r="I56" s="565"/>
      <c r="J56" s="565">
        <v>925.5</v>
      </c>
      <c r="K56" s="565">
        <f t="shared" si="2"/>
        <v>11846.4</v>
      </c>
      <c r="L56" s="553">
        <f>+[193]Metrado!F50</f>
        <v>912</v>
      </c>
      <c r="M56" s="565">
        <f t="shared" si="28"/>
        <v>11673.6</v>
      </c>
      <c r="N56" s="565">
        <f>+IF($L56-$J56&gt;=0,$L56-$J56,0)</f>
        <v>0</v>
      </c>
      <c r="O56" s="565">
        <f t="shared" si="28"/>
        <v>0</v>
      </c>
      <c r="P56" s="565"/>
      <c r="Q56" s="565">
        <f t="shared" si="28"/>
        <v>0</v>
      </c>
      <c r="R56" s="565">
        <f t="shared" si="30"/>
        <v>13.5</v>
      </c>
      <c r="S56" s="565">
        <f t="shared" si="28"/>
        <v>172.8</v>
      </c>
      <c r="T56" s="565"/>
      <c r="U56" s="565">
        <f t="shared" si="29"/>
        <v>0</v>
      </c>
      <c r="V56" s="565"/>
      <c r="Y56" s="1147">
        <v>0</v>
      </c>
    </row>
    <row r="57" spans="2:25" ht="21" customHeight="1" x14ac:dyDescent="0.25">
      <c r="B57" s="456"/>
      <c r="C57" s="466" t="e">
        <f t="shared" si="1"/>
        <v>#REF!</v>
      </c>
      <c r="D57" s="537"/>
      <c r="E57" s="538"/>
      <c r="F57" s="533" t="str">
        <f>+"SUB-TOTAL   "&amp;B52&amp;":  "</f>
        <v xml:space="preserve">SUB-TOTAL   5:  </v>
      </c>
      <c r="G57" s="567"/>
      <c r="H57" s="438"/>
      <c r="I57" s="438"/>
      <c r="J57" s="438"/>
      <c r="K57" s="536">
        <f>+SUM(K53:K56)</f>
        <v>31534.940000000002</v>
      </c>
      <c r="L57" s="540"/>
      <c r="M57" s="536">
        <f>+SUM(M53:M56)</f>
        <v>48623.479999999996</v>
      </c>
      <c r="N57" s="536"/>
      <c r="O57" s="536">
        <f>+SUM(O53:O56)</f>
        <v>17261.34</v>
      </c>
      <c r="P57" s="536"/>
      <c r="Q57" s="536">
        <f>+SUM(Q53:Q56)</f>
        <v>0</v>
      </c>
      <c r="R57" s="536"/>
      <c r="S57" s="536">
        <f>+SUM(S53:S56)</f>
        <v>172.8</v>
      </c>
      <c r="T57" s="536"/>
      <c r="U57" s="536">
        <f>+SUM(U53:U56)</f>
        <v>0</v>
      </c>
      <c r="V57" s="536"/>
      <c r="W57" s="660">
        <f>+K57-M57+O57+Q57-S57</f>
        <v>6.5369931689929217E-12</v>
      </c>
      <c r="Y57" s="1147">
        <v>0</v>
      </c>
    </row>
    <row r="58" spans="2:25" ht="21" customHeight="1" x14ac:dyDescent="0.25">
      <c r="B58" s="452">
        <f>+B52+1</f>
        <v>6</v>
      </c>
      <c r="C58" s="466" t="e">
        <f t="shared" si="1"/>
        <v>#REF!</v>
      </c>
      <c r="D58" s="453" t="s">
        <v>50</v>
      </c>
      <c r="E58" s="460"/>
      <c r="F58" s="461"/>
      <c r="G58" s="440"/>
      <c r="H58" s="438"/>
      <c r="I58" s="438"/>
      <c r="J58" s="438"/>
      <c r="K58" s="536"/>
      <c r="L58" s="756"/>
      <c r="M58" s="536"/>
      <c r="N58" s="536"/>
      <c r="O58" s="536"/>
      <c r="P58" s="536"/>
      <c r="Q58" s="536"/>
      <c r="R58" s="536"/>
      <c r="S58" s="536"/>
      <c r="T58" s="536"/>
      <c r="U58" s="536"/>
      <c r="V58" s="536"/>
      <c r="Y58" s="1147">
        <v>0</v>
      </c>
    </row>
    <row r="59" spans="2:25" ht="21" customHeight="1" x14ac:dyDescent="0.25">
      <c r="B59" s="554">
        <f t="shared" ref="B59:B66" si="31">+B58+0.01</f>
        <v>6.01</v>
      </c>
      <c r="C59" s="584" t="e">
        <f t="shared" si="1"/>
        <v>#REF!</v>
      </c>
      <c r="D59" s="495" t="s">
        <v>331</v>
      </c>
      <c r="E59" s="500"/>
      <c r="F59" s="494"/>
      <c r="G59" s="530" t="s">
        <v>11</v>
      </c>
      <c r="H59" s="553">
        <v>55.07</v>
      </c>
      <c r="I59" s="553"/>
      <c r="J59" s="553">
        <v>2</v>
      </c>
      <c r="K59" s="553">
        <f t="shared" si="2"/>
        <v>110.14</v>
      </c>
      <c r="L59" s="553">
        <f>+[193]Metrado!F53</f>
        <v>0</v>
      </c>
      <c r="M59" s="553">
        <f t="shared" ref="M59:S66" si="32">+ROUND($H59*L59,2)</f>
        <v>0</v>
      </c>
      <c r="N59" s="553">
        <f>+IF($L59-$J59&gt;=0,$L59-$J59,0)</f>
        <v>0</v>
      </c>
      <c r="O59" s="553">
        <f t="shared" si="32"/>
        <v>0</v>
      </c>
      <c r="P59" s="553"/>
      <c r="Q59" s="553">
        <f t="shared" si="32"/>
        <v>0</v>
      </c>
      <c r="R59" s="553">
        <f>+IF($L59-$J59&lt;=0,-$L59+$J59,0)</f>
        <v>2</v>
      </c>
      <c r="S59" s="553">
        <f t="shared" si="32"/>
        <v>110.14</v>
      </c>
      <c r="T59" s="553">
        <f>+R59</f>
        <v>2</v>
      </c>
      <c r="U59" s="553">
        <f t="shared" ref="U59:U66" si="33">+ROUND($H59*T59,2)</f>
        <v>110.14</v>
      </c>
      <c r="V59" s="553" t="s">
        <v>893</v>
      </c>
      <c r="Y59" s="1147">
        <v>0</v>
      </c>
    </row>
    <row r="60" spans="2:25" ht="21" customHeight="1" x14ac:dyDescent="0.25">
      <c r="B60" s="554">
        <f t="shared" si="31"/>
        <v>6.02</v>
      </c>
      <c r="C60" s="584" t="e">
        <f t="shared" si="1"/>
        <v>#REF!</v>
      </c>
      <c r="D60" s="495" t="s">
        <v>51</v>
      </c>
      <c r="E60" s="496"/>
      <c r="F60" s="497"/>
      <c r="G60" s="530" t="s">
        <v>11</v>
      </c>
      <c r="H60" s="553">
        <v>66.86</v>
      </c>
      <c r="I60" s="553"/>
      <c r="J60" s="553">
        <v>43</v>
      </c>
      <c r="K60" s="553">
        <f t="shared" si="2"/>
        <v>2874.98</v>
      </c>
      <c r="L60" s="553">
        <f>+[193]Metrado!F54</f>
        <v>80</v>
      </c>
      <c r="M60" s="553">
        <f t="shared" si="32"/>
        <v>5348.8</v>
      </c>
      <c r="N60" s="553">
        <f t="shared" ref="N60:N65" si="34">+IF($L60-$J60&gt;=0,$L60-$J60,0)</f>
        <v>37</v>
      </c>
      <c r="O60" s="553">
        <f t="shared" si="32"/>
        <v>2473.8200000000002</v>
      </c>
      <c r="P60" s="553"/>
      <c r="Q60" s="553">
        <f t="shared" si="32"/>
        <v>0</v>
      </c>
      <c r="R60" s="553">
        <f t="shared" ref="R60:R65" si="35">+IF($L60-$J60&lt;=0,-$L60+$J60,0)</f>
        <v>0</v>
      </c>
      <c r="S60" s="553">
        <f t="shared" si="32"/>
        <v>0</v>
      </c>
      <c r="T60" s="553"/>
      <c r="U60" s="553">
        <f t="shared" si="33"/>
        <v>0</v>
      </c>
      <c r="V60" s="553"/>
      <c r="Y60" s="1147">
        <v>0</v>
      </c>
    </row>
    <row r="61" spans="2:25" ht="21" customHeight="1" x14ac:dyDescent="0.25">
      <c r="B61" s="554">
        <f t="shared" si="31"/>
        <v>6.0299999999999994</v>
      </c>
      <c r="C61" s="584" t="e">
        <f t="shared" si="1"/>
        <v>#REF!</v>
      </c>
      <c r="D61" s="495" t="s">
        <v>52</v>
      </c>
      <c r="E61" s="496"/>
      <c r="F61" s="497"/>
      <c r="G61" s="530" t="s">
        <v>11</v>
      </c>
      <c r="H61" s="553">
        <v>251.32</v>
      </c>
      <c r="I61" s="553"/>
      <c r="J61" s="553">
        <v>45</v>
      </c>
      <c r="K61" s="553">
        <f t="shared" si="2"/>
        <v>11309.4</v>
      </c>
      <c r="L61" s="553">
        <f>+[193]Metrado!F55</f>
        <v>0</v>
      </c>
      <c r="M61" s="553">
        <f t="shared" si="32"/>
        <v>0</v>
      </c>
      <c r="N61" s="553">
        <f t="shared" si="34"/>
        <v>0</v>
      </c>
      <c r="O61" s="553">
        <f t="shared" si="32"/>
        <v>0</v>
      </c>
      <c r="P61" s="553"/>
      <c r="Q61" s="553">
        <f t="shared" si="32"/>
        <v>0</v>
      </c>
      <c r="R61" s="553">
        <f t="shared" si="35"/>
        <v>45</v>
      </c>
      <c r="S61" s="553">
        <f t="shared" si="32"/>
        <v>11309.4</v>
      </c>
      <c r="T61" s="553">
        <f>+R61</f>
        <v>45</v>
      </c>
      <c r="U61" s="553">
        <f t="shared" si="33"/>
        <v>11309.4</v>
      </c>
      <c r="V61" s="553" t="s">
        <v>894</v>
      </c>
      <c r="Y61" s="1147">
        <v>0</v>
      </c>
    </row>
    <row r="62" spans="2:25" ht="21" customHeight="1" x14ac:dyDescent="0.25">
      <c r="B62" s="554">
        <f t="shared" si="31"/>
        <v>6.0399999999999991</v>
      </c>
      <c r="C62" s="584" t="e">
        <f t="shared" si="1"/>
        <v>#REF!</v>
      </c>
      <c r="D62" s="495" t="s">
        <v>53</v>
      </c>
      <c r="E62" s="496"/>
      <c r="F62" s="497"/>
      <c r="G62" s="530" t="s">
        <v>11</v>
      </c>
      <c r="H62" s="553">
        <v>38.94</v>
      </c>
      <c r="I62" s="553"/>
      <c r="J62" s="553">
        <v>45</v>
      </c>
      <c r="K62" s="553">
        <f t="shared" si="2"/>
        <v>1752.3</v>
      </c>
      <c r="L62" s="553">
        <f>+[193]Metrado!F56</f>
        <v>0</v>
      </c>
      <c r="M62" s="553">
        <f t="shared" si="32"/>
        <v>0</v>
      </c>
      <c r="N62" s="553">
        <f t="shared" si="34"/>
        <v>0</v>
      </c>
      <c r="O62" s="553">
        <f t="shared" si="32"/>
        <v>0</v>
      </c>
      <c r="P62" s="553"/>
      <c r="Q62" s="553">
        <f t="shared" si="32"/>
        <v>0</v>
      </c>
      <c r="R62" s="553">
        <f t="shared" si="35"/>
        <v>45</v>
      </c>
      <c r="S62" s="553">
        <f t="shared" si="32"/>
        <v>1752.3</v>
      </c>
      <c r="T62" s="553">
        <f>+R62</f>
        <v>45</v>
      </c>
      <c r="U62" s="553">
        <f t="shared" si="33"/>
        <v>1752.3</v>
      </c>
      <c r="V62" s="553" t="s">
        <v>894</v>
      </c>
      <c r="Y62" s="1147">
        <v>0</v>
      </c>
    </row>
    <row r="63" spans="2:25" ht="21" customHeight="1" x14ac:dyDescent="0.25">
      <c r="B63" s="562">
        <f t="shared" si="31"/>
        <v>6.0499999999999989</v>
      </c>
      <c r="C63" s="576" t="e">
        <f t="shared" si="1"/>
        <v>#REF!</v>
      </c>
      <c r="D63" s="502" t="s">
        <v>332</v>
      </c>
      <c r="E63" s="496"/>
      <c r="F63" s="497"/>
      <c r="G63" s="530" t="s">
        <v>11</v>
      </c>
      <c r="H63" s="553">
        <v>3.31</v>
      </c>
      <c r="I63" s="553"/>
      <c r="J63" s="553">
        <v>45</v>
      </c>
      <c r="K63" s="553">
        <f t="shared" si="2"/>
        <v>148.94999999999999</v>
      </c>
      <c r="L63" s="553">
        <f>+[193]Metrado!F57</f>
        <v>80</v>
      </c>
      <c r="M63" s="553">
        <f t="shared" si="32"/>
        <v>264.8</v>
      </c>
      <c r="N63" s="553">
        <f t="shared" si="34"/>
        <v>35</v>
      </c>
      <c r="O63" s="553">
        <f t="shared" si="32"/>
        <v>115.85</v>
      </c>
      <c r="P63" s="553"/>
      <c r="Q63" s="553">
        <f t="shared" si="32"/>
        <v>0</v>
      </c>
      <c r="R63" s="553">
        <f t="shared" si="35"/>
        <v>0</v>
      </c>
      <c r="S63" s="553">
        <f t="shared" si="32"/>
        <v>0</v>
      </c>
      <c r="T63" s="553"/>
      <c r="U63" s="553">
        <f t="shared" si="33"/>
        <v>0</v>
      </c>
      <c r="V63" s="553"/>
      <c r="Y63" s="1147">
        <v>0</v>
      </c>
    </row>
    <row r="64" spans="2:25" ht="21" customHeight="1" x14ac:dyDescent="0.25">
      <c r="B64" s="562">
        <f t="shared" si="31"/>
        <v>6.0599999999999987</v>
      </c>
      <c r="C64" s="576" t="e">
        <f t="shared" si="1"/>
        <v>#REF!</v>
      </c>
      <c r="D64" s="495" t="s">
        <v>45</v>
      </c>
      <c r="E64" s="496"/>
      <c r="F64" s="497"/>
      <c r="G64" s="530" t="s">
        <v>11</v>
      </c>
      <c r="H64" s="553">
        <v>7.04</v>
      </c>
      <c r="I64" s="553"/>
      <c r="J64" s="553">
        <v>45</v>
      </c>
      <c r="K64" s="553">
        <f t="shared" si="2"/>
        <v>316.8</v>
      </c>
      <c r="L64" s="553">
        <f>+[193]Metrado!F58</f>
        <v>143</v>
      </c>
      <c r="M64" s="553">
        <f t="shared" si="32"/>
        <v>1006.72</v>
      </c>
      <c r="N64" s="553">
        <f t="shared" si="34"/>
        <v>98</v>
      </c>
      <c r="O64" s="553">
        <f t="shared" si="32"/>
        <v>689.92</v>
      </c>
      <c r="P64" s="553"/>
      <c r="Q64" s="553">
        <f t="shared" si="32"/>
        <v>0</v>
      </c>
      <c r="R64" s="553">
        <f t="shared" si="35"/>
        <v>0</v>
      </c>
      <c r="S64" s="553">
        <f t="shared" si="32"/>
        <v>0</v>
      </c>
      <c r="T64" s="553"/>
      <c r="U64" s="553">
        <f t="shared" si="33"/>
        <v>0</v>
      </c>
      <c r="V64" s="553"/>
      <c r="Y64" s="1147">
        <v>0</v>
      </c>
    </row>
    <row r="65" spans="2:25" ht="21" customHeight="1" x14ac:dyDescent="0.25">
      <c r="B65" s="562">
        <f t="shared" si="31"/>
        <v>6.0699999999999985</v>
      </c>
      <c r="C65" s="576" t="e">
        <f t="shared" si="1"/>
        <v>#REF!</v>
      </c>
      <c r="D65" s="502" t="s">
        <v>322</v>
      </c>
      <c r="E65" s="496"/>
      <c r="F65" s="497"/>
      <c r="G65" s="530" t="s">
        <v>11</v>
      </c>
      <c r="H65" s="553">
        <v>5.21</v>
      </c>
      <c r="I65" s="553"/>
      <c r="J65" s="553">
        <v>45</v>
      </c>
      <c r="K65" s="553">
        <f t="shared" si="2"/>
        <v>234.45</v>
      </c>
      <c r="L65" s="553">
        <f>+[193]Metrado!F59</f>
        <v>17</v>
      </c>
      <c r="M65" s="553">
        <f t="shared" si="32"/>
        <v>88.57</v>
      </c>
      <c r="N65" s="553">
        <f t="shared" si="34"/>
        <v>0</v>
      </c>
      <c r="O65" s="553">
        <f t="shared" si="32"/>
        <v>0</v>
      </c>
      <c r="P65" s="553"/>
      <c r="Q65" s="553">
        <f t="shared" si="32"/>
        <v>0</v>
      </c>
      <c r="R65" s="553">
        <f t="shared" si="35"/>
        <v>28</v>
      </c>
      <c r="S65" s="553">
        <f t="shared" si="32"/>
        <v>145.88</v>
      </c>
      <c r="T65" s="553">
        <f>+R65</f>
        <v>28</v>
      </c>
      <c r="U65" s="553">
        <f t="shared" si="33"/>
        <v>145.88</v>
      </c>
      <c r="V65" s="553" t="s">
        <v>895</v>
      </c>
      <c r="Y65" s="1147">
        <v>0</v>
      </c>
    </row>
    <row r="66" spans="2:25" s="547" customFormat="1" ht="21" customHeight="1" x14ac:dyDescent="0.25">
      <c r="B66" s="559">
        <f t="shared" si="31"/>
        <v>6.0799999999999983</v>
      </c>
      <c r="C66" s="575" t="e">
        <f t="shared" si="1"/>
        <v>#REF!</v>
      </c>
      <c r="D66" s="501" t="s">
        <v>333</v>
      </c>
      <c r="E66" s="638"/>
      <c r="F66" s="639"/>
      <c r="G66" s="564" t="s">
        <v>11</v>
      </c>
      <c r="H66" s="640"/>
      <c r="I66" s="640">
        <v>386.46</v>
      </c>
      <c r="J66" s="640"/>
      <c r="K66" s="640">
        <f t="shared" si="2"/>
        <v>0</v>
      </c>
      <c r="L66" s="560">
        <f>+[193]Metrado!F60</f>
        <v>80</v>
      </c>
      <c r="M66" s="640">
        <f>+ROUND($I66*L66,2)</f>
        <v>30916.799999999999</v>
      </c>
      <c r="N66" s="560"/>
      <c r="O66" s="560">
        <f t="shared" si="32"/>
        <v>0</v>
      </c>
      <c r="P66" s="640">
        <f>+L66</f>
        <v>80</v>
      </c>
      <c r="Q66" s="640">
        <f>+ROUND($I66*P66,2)</f>
        <v>30916.799999999999</v>
      </c>
      <c r="R66" s="640"/>
      <c r="S66" s="560">
        <f t="shared" si="32"/>
        <v>0</v>
      </c>
      <c r="T66" s="640"/>
      <c r="U66" s="560">
        <f t="shared" si="33"/>
        <v>0</v>
      </c>
      <c r="V66" s="640"/>
      <c r="Y66" s="1149">
        <v>0</v>
      </c>
    </row>
    <row r="67" spans="2:25" ht="21" customHeight="1" x14ac:dyDescent="0.25">
      <c r="B67" s="456"/>
      <c r="C67" s="466" t="e">
        <f t="shared" si="1"/>
        <v>#REF!</v>
      </c>
      <c r="D67" s="537"/>
      <c r="E67" s="538"/>
      <c r="F67" s="533" t="str">
        <f>+"SUB-TOTAL   "&amp;B58&amp;":  "</f>
        <v xml:space="preserve">SUB-TOTAL   6:  </v>
      </c>
      <c r="G67" s="440"/>
      <c r="H67" s="449"/>
      <c r="I67" s="449"/>
      <c r="J67" s="449"/>
      <c r="K67" s="451">
        <f>+SUM(K59:K66)</f>
        <v>16747.02</v>
      </c>
      <c r="L67" s="540"/>
      <c r="M67" s="451">
        <f>+SUM(M59:M66)</f>
        <v>37625.69</v>
      </c>
      <c r="N67" s="451"/>
      <c r="O67" s="451">
        <f>+SUM(O59:O66)</f>
        <v>3279.59</v>
      </c>
      <c r="P67" s="451"/>
      <c r="Q67" s="451">
        <f>+SUM(Q59:Q66)</f>
        <v>30916.799999999999</v>
      </c>
      <c r="R67" s="451"/>
      <c r="S67" s="451">
        <f>+SUM(S59:S66)</f>
        <v>13317.719999999998</v>
      </c>
      <c r="T67" s="451"/>
      <c r="U67" s="451">
        <f>+SUM(U59:U66)</f>
        <v>13317.719999999998</v>
      </c>
      <c r="V67" s="451"/>
      <c r="W67" s="660">
        <f>+K67-M67+O67+Q67-S67</f>
        <v>0</v>
      </c>
      <c r="Y67" s="1147">
        <v>0</v>
      </c>
    </row>
    <row r="68" spans="2:25" ht="21" customHeight="1" x14ac:dyDescent="0.25">
      <c r="B68" s="452">
        <f>+B58+1</f>
        <v>7</v>
      </c>
      <c r="C68" s="466" t="e">
        <f t="shared" si="1"/>
        <v>#REF!</v>
      </c>
      <c r="D68" s="453" t="s">
        <v>20</v>
      </c>
      <c r="E68" s="445"/>
      <c r="F68" s="446"/>
      <c r="G68" s="440"/>
      <c r="H68" s="438"/>
      <c r="I68" s="438"/>
      <c r="J68" s="438"/>
      <c r="K68" s="438"/>
      <c r="L68" s="756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Y68" s="1147">
        <v>0</v>
      </c>
    </row>
    <row r="69" spans="2:25" ht="21.75" customHeight="1" x14ac:dyDescent="0.25">
      <c r="B69" s="562">
        <f t="shared" ref="B69:B82" si="36">+B68+0.01</f>
        <v>7.01</v>
      </c>
      <c r="C69" s="576" t="e">
        <f t="shared" si="1"/>
        <v>#REF!</v>
      </c>
      <c r="D69" s="502" t="s">
        <v>54</v>
      </c>
      <c r="E69" s="496"/>
      <c r="F69" s="497"/>
      <c r="G69" s="530" t="s">
        <v>13</v>
      </c>
      <c r="H69" s="553">
        <v>4.3099999999999996</v>
      </c>
      <c r="I69" s="553"/>
      <c r="J69" s="553">
        <v>1076</v>
      </c>
      <c r="K69" s="553">
        <f t="shared" si="2"/>
        <v>4637.5600000000004</v>
      </c>
      <c r="L69" s="553">
        <f>+[193]Metrado!F63</f>
        <v>0</v>
      </c>
      <c r="M69" s="553">
        <f t="shared" ref="M69:S82" si="37">+ROUND($H69*L69,2)</f>
        <v>0</v>
      </c>
      <c r="N69" s="553">
        <f>+IF($L69-$J69&gt;=0,$L69-$J69,0)</f>
        <v>0</v>
      </c>
      <c r="O69" s="553">
        <f t="shared" si="37"/>
        <v>0</v>
      </c>
      <c r="P69" s="553"/>
      <c r="Q69" s="553">
        <f t="shared" si="37"/>
        <v>0</v>
      </c>
      <c r="R69" s="553">
        <f>+IF($L69-$J69&lt;=0,-$L69+$J69,0)</f>
        <v>1076</v>
      </c>
      <c r="S69" s="553">
        <f t="shared" si="37"/>
        <v>4637.5600000000004</v>
      </c>
      <c r="T69" s="553"/>
      <c r="U69" s="553">
        <f t="shared" ref="U69:U82" si="38">+ROUND($H69*T69,2)</f>
        <v>0</v>
      </c>
      <c r="V69" s="553"/>
      <c r="Y69" s="1147">
        <v>0</v>
      </c>
    </row>
    <row r="70" spans="2:25" ht="21.75" customHeight="1" x14ac:dyDescent="0.25">
      <c r="B70" s="562">
        <f t="shared" si="36"/>
        <v>7.02</v>
      </c>
      <c r="C70" s="576" t="e">
        <f t="shared" si="1"/>
        <v>#REF!</v>
      </c>
      <c r="D70" s="502" t="s">
        <v>334</v>
      </c>
      <c r="E70" s="496"/>
      <c r="F70" s="497"/>
      <c r="G70" s="530" t="s">
        <v>11</v>
      </c>
      <c r="H70" s="553">
        <v>13.17</v>
      </c>
      <c r="I70" s="553"/>
      <c r="J70" s="553">
        <v>106</v>
      </c>
      <c r="K70" s="553">
        <f t="shared" ref="K70:K82" si="39">+ROUND($H70*J70,2)</f>
        <v>1396.02</v>
      </c>
      <c r="L70" s="553">
        <f>+[193]Metrado!F64</f>
        <v>117</v>
      </c>
      <c r="M70" s="553">
        <f t="shared" si="37"/>
        <v>1540.89</v>
      </c>
      <c r="N70" s="553">
        <f t="shared" ref="N70:N80" si="40">+IF($L70-$J70&gt;=0,$L70-$J70,0)</f>
        <v>11</v>
      </c>
      <c r="O70" s="553">
        <f t="shared" si="37"/>
        <v>144.87</v>
      </c>
      <c r="P70" s="553"/>
      <c r="Q70" s="553">
        <f t="shared" si="37"/>
        <v>0</v>
      </c>
      <c r="R70" s="553">
        <f t="shared" ref="R70:R80" si="41">+IF($L70-$J70&lt;=0,-$L70+$J70,0)</f>
        <v>0</v>
      </c>
      <c r="S70" s="553">
        <f t="shared" si="37"/>
        <v>0</v>
      </c>
      <c r="T70" s="553"/>
      <c r="U70" s="553">
        <f t="shared" si="38"/>
        <v>0</v>
      </c>
      <c r="V70" s="553"/>
      <c r="Y70" s="1147">
        <v>0</v>
      </c>
    </row>
    <row r="71" spans="2:25" ht="21.75" customHeight="1" x14ac:dyDescent="0.25">
      <c r="B71" s="562">
        <f t="shared" si="36"/>
        <v>7.0299999999999994</v>
      </c>
      <c r="C71" s="576" t="e">
        <f t="shared" si="1"/>
        <v>#REF!</v>
      </c>
      <c r="D71" s="502" t="s">
        <v>55</v>
      </c>
      <c r="E71" s="498"/>
      <c r="F71" s="499"/>
      <c r="G71" s="530" t="s">
        <v>11</v>
      </c>
      <c r="H71" s="553">
        <v>14.23</v>
      </c>
      <c r="I71" s="553"/>
      <c r="J71" s="553">
        <v>3</v>
      </c>
      <c r="K71" s="553">
        <f t="shared" si="39"/>
        <v>42.69</v>
      </c>
      <c r="L71" s="553">
        <f>+[193]Metrado!F65</f>
        <v>3</v>
      </c>
      <c r="M71" s="553">
        <f t="shared" si="37"/>
        <v>42.69</v>
      </c>
      <c r="N71" s="553">
        <f t="shared" si="40"/>
        <v>0</v>
      </c>
      <c r="O71" s="553">
        <f t="shared" si="37"/>
        <v>0</v>
      </c>
      <c r="P71" s="557"/>
      <c r="Q71" s="553">
        <f t="shared" si="37"/>
        <v>0</v>
      </c>
      <c r="R71" s="553">
        <f t="shared" si="41"/>
        <v>0</v>
      </c>
      <c r="S71" s="553">
        <f t="shared" si="37"/>
        <v>0</v>
      </c>
      <c r="T71" s="557"/>
      <c r="U71" s="553">
        <f t="shared" si="38"/>
        <v>0</v>
      </c>
      <c r="V71" s="557"/>
      <c r="Y71" s="1147">
        <v>0</v>
      </c>
    </row>
    <row r="72" spans="2:25" ht="21.75" customHeight="1" x14ac:dyDescent="0.25">
      <c r="B72" s="562">
        <f t="shared" si="36"/>
        <v>7.0399999999999991</v>
      </c>
      <c r="C72" s="576" t="e">
        <f t="shared" si="1"/>
        <v>#REF!</v>
      </c>
      <c r="D72" s="502" t="s">
        <v>21</v>
      </c>
      <c r="E72" s="500"/>
      <c r="F72" s="494"/>
      <c r="G72" s="530" t="s">
        <v>11</v>
      </c>
      <c r="H72" s="553">
        <v>46.85</v>
      </c>
      <c r="I72" s="553"/>
      <c r="J72" s="553">
        <v>109</v>
      </c>
      <c r="K72" s="553">
        <f t="shared" si="39"/>
        <v>5106.6499999999996</v>
      </c>
      <c r="L72" s="553">
        <f>+[193]Metrado!F66</f>
        <v>120</v>
      </c>
      <c r="M72" s="553">
        <f t="shared" si="37"/>
        <v>5622</v>
      </c>
      <c r="N72" s="553">
        <f t="shared" si="40"/>
        <v>11</v>
      </c>
      <c r="O72" s="553">
        <f t="shared" si="37"/>
        <v>515.35</v>
      </c>
      <c r="P72" s="553"/>
      <c r="Q72" s="553">
        <f t="shared" si="37"/>
        <v>0</v>
      </c>
      <c r="R72" s="553">
        <f t="shared" si="41"/>
        <v>0</v>
      </c>
      <c r="S72" s="553">
        <f t="shared" si="37"/>
        <v>0</v>
      </c>
      <c r="T72" s="553"/>
      <c r="U72" s="553">
        <f t="shared" si="38"/>
        <v>0</v>
      </c>
      <c r="V72" s="553"/>
      <c r="Y72" s="1147">
        <v>0</v>
      </c>
    </row>
    <row r="73" spans="2:25" ht="21.75" customHeight="1" x14ac:dyDescent="0.25">
      <c r="B73" s="562">
        <f t="shared" si="36"/>
        <v>7.0499999999999989</v>
      </c>
      <c r="C73" s="576" t="e">
        <f t="shared" si="1"/>
        <v>#REF!</v>
      </c>
      <c r="D73" s="502" t="s">
        <v>24</v>
      </c>
      <c r="E73" s="496"/>
      <c r="F73" s="497"/>
      <c r="G73" s="530" t="s">
        <v>11</v>
      </c>
      <c r="H73" s="553">
        <v>5.46</v>
      </c>
      <c r="I73" s="553"/>
      <c r="J73" s="553">
        <v>109</v>
      </c>
      <c r="K73" s="553">
        <f t="shared" si="39"/>
        <v>595.14</v>
      </c>
      <c r="L73" s="553">
        <f>+[193]Metrado!F67</f>
        <v>120</v>
      </c>
      <c r="M73" s="553">
        <f t="shared" si="37"/>
        <v>655.20000000000005</v>
      </c>
      <c r="N73" s="553">
        <f t="shared" si="40"/>
        <v>11</v>
      </c>
      <c r="O73" s="553">
        <f t="shared" si="37"/>
        <v>60.06</v>
      </c>
      <c r="P73" s="553"/>
      <c r="Q73" s="553">
        <f t="shared" si="37"/>
        <v>0</v>
      </c>
      <c r="R73" s="553">
        <f t="shared" si="41"/>
        <v>0</v>
      </c>
      <c r="S73" s="553">
        <f t="shared" si="37"/>
        <v>0</v>
      </c>
      <c r="T73" s="553"/>
      <c r="U73" s="553">
        <f t="shared" si="38"/>
        <v>0</v>
      </c>
      <c r="V73" s="553"/>
      <c r="Y73" s="1147">
        <v>0</v>
      </c>
    </row>
    <row r="74" spans="2:25" ht="21.75" customHeight="1" x14ac:dyDescent="0.25">
      <c r="B74" s="562">
        <f t="shared" si="36"/>
        <v>7.0599999999999987</v>
      </c>
      <c r="C74" s="576" t="e">
        <f t="shared" si="1"/>
        <v>#REF!</v>
      </c>
      <c r="D74" s="502" t="s">
        <v>22</v>
      </c>
      <c r="E74" s="496"/>
      <c r="F74" s="497"/>
      <c r="G74" s="530" t="s">
        <v>11</v>
      </c>
      <c r="H74" s="553">
        <v>11.69</v>
      </c>
      <c r="I74" s="553"/>
      <c r="J74" s="553">
        <v>218</v>
      </c>
      <c r="K74" s="553">
        <f t="shared" si="39"/>
        <v>2548.42</v>
      </c>
      <c r="L74" s="553">
        <f>+[193]Metrado!F68</f>
        <v>240</v>
      </c>
      <c r="M74" s="553">
        <f t="shared" si="37"/>
        <v>2805.6</v>
      </c>
      <c r="N74" s="553">
        <f t="shared" si="40"/>
        <v>22</v>
      </c>
      <c r="O74" s="553">
        <f t="shared" si="37"/>
        <v>257.18</v>
      </c>
      <c r="P74" s="553"/>
      <c r="Q74" s="553">
        <f t="shared" si="37"/>
        <v>0</v>
      </c>
      <c r="R74" s="553">
        <f t="shared" si="41"/>
        <v>0</v>
      </c>
      <c r="S74" s="553">
        <f t="shared" si="37"/>
        <v>0</v>
      </c>
      <c r="T74" s="553"/>
      <c r="U74" s="553">
        <f t="shared" si="38"/>
        <v>0</v>
      </c>
      <c r="V74" s="553"/>
      <c r="Y74" s="1147">
        <v>0</v>
      </c>
    </row>
    <row r="75" spans="2:25" ht="21.75" customHeight="1" x14ac:dyDescent="0.25">
      <c r="B75" s="562">
        <f t="shared" si="36"/>
        <v>7.0699999999999985</v>
      </c>
      <c r="C75" s="576" t="e">
        <f t="shared" si="1"/>
        <v>#REF!</v>
      </c>
      <c r="D75" s="502" t="s">
        <v>335</v>
      </c>
      <c r="E75" s="496"/>
      <c r="F75" s="497"/>
      <c r="G75" s="530" t="s">
        <v>11</v>
      </c>
      <c r="H75" s="553">
        <v>1.67</v>
      </c>
      <c r="I75" s="553"/>
      <c r="J75" s="553">
        <v>218</v>
      </c>
      <c r="K75" s="553">
        <f t="shared" si="39"/>
        <v>364.06</v>
      </c>
      <c r="L75" s="553">
        <f>+[193]Metrado!F69</f>
        <v>240</v>
      </c>
      <c r="M75" s="553">
        <f t="shared" si="37"/>
        <v>400.8</v>
      </c>
      <c r="N75" s="553">
        <f t="shared" si="40"/>
        <v>22</v>
      </c>
      <c r="O75" s="553">
        <f t="shared" si="37"/>
        <v>36.74</v>
      </c>
      <c r="P75" s="553"/>
      <c r="Q75" s="553">
        <f t="shared" si="37"/>
        <v>0</v>
      </c>
      <c r="R75" s="553">
        <f t="shared" si="41"/>
        <v>0</v>
      </c>
      <c r="S75" s="553">
        <f t="shared" si="37"/>
        <v>0</v>
      </c>
      <c r="T75" s="553"/>
      <c r="U75" s="553">
        <f t="shared" si="38"/>
        <v>0</v>
      </c>
      <c r="V75" s="553"/>
      <c r="Y75" s="1147">
        <v>0</v>
      </c>
    </row>
    <row r="76" spans="2:25" ht="21.75" customHeight="1" x14ac:dyDescent="0.25">
      <c r="B76" s="562">
        <f t="shared" si="36"/>
        <v>7.0799999999999983</v>
      </c>
      <c r="C76" s="576" t="e">
        <f t="shared" si="1"/>
        <v>#REF!</v>
      </c>
      <c r="D76" s="502" t="s">
        <v>39</v>
      </c>
      <c r="E76" s="496"/>
      <c r="F76" s="497"/>
      <c r="G76" s="530" t="s">
        <v>11</v>
      </c>
      <c r="H76" s="553">
        <v>105.33</v>
      </c>
      <c r="I76" s="553"/>
      <c r="J76" s="553">
        <v>14</v>
      </c>
      <c r="K76" s="553">
        <f t="shared" si="39"/>
        <v>1474.62</v>
      </c>
      <c r="L76" s="553">
        <f>+[193]Metrado!F70</f>
        <v>27</v>
      </c>
      <c r="M76" s="553">
        <f t="shared" si="37"/>
        <v>2843.91</v>
      </c>
      <c r="N76" s="553">
        <f t="shared" si="40"/>
        <v>13</v>
      </c>
      <c r="O76" s="553">
        <f t="shared" si="37"/>
        <v>1369.29</v>
      </c>
      <c r="P76" s="553"/>
      <c r="Q76" s="553">
        <f t="shared" si="37"/>
        <v>0</v>
      </c>
      <c r="R76" s="553">
        <f t="shared" si="41"/>
        <v>0</v>
      </c>
      <c r="S76" s="553">
        <f t="shared" si="37"/>
        <v>0</v>
      </c>
      <c r="T76" s="553"/>
      <c r="U76" s="553">
        <f t="shared" si="38"/>
        <v>0</v>
      </c>
      <c r="V76" s="553"/>
      <c r="Y76" s="1147">
        <v>0</v>
      </c>
    </row>
    <row r="77" spans="2:25" ht="21.75" customHeight="1" x14ac:dyDescent="0.25">
      <c r="B77" s="562">
        <f t="shared" si="36"/>
        <v>7.0899999999999981</v>
      </c>
      <c r="C77" s="576" t="e">
        <f t="shared" si="1"/>
        <v>#REF!</v>
      </c>
      <c r="D77" s="502" t="s">
        <v>23</v>
      </c>
      <c r="E77" s="496"/>
      <c r="F77" s="497"/>
      <c r="G77" s="530" t="s">
        <v>13</v>
      </c>
      <c r="H77" s="553">
        <v>0.69</v>
      </c>
      <c r="I77" s="553"/>
      <c r="J77" s="553">
        <v>327</v>
      </c>
      <c r="K77" s="553">
        <f t="shared" si="39"/>
        <v>225.63</v>
      </c>
      <c r="L77" s="553">
        <f>+[193]Metrado!F71</f>
        <v>360</v>
      </c>
      <c r="M77" s="553">
        <f t="shared" si="37"/>
        <v>248.4</v>
      </c>
      <c r="N77" s="553">
        <f t="shared" si="40"/>
        <v>33</v>
      </c>
      <c r="O77" s="553">
        <f t="shared" si="37"/>
        <v>22.77</v>
      </c>
      <c r="P77" s="553"/>
      <c r="Q77" s="553">
        <f t="shared" si="37"/>
        <v>0</v>
      </c>
      <c r="R77" s="553">
        <f t="shared" si="41"/>
        <v>0</v>
      </c>
      <c r="S77" s="553">
        <f t="shared" si="37"/>
        <v>0</v>
      </c>
      <c r="T77" s="553"/>
      <c r="U77" s="553">
        <f t="shared" si="38"/>
        <v>0</v>
      </c>
      <c r="V77" s="553"/>
      <c r="Y77" s="1147">
        <v>0</v>
      </c>
    </row>
    <row r="78" spans="2:25" ht="21.75" customHeight="1" x14ac:dyDescent="0.25">
      <c r="B78" s="562">
        <f t="shared" si="36"/>
        <v>7.0999999999999979</v>
      </c>
      <c r="C78" s="576" t="e">
        <f t="shared" si="1"/>
        <v>#REF!</v>
      </c>
      <c r="D78" s="502" t="s">
        <v>56</v>
      </c>
      <c r="E78" s="496"/>
      <c r="F78" s="497"/>
      <c r="G78" s="530" t="s">
        <v>11</v>
      </c>
      <c r="H78" s="553">
        <v>40.94</v>
      </c>
      <c r="I78" s="553"/>
      <c r="J78" s="553">
        <v>109</v>
      </c>
      <c r="K78" s="553">
        <f t="shared" si="39"/>
        <v>4462.46</v>
      </c>
      <c r="L78" s="553">
        <f>+[193]Metrado!F72</f>
        <v>120</v>
      </c>
      <c r="M78" s="553">
        <f t="shared" si="37"/>
        <v>4912.8</v>
      </c>
      <c r="N78" s="553">
        <f t="shared" si="40"/>
        <v>11</v>
      </c>
      <c r="O78" s="553">
        <f t="shared" si="37"/>
        <v>450.34</v>
      </c>
      <c r="P78" s="553"/>
      <c r="Q78" s="553">
        <f t="shared" si="37"/>
        <v>0</v>
      </c>
      <c r="R78" s="553">
        <f t="shared" si="41"/>
        <v>0</v>
      </c>
      <c r="S78" s="553">
        <f t="shared" si="37"/>
        <v>0</v>
      </c>
      <c r="T78" s="553"/>
      <c r="U78" s="553">
        <f t="shared" si="38"/>
        <v>0</v>
      </c>
      <c r="V78" s="553"/>
      <c r="Y78" s="1147">
        <v>0</v>
      </c>
    </row>
    <row r="79" spans="2:25" ht="21.75" customHeight="1" x14ac:dyDescent="0.25">
      <c r="B79" s="562">
        <f t="shared" si="36"/>
        <v>7.1099999999999977</v>
      </c>
      <c r="C79" s="576" t="e">
        <f t="shared" si="1"/>
        <v>#REF!</v>
      </c>
      <c r="D79" s="502" t="s">
        <v>322</v>
      </c>
      <c r="E79" s="496"/>
      <c r="F79" s="497"/>
      <c r="G79" s="530" t="s">
        <v>11</v>
      </c>
      <c r="H79" s="553">
        <v>5.21</v>
      </c>
      <c r="I79" s="553"/>
      <c r="J79" s="553">
        <v>109</v>
      </c>
      <c r="K79" s="553">
        <f t="shared" si="39"/>
        <v>567.89</v>
      </c>
      <c r="L79" s="553">
        <f>+[193]Metrado!F73</f>
        <v>120</v>
      </c>
      <c r="M79" s="553">
        <f t="shared" si="37"/>
        <v>625.20000000000005</v>
      </c>
      <c r="N79" s="553">
        <f t="shared" si="40"/>
        <v>11</v>
      </c>
      <c r="O79" s="553">
        <f t="shared" si="37"/>
        <v>57.31</v>
      </c>
      <c r="P79" s="553"/>
      <c r="Q79" s="553">
        <f t="shared" si="37"/>
        <v>0</v>
      </c>
      <c r="R79" s="553">
        <f t="shared" si="41"/>
        <v>0</v>
      </c>
      <c r="S79" s="553">
        <f t="shared" si="37"/>
        <v>0</v>
      </c>
      <c r="T79" s="553"/>
      <c r="U79" s="553">
        <f t="shared" si="38"/>
        <v>0</v>
      </c>
      <c r="V79" s="553"/>
      <c r="Y79" s="1147">
        <v>0</v>
      </c>
    </row>
    <row r="80" spans="2:25" s="459" customFormat="1" ht="21.75" customHeight="1" x14ac:dyDescent="0.25">
      <c r="B80" s="554">
        <f t="shared" si="36"/>
        <v>7.1199999999999974</v>
      </c>
      <c r="C80" s="584" t="e">
        <f t="shared" si="1"/>
        <v>#REF!</v>
      </c>
      <c r="D80" s="495" t="s">
        <v>57</v>
      </c>
      <c r="E80" s="534"/>
      <c r="F80" s="535"/>
      <c r="G80" s="530" t="s">
        <v>11</v>
      </c>
      <c r="H80" s="553">
        <v>8.52</v>
      </c>
      <c r="I80" s="553"/>
      <c r="J80" s="553">
        <v>109</v>
      </c>
      <c r="K80" s="553">
        <f t="shared" si="39"/>
        <v>928.68</v>
      </c>
      <c r="L80" s="553">
        <f>+[193]Metrado!F74</f>
        <v>120</v>
      </c>
      <c r="M80" s="553">
        <f t="shared" si="37"/>
        <v>1022.4</v>
      </c>
      <c r="N80" s="553">
        <f t="shared" si="40"/>
        <v>11</v>
      </c>
      <c r="O80" s="553">
        <f t="shared" si="37"/>
        <v>93.72</v>
      </c>
      <c r="P80" s="553"/>
      <c r="Q80" s="553">
        <f t="shared" si="37"/>
        <v>0</v>
      </c>
      <c r="R80" s="553">
        <f t="shared" si="41"/>
        <v>0</v>
      </c>
      <c r="S80" s="553">
        <f t="shared" si="37"/>
        <v>0</v>
      </c>
      <c r="T80" s="557"/>
      <c r="U80" s="553">
        <f t="shared" si="38"/>
        <v>0</v>
      </c>
      <c r="V80" s="557"/>
      <c r="Y80" s="1147">
        <v>0</v>
      </c>
    </row>
    <row r="81" spans="1:25" s="547" customFormat="1" ht="21.75" customHeight="1" x14ac:dyDescent="0.25">
      <c r="B81" s="559">
        <f t="shared" si="36"/>
        <v>7.1299999999999972</v>
      </c>
      <c r="C81" s="577" t="e">
        <f t="shared" ref="C81:C141" si="42">+C80+1</f>
        <v>#REF!</v>
      </c>
      <c r="D81" s="501" t="s">
        <v>1018</v>
      </c>
      <c r="E81" s="635"/>
      <c r="F81" s="636"/>
      <c r="G81" s="564" t="s">
        <v>13</v>
      </c>
      <c r="H81" s="560"/>
      <c r="I81" s="560">
        <f>+H69</f>
        <v>4.3099999999999996</v>
      </c>
      <c r="J81" s="560"/>
      <c r="K81" s="560">
        <f t="shared" si="39"/>
        <v>0</v>
      </c>
      <c r="L81" s="560">
        <f>+[193]Metrado!F75</f>
        <v>1173</v>
      </c>
      <c r="M81" s="560">
        <f>+ROUND($I81*L81,2)</f>
        <v>5055.63</v>
      </c>
      <c r="N81" s="560"/>
      <c r="O81" s="560">
        <f t="shared" si="37"/>
        <v>0</v>
      </c>
      <c r="P81" s="658">
        <f>+L81</f>
        <v>1173</v>
      </c>
      <c r="Q81" s="560">
        <f>+ROUND($I81*P81,2)</f>
        <v>5055.63</v>
      </c>
      <c r="R81" s="641"/>
      <c r="S81" s="560">
        <f t="shared" si="37"/>
        <v>0</v>
      </c>
      <c r="T81" s="641"/>
      <c r="U81" s="560">
        <f t="shared" si="38"/>
        <v>0</v>
      </c>
      <c r="V81" s="641"/>
      <c r="Y81" s="1149">
        <v>0</v>
      </c>
    </row>
    <row r="82" spans="1:25" s="547" customFormat="1" ht="21" hidden="1" customHeight="1" x14ac:dyDescent="0.25">
      <c r="B82" s="559">
        <f t="shared" si="36"/>
        <v>7.139999999999997</v>
      </c>
      <c r="C82" s="575" t="e">
        <f t="shared" si="42"/>
        <v>#REF!</v>
      </c>
      <c r="D82" s="501" t="s">
        <v>336</v>
      </c>
      <c r="E82" s="642"/>
      <c r="F82" s="643"/>
      <c r="G82" s="766" t="s">
        <v>11</v>
      </c>
      <c r="H82" s="640"/>
      <c r="I82" s="640"/>
      <c r="J82" s="633"/>
      <c r="K82" s="633">
        <f t="shared" si="39"/>
        <v>0</v>
      </c>
      <c r="L82" s="560">
        <v>0</v>
      </c>
      <c r="M82" s="560">
        <f>+ROUND($I82*L82,2)</f>
        <v>0</v>
      </c>
      <c r="N82" s="560"/>
      <c r="O82" s="560">
        <f t="shared" si="37"/>
        <v>0</v>
      </c>
      <c r="P82" s="633">
        <f>+L82</f>
        <v>0</v>
      </c>
      <c r="Q82" s="560">
        <f>+ROUND($I82*P82,2)</f>
        <v>0</v>
      </c>
      <c r="R82" s="633"/>
      <c r="S82" s="560">
        <f t="shared" si="37"/>
        <v>0</v>
      </c>
      <c r="T82" s="633"/>
      <c r="U82" s="560">
        <f t="shared" si="38"/>
        <v>0</v>
      </c>
      <c r="V82" s="633"/>
      <c r="Y82" s="1147">
        <v>0</v>
      </c>
    </row>
    <row r="83" spans="1:25" ht="21" customHeight="1" x14ac:dyDescent="0.25">
      <c r="B83" s="456"/>
      <c r="C83" s="482" t="e">
        <f t="shared" si="42"/>
        <v>#REF!</v>
      </c>
      <c r="D83" s="537"/>
      <c r="E83" s="538"/>
      <c r="F83" s="533" t="str">
        <f>+"SUB-TOTAL   "&amp;B68&amp;":  "</f>
        <v xml:space="preserve">SUB-TOTAL   7:  </v>
      </c>
      <c r="G83" s="440"/>
      <c r="H83" s="449"/>
      <c r="I83" s="449"/>
      <c r="J83" s="449"/>
      <c r="K83" s="451">
        <f>+SUM(K69:K82)</f>
        <v>22349.819999999996</v>
      </c>
      <c r="L83" s="540"/>
      <c r="M83" s="451">
        <f>+SUM(M69:M82)</f>
        <v>25775.52</v>
      </c>
      <c r="N83" s="451"/>
      <c r="O83" s="451">
        <f>+SUM(O69:O82)</f>
        <v>3007.6299999999997</v>
      </c>
      <c r="P83" s="451"/>
      <c r="Q83" s="451">
        <f>+SUM(Q69:Q82)</f>
        <v>5055.63</v>
      </c>
      <c r="R83" s="451"/>
      <c r="S83" s="451">
        <f>+SUM(S69:S82)</f>
        <v>4637.5600000000004</v>
      </c>
      <c r="T83" s="451"/>
      <c r="U83" s="451">
        <f>+SUM(U69:U82)</f>
        <v>0</v>
      </c>
      <c r="V83" s="451"/>
      <c r="W83" s="660">
        <f>+K83-M83+O83+Q83-S83</f>
        <v>0</v>
      </c>
      <c r="Y83" s="1147">
        <v>0</v>
      </c>
    </row>
    <row r="84" spans="1:25" ht="21" customHeight="1" x14ac:dyDescent="0.25">
      <c r="B84" s="452">
        <f>+B68+1</f>
        <v>8</v>
      </c>
      <c r="C84" s="482" t="e">
        <f t="shared" si="42"/>
        <v>#REF!</v>
      </c>
      <c r="D84" s="453" t="s">
        <v>58</v>
      </c>
      <c r="E84" s="445"/>
      <c r="F84" s="446"/>
      <c r="G84" s="440"/>
      <c r="H84" s="438"/>
      <c r="I84" s="438"/>
      <c r="J84" s="438"/>
      <c r="K84" s="438"/>
      <c r="L84" s="756"/>
      <c r="M84" s="438"/>
      <c r="N84" s="438"/>
      <c r="O84" s="438"/>
      <c r="P84" s="438"/>
      <c r="Q84" s="438"/>
      <c r="R84" s="438"/>
      <c r="S84" s="438"/>
      <c r="T84" s="438"/>
      <c r="U84" s="438"/>
      <c r="V84" s="457"/>
      <c r="Y84" s="1147">
        <v>0</v>
      </c>
    </row>
    <row r="85" spans="1:25" ht="21" customHeight="1" x14ac:dyDescent="0.25">
      <c r="B85" s="562">
        <f>+B84+0.01</f>
        <v>8.01</v>
      </c>
      <c r="C85" s="576" t="e">
        <f t="shared" si="42"/>
        <v>#REF!</v>
      </c>
      <c r="D85" s="502" t="s">
        <v>59</v>
      </c>
      <c r="E85" s="496"/>
      <c r="F85" s="497"/>
      <c r="G85" s="530" t="s">
        <v>11</v>
      </c>
      <c r="H85" s="553">
        <v>12.36</v>
      </c>
      <c r="I85" s="553"/>
      <c r="J85" s="553">
        <v>141</v>
      </c>
      <c r="K85" s="553">
        <f t="shared" ref="K85:K113" si="43">+ROUND($H85*J85,2)</f>
        <v>1742.76</v>
      </c>
      <c r="L85" s="553">
        <f>+[193]Metrado!F79</f>
        <v>160</v>
      </c>
      <c r="M85" s="553">
        <f t="shared" ref="M85:S100" si="44">+ROUND($H85*L85,2)</f>
        <v>1977.6</v>
      </c>
      <c r="N85" s="553">
        <f>+IF($L85-$J85&gt;=0,$L85-$J85,0)</f>
        <v>19</v>
      </c>
      <c r="O85" s="553">
        <f t="shared" si="44"/>
        <v>234.84</v>
      </c>
      <c r="P85" s="553"/>
      <c r="Q85" s="553">
        <f t="shared" si="44"/>
        <v>0</v>
      </c>
      <c r="R85" s="553">
        <f>+IF($L85-$J85&lt;=0,-$L85+$J85,0)</f>
        <v>0</v>
      </c>
      <c r="S85" s="553">
        <f t="shared" si="44"/>
        <v>0</v>
      </c>
      <c r="T85" s="553"/>
      <c r="U85" s="553">
        <f t="shared" ref="U85:U100" si="45">+ROUND($H85*T85,2)</f>
        <v>0</v>
      </c>
      <c r="V85" s="553"/>
      <c r="Y85" s="1147">
        <v>0</v>
      </c>
    </row>
    <row r="86" spans="1:25" ht="21" customHeight="1" x14ac:dyDescent="0.25">
      <c r="B86" s="562">
        <f t="shared" ref="B86:B100" si="46">+B85+0.01</f>
        <v>8.02</v>
      </c>
      <c r="C86" s="576" t="e">
        <f t="shared" si="42"/>
        <v>#REF!</v>
      </c>
      <c r="D86" s="502" t="s">
        <v>337</v>
      </c>
      <c r="E86" s="496"/>
      <c r="F86" s="497"/>
      <c r="G86" s="530" t="s">
        <v>11</v>
      </c>
      <c r="H86" s="553">
        <v>14.34</v>
      </c>
      <c r="I86" s="553"/>
      <c r="J86" s="553">
        <v>22</v>
      </c>
      <c r="K86" s="553">
        <f t="shared" ref="K86:K100" si="47">+ROUND($H86*J86,2)</f>
        <v>315.48</v>
      </c>
      <c r="L86" s="553">
        <f>+[193]Metrado!F80</f>
        <v>22</v>
      </c>
      <c r="M86" s="553">
        <f t="shared" si="44"/>
        <v>315.48</v>
      </c>
      <c r="N86" s="553">
        <f t="shared" ref="N86:N98" si="48">+IF($L86-$J86&gt;=0,$L86-$J86,0)</f>
        <v>0</v>
      </c>
      <c r="O86" s="553">
        <f t="shared" si="44"/>
        <v>0</v>
      </c>
      <c r="P86" s="553"/>
      <c r="Q86" s="553">
        <f t="shared" si="44"/>
        <v>0</v>
      </c>
      <c r="R86" s="553">
        <f t="shared" ref="R86:R98" si="49">+IF($L86-$J86&lt;=0,-$L86+$J86,0)</f>
        <v>0</v>
      </c>
      <c r="S86" s="553">
        <f t="shared" si="44"/>
        <v>0</v>
      </c>
      <c r="T86" s="553"/>
      <c r="U86" s="553">
        <f t="shared" si="45"/>
        <v>0</v>
      </c>
      <c r="V86" s="553"/>
      <c r="Y86" s="1147">
        <v>0</v>
      </c>
    </row>
    <row r="87" spans="1:25" ht="21" customHeight="1" x14ac:dyDescent="0.25">
      <c r="B87" s="562">
        <f t="shared" si="46"/>
        <v>8.0299999999999994</v>
      </c>
      <c r="C87" s="576" t="e">
        <f t="shared" si="42"/>
        <v>#REF!</v>
      </c>
      <c r="D87" s="502" t="s">
        <v>338</v>
      </c>
      <c r="E87" s="503"/>
      <c r="F87" s="504"/>
      <c r="G87" s="530" t="s">
        <v>11</v>
      </c>
      <c r="H87" s="553">
        <v>5.57</v>
      </c>
      <c r="I87" s="553"/>
      <c r="J87" s="553">
        <v>248</v>
      </c>
      <c r="K87" s="553">
        <f t="shared" si="47"/>
        <v>1381.36</v>
      </c>
      <c r="L87" s="553">
        <f>+[193]Metrado!F81</f>
        <v>126</v>
      </c>
      <c r="M87" s="553">
        <f t="shared" si="44"/>
        <v>701.82</v>
      </c>
      <c r="N87" s="553">
        <f t="shared" si="48"/>
        <v>0</v>
      </c>
      <c r="O87" s="553">
        <f t="shared" si="44"/>
        <v>0</v>
      </c>
      <c r="P87" s="563"/>
      <c r="Q87" s="553">
        <f t="shared" si="44"/>
        <v>0</v>
      </c>
      <c r="R87" s="553">
        <f t="shared" si="49"/>
        <v>122</v>
      </c>
      <c r="S87" s="553">
        <f t="shared" si="44"/>
        <v>679.54</v>
      </c>
      <c r="T87" s="563"/>
      <c r="U87" s="553">
        <f t="shared" si="45"/>
        <v>0</v>
      </c>
      <c r="V87" s="563"/>
      <c r="Y87" s="1147">
        <v>0</v>
      </c>
    </row>
    <row r="88" spans="1:25" s="458" customFormat="1" ht="21" customHeight="1" x14ac:dyDescent="0.25">
      <c r="A88" s="414"/>
      <c r="B88" s="562">
        <f t="shared" si="46"/>
        <v>8.0399999999999991</v>
      </c>
      <c r="C88" s="576" t="e">
        <f t="shared" si="42"/>
        <v>#REF!</v>
      </c>
      <c r="D88" s="502" t="s">
        <v>339</v>
      </c>
      <c r="E88" s="503"/>
      <c r="F88" s="504"/>
      <c r="G88" s="530" t="s">
        <v>11</v>
      </c>
      <c r="H88" s="553">
        <v>6.25</v>
      </c>
      <c r="I88" s="553"/>
      <c r="J88" s="553">
        <v>50</v>
      </c>
      <c r="K88" s="553">
        <f t="shared" si="47"/>
        <v>312.5</v>
      </c>
      <c r="L88" s="553">
        <f>+[193]Metrado!F82</f>
        <v>16</v>
      </c>
      <c r="M88" s="553">
        <f t="shared" si="44"/>
        <v>100</v>
      </c>
      <c r="N88" s="553">
        <f t="shared" si="48"/>
        <v>0</v>
      </c>
      <c r="O88" s="553">
        <f t="shared" si="44"/>
        <v>0</v>
      </c>
      <c r="P88" s="563"/>
      <c r="Q88" s="553">
        <f t="shared" si="44"/>
        <v>0</v>
      </c>
      <c r="R88" s="553">
        <f t="shared" si="49"/>
        <v>34</v>
      </c>
      <c r="S88" s="553">
        <f t="shared" si="44"/>
        <v>212.5</v>
      </c>
      <c r="T88" s="563"/>
      <c r="U88" s="553">
        <f t="shared" si="45"/>
        <v>0</v>
      </c>
      <c r="V88" s="563"/>
      <c r="Y88" s="1147">
        <v>0</v>
      </c>
    </row>
    <row r="89" spans="1:25" ht="21" customHeight="1" x14ac:dyDescent="0.25">
      <c r="B89" s="562">
        <f t="shared" si="46"/>
        <v>8.0499999999999989</v>
      </c>
      <c r="C89" s="576" t="e">
        <f t="shared" si="42"/>
        <v>#REF!</v>
      </c>
      <c r="D89" s="502" t="s">
        <v>15</v>
      </c>
      <c r="E89" s="503"/>
      <c r="F89" s="504"/>
      <c r="G89" s="530" t="s">
        <v>11</v>
      </c>
      <c r="H89" s="553">
        <v>13.11</v>
      </c>
      <c r="I89" s="553"/>
      <c r="J89" s="553">
        <v>127</v>
      </c>
      <c r="K89" s="553">
        <f t="shared" si="47"/>
        <v>1664.97</v>
      </c>
      <c r="L89" s="553">
        <f>+[193]Metrado!F83</f>
        <v>158</v>
      </c>
      <c r="M89" s="553">
        <f t="shared" si="44"/>
        <v>2071.38</v>
      </c>
      <c r="N89" s="553">
        <f t="shared" si="48"/>
        <v>31</v>
      </c>
      <c r="O89" s="553">
        <f t="shared" si="44"/>
        <v>406.41</v>
      </c>
      <c r="P89" s="563"/>
      <c r="Q89" s="553">
        <f t="shared" si="44"/>
        <v>0</v>
      </c>
      <c r="R89" s="553">
        <f t="shared" si="49"/>
        <v>0</v>
      </c>
      <c r="S89" s="553">
        <f t="shared" si="44"/>
        <v>0</v>
      </c>
      <c r="T89" s="563"/>
      <c r="U89" s="553">
        <f t="shared" si="45"/>
        <v>0</v>
      </c>
      <c r="V89" s="563"/>
      <c r="Y89" s="1147">
        <v>0</v>
      </c>
    </row>
    <row r="90" spans="1:25" ht="21" customHeight="1" x14ac:dyDescent="0.25">
      <c r="B90" s="562">
        <f t="shared" si="46"/>
        <v>8.0599999999999987</v>
      </c>
      <c r="C90" s="576" t="e">
        <f t="shared" si="42"/>
        <v>#REF!</v>
      </c>
      <c r="D90" s="502" t="s">
        <v>60</v>
      </c>
      <c r="E90" s="503"/>
      <c r="F90" s="504"/>
      <c r="G90" s="530" t="s">
        <v>11</v>
      </c>
      <c r="H90" s="553">
        <v>14.35</v>
      </c>
      <c r="I90" s="553"/>
      <c r="J90" s="553">
        <v>33</v>
      </c>
      <c r="K90" s="553">
        <f t="shared" si="47"/>
        <v>473.55</v>
      </c>
      <c r="L90" s="553">
        <f>+[193]Metrado!F84</f>
        <v>38</v>
      </c>
      <c r="M90" s="553">
        <f t="shared" si="44"/>
        <v>545.29999999999995</v>
      </c>
      <c r="N90" s="553">
        <f t="shared" si="48"/>
        <v>5</v>
      </c>
      <c r="O90" s="553">
        <f t="shared" si="44"/>
        <v>71.75</v>
      </c>
      <c r="P90" s="563"/>
      <c r="Q90" s="553">
        <f t="shared" si="44"/>
        <v>0</v>
      </c>
      <c r="R90" s="553">
        <f t="shared" si="49"/>
        <v>0</v>
      </c>
      <c r="S90" s="553">
        <f t="shared" si="44"/>
        <v>0</v>
      </c>
      <c r="T90" s="563"/>
      <c r="U90" s="553">
        <f t="shared" si="45"/>
        <v>0</v>
      </c>
      <c r="V90" s="563"/>
      <c r="Y90" s="1147">
        <v>0</v>
      </c>
    </row>
    <row r="91" spans="1:25" ht="21" customHeight="1" x14ac:dyDescent="0.25">
      <c r="B91" s="562">
        <f t="shared" si="46"/>
        <v>8.0699999999999985</v>
      </c>
      <c r="C91" s="576" t="e">
        <f t="shared" si="42"/>
        <v>#REF!</v>
      </c>
      <c r="D91" s="502" t="s">
        <v>16</v>
      </c>
      <c r="E91" s="496"/>
      <c r="F91" s="497"/>
      <c r="G91" s="530" t="s">
        <v>11</v>
      </c>
      <c r="H91" s="553">
        <v>11.17</v>
      </c>
      <c r="I91" s="553"/>
      <c r="J91" s="553">
        <v>58</v>
      </c>
      <c r="K91" s="553">
        <f t="shared" si="47"/>
        <v>647.86</v>
      </c>
      <c r="L91" s="553">
        <f>+[193]Metrado!F85</f>
        <v>100</v>
      </c>
      <c r="M91" s="553">
        <f t="shared" si="44"/>
        <v>1117</v>
      </c>
      <c r="N91" s="553">
        <f t="shared" si="48"/>
        <v>42</v>
      </c>
      <c r="O91" s="553">
        <f t="shared" si="44"/>
        <v>469.14</v>
      </c>
      <c r="P91" s="553"/>
      <c r="Q91" s="553">
        <f t="shared" si="44"/>
        <v>0</v>
      </c>
      <c r="R91" s="553">
        <f t="shared" si="49"/>
        <v>0</v>
      </c>
      <c r="S91" s="553">
        <f t="shared" si="44"/>
        <v>0</v>
      </c>
      <c r="T91" s="553"/>
      <c r="U91" s="553">
        <f t="shared" si="45"/>
        <v>0</v>
      </c>
      <c r="V91" s="553"/>
      <c r="Y91" s="1147">
        <v>0</v>
      </c>
    </row>
    <row r="92" spans="1:25" ht="21" customHeight="1" x14ac:dyDescent="0.25">
      <c r="B92" s="554">
        <f t="shared" si="46"/>
        <v>8.0799999999999983</v>
      </c>
      <c r="C92" s="584" t="e">
        <f t="shared" si="42"/>
        <v>#REF!</v>
      </c>
      <c r="D92" s="495" t="s">
        <v>19</v>
      </c>
      <c r="E92" s="534"/>
      <c r="F92" s="535"/>
      <c r="G92" s="530" t="s">
        <v>13</v>
      </c>
      <c r="H92" s="553">
        <v>6.02</v>
      </c>
      <c r="I92" s="553"/>
      <c r="J92" s="553">
        <v>2</v>
      </c>
      <c r="K92" s="553">
        <f t="shared" si="47"/>
        <v>12.04</v>
      </c>
      <c r="L92" s="553">
        <f>+[193]Metrado!F86</f>
        <v>9</v>
      </c>
      <c r="M92" s="553">
        <f t="shared" si="44"/>
        <v>54.18</v>
      </c>
      <c r="N92" s="553">
        <f t="shared" si="48"/>
        <v>7</v>
      </c>
      <c r="O92" s="553">
        <f t="shared" si="44"/>
        <v>42.14</v>
      </c>
      <c r="P92" s="553"/>
      <c r="Q92" s="553">
        <f t="shared" si="44"/>
        <v>0</v>
      </c>
      <c r="R92" s="553">
        <f t="shared" si="49"/>
        <v>0</v>
      </c>
      <c r="S92" s="553">
        <f t="shared" si="44"/>
        <v>0</v>
      </c>
      <c r="T92" s="557"/>
      <c r="U92" s="553">
        <f t="shared" si="45"/>
        <v>0</v>
      </c>
      <c r="V92" s="557"/>
      <c r="Y92" s="1147">
        <v>0</v>
      </c>
    </row>
    <row r="93" spans="1:25" ht="21" customHeight="1" x14ac:dyDescent="0.25">
      <c r="B93" s="562">
        <f t="shared" si="46"/>
        <v>8.0899999999999981</v>
      </c>
      <c r="C93" s="576" t="e">
        <f t="shared" si="42"/>
        <v>#REF!</v>
      </c>
      <c r="D93" s="505" t="s">
        <v>340</v>
      </c>
      <c r="E93" s="498"/>
      <c r="F93" s="499"/>
      <c r="G93" s="530" t="s">
        <v>11</v>
      </c>
      <c r="H93" s="553">
        <v>1.63</v>
      </c>
      <c r="I93" s="553"/>
      <c r="J93" s="553">
        <v>296</v>
      </c>
      <c r="K93" s="553">
        <f t="shared" si="47"/>
        <v>482.48</v>
      </c>
      <c r="L93" s="553">
        <f>+[193]Metrado!F87</f>
        <v>80</v>
      </c>
      <c r="M93" s="553">
        <f t="shared" si="44"/>
        <v>130.4</v>
      </c>
      <c r="N93" s="553">
        <f t="shared" si="48"/>
        <v>0</v>
      </c>
      <c r="O93" s="553">
        <f t="shared" si="44"/>
        <v>0</v>
      </c>
      <c r="P93" s="557"/>
      <c r="Q93" s="553">
        <f t="shared" si="44"/>
        <v>0</v>
      </c>
      <c r="R93" s="553">
        <f t="shared" si="49"/>
        <v>216</v>
      </c>
      <c r="S93" s="553">
        <f t="shared" si="44"/>
        <v>352.08</v>
      </c>
      <c r="T93" s="553">
        <f>+N94</f>
        <v>97</v>
      </c>
      <c r="U93" s="553">
        <f t="shared" si="45"/>
        <v>158.11000000000001</v>
      </c>
      <c r="V93" s="553" t="s">
        <v>896</v>
      </c>
      <c r="Y93" s="1147">
        <v>0</v>
      </c>
    </row>
    <row r="94" spans="1:25" ht="21" customHeight="1" x14ac:dyDescent="0.25">
      <c r="B94" s="562">
        <f t="shared" si="46"/>
        <v>8.0999999999999979</v>
      </c>
      <c r="C94" s="576" t="e">
        <f t="shared" si="42"/>
        <v>#REF!</v>
      </c>
      <c r="D94" s="502" t="s">
        <v>335</v>
      </c>
      <c r="E94" s="506"/>
      <c r="F94" s="507"/>
      <c r="G94" s="530" t="s">
        <v>11</v>
      </c>
      <c r="H94" s="553">
        <v>1.67</v>
      </c>
      <c r="I94" s="553"/>
      <c r="J94" s="553">
        <v>483</v>
      </c>
      <c r="K94" s="553">
        <f t="shared" si="47"/>
        <v>806.61</v>
      </c>
      <c r="L94" s="553">
        <f>+[193]Metrado!F88</f>
        <v>580</v>
      </c>
      <c r="M94" s="553">
        <f t="shared" si="44"/>
        <v>968.6</v>
      </c>
      <c r="N94" s="553">
        <f t="shared" si="48"/>
        <v>97</v>
      </c>
      <c r="O94" s="553">
        <f t="shared" si="44"/>
        <v>161.99</v>
      </c>
      <c r="P94" s="553"/>
      <c r="Q94" s="553">
        <f t="shared" si="44"/>
        <v>0</v>
      </c>
      <c r="R94" s="553">
        <f t="shared" si="49"/>
        <v>0</v>
      </c>
      <c r="S94" s="553">
        <f t="shared" si="44"/>
        <v>0</v>
      </c>
      <c r="T94" s="553"/>
      <c r="U94" s="553">
        <f t="shared" si="45"/>
        <v>0</v>
      </c>
      <c r="V94" s="553"/>
      <c r="Y94" s="1147">
        <v>0</v>
      </c>
    </row>
    <row r="95" spans="1:25" ht="21" customHeight="1" x14ac:dyDescent="0.25">
      <c r="B95" s="562">
        <f t="shared" si="46"/>
        <v>8.1099999999999977</v>
      </c>
      <c r="C95" s="576" t="e">
        <f t="shared" si="42"/>
        <v>#REF!</v>
      </c>
      <c r="D95" s="502" t="s">
        <v>341</v>
      </c>
      <c r="E95" s="506"/>
      <c r="F95" s="508"/>
      <c r="G95" s="530" t="s">
        <v>11</v>
      </c>
      <c r="H95" s="553">
        <v>133.02000000000001</v>
      </c>
      <c r="I95" s="553"/>
      <c r="J95" s="553">
        <v>2</v>
      </c>
      <c r="K95" s="553">
        <f t="shared" si="47"/>
        <v>266.04000000000002</v>
      </c>
      <c r="L95" s="553">
        <f>+[193]Metrado!F89</f>
        <v>9</v>
      </c>
      <c r="M95" s="553">
        <f t="shared" si="44"/>
        <v>1197.18</v>
      </c>
      <c r="N95" s="553">
        <f t="shared" si="48"/>
        <v>7</v>
      </c>
      <c r="O95" s="553">
        <f t="shared" si="44"/>
        <v>931.14</v>
      </c>
      <c r="P95" s="586"/>
      <c r="Q95" s="553">
        <f t="shared" si="44"/>
        <v>0</v>
      </c>
      <c r="R95" s="553">
        <f t="shared" si="49"/>
        <v>0</v>
      </c>
      <c r="S95" s="553">
        <f t="shared" si="44"/>
        <v>0</v>
      </c>
      <c r="T95" s="586"/>
      <c r="U95" s="553">
        <f t="shared" si="45"/>
        <v>0</v>
      </c>
      <c r="V95" s="586"/>
      <c r="Y95" s="1147">
        <v>0</v>
      </c>
    </row>
    <row r="96" spans="1:25" ht="21" customHeight="1" x14ac:dyDescent="0.25">
      <c r="B96" s="562">
        <f t="shared" si="46"/>
        <v>8.1199999999999974</v>
      </c>
      <c r="C96" s="576" t="e">
        <f t="shared" si="42"/>
        <v>#REF!</v>
      </c>
      <c r="D96" s="509" t="s">
        <v>61</v>
      </c>
      <c r="E96" s="506"/>
      <c r="F96" s="508"/>
      <c r="G96" s="530" t="s">
        <v>11</v>
      </c>
      <c r="H96" s="553">
        <v>6.63</v>
      </c>
      <c r="I96" s="553"/>
      <c r="J96" s="553">
        <v>300</v>
      </c>
      <c r="K96" s="553">
        <f t="shared" si="47"/>
        <v>1989</v>
      </c>
      <c r="L96" s="553">
        <f>+[193]Metrado!F90</f>
        <v>204</v>
      </c>
      <c r="M96" s="553">
        <f t="shared" si="44"/>
        <v>1352.52</v>
      </c>
      <c r="N96" s="553">
        <f t="shared" si="48"/>
        <v>0</v>
      </c>
      <c r="O96" s="553">
        <f t="shared" si="44"/>
        <v>0</v>
      </c>
      <c r="P96" s="587"/>
      <c r="Q96" s="553">
        <f t="shared" si="44"/>
        <v>0</v>
      </c>
      <c r="R96" s="553">
        <f t="shared" si="49"/>
        <v>96</v>
      </c>
      <c r="S96" s="553">
        <f t="shared" si="44"/>
        <v>636.48</v>
      </c>
      <c r="T96" s="587"/>
      <c r="U96" s="553">
        <f t="shared" si="45"/>
        <v>0</v>
      </c>
      <c r="V96" s="587"/>
      <c r="Y96" s="1147">
        <v>0</v>
      </c>
    </row>
    <row r="97" spans="2:25" ht="21" customHeight="1" x14ac:dyDescent="0.25">
      <c r="B97" s="554">
        <f t="shared" si="46"/>
        <v>8.1299999999999972</v>
      </c>
      <c r="C97" s="576" t="e">
        <f t="shared" si="42"/>
        <v>#REF!</v>
      </c>
      <c r="D97" s="510" t="s">
        <v>342</v>
      </c>
      <c r="E97" s="506"/>
      <c r="F97" s="508"/>
      <c r="G97" s="530" t="s">
        <v>11</v>
      </c>
      <c r="H97" s="553">
        <v>16.84</v>
      </c>
      <c r="I97" s="553"/>
      <c r="J97" s="553">
        <v>9</v>
      </c>
      <c r="K97" s="553">
        <f t="shared" si="47"/>
        <v>151.56</v>
      </c>
      <c r="L97" s="553">
        <f>+[193]Metrado!F91</f>
        <v>0</v>
      </c>
      <c r="M97" s="553">
        <f t="shared" si="44"/>
        <v>0</v>
      </c>
      <c r="N97" s="553">
        <f t="shared" si="48"/>
        <v>0</v>
      </c>
      <c r="O97" s="553">
        <f t="shared" si="44"/>
        <v>0</v>
      </c>
      <c r="P97" s="586"/>
      <c r="Q97" s="553">
        <f t="shared" si="44"/>
        <v>0</v>
      </c>
      <c r="R97" s="553">
        <f t="shared" si="49"/>
        <v>9</v>
      </c>
      <c r="S97" s="553">
        <f t="shared" si="44"/>
        <v>151.56</v>
      </c>
      <c r="T97" s="586">
        <f>+N98</f>
        <v>7</v>
      </c>
      <c r="U97" s="553">
        <f t="shared" si="45"/>
        <v>117.88</v>
      </c>
      <c r="V97" s="553" t="s">
        <v>897</v>
      </c>
      <c r="Y97" s="1147">
        <v>0</v>
      </c>
    </row>
    <row r="98" spans="2:25" ht="21" customHeight="1" x14ac:dyDescent="0.25">
      <c r="B98" s="562">
        <f t="shared" si="46"/>
        <v>8.139999999999997</v>
      </c>
      <c r="C98" s="576" t="e">
        <f t="shared" si="42"/>
        <v>#REF!</v>
      </c>
      <c r="D98" s="510" t="s">
        <v>17</v>
      </c>
      <c r="E98" s="506"/>
      <c r="F98" s="508"/>
      <c r="G98" s="530" t="s">
        <v>18</v>
      </c>
      <c r="H98" s="553">
        <v>23.08</v>
      </c>
      <c r="I98" s="553"/>
      <c r="J98" s="553">
        <v>29</v>
      </c>
      <c r="K98" s="553">
        <f t="shared" si="47"/>
        <v>669.32</v>
      </c>
      <c r="L98" s="553">
        <f>+[193]Metrado!F92</f>
        <v>36</v>
      </c>
      <c r="M98" s="553">
        <f t="shared" si="44"/>
        <v>830.88</v>
      </c>
      <c r="N98" s="553">
        <f t="shared" si="48"/>
        <v>7</v>
      </c>
      <c r="O98" s="553">
        <f t="shared" si="44"/>
        <v>161.56</v>
      </c>
      <c r="P98" s="588"/>
      <c r="Q98" s="553">
        <f t="shared" si="44"/>
        <v>0</v>
      </c>
      <c r="R98" s="553">
        <f t="shared" si="49"/>
        <v>0</v>
      </c>
      <c r="S98" s="553">
        <f t="shared" si="44"/>
        <v>0</v>
      </c>
      <c r="T98" s="588"/>
      <c r="U98" s="553">
        <f t="shared" si="45"/>
        <v>0</v>
      </c>
      <c r="V98" s="588"/>
      <c r="Y98" s="1147">
        <v>0</v>
      </c>
    </row>
    <row r="99" spans="2:25" s="547" customFormat="1" ht="21" customHeight="1" x14ac:dyDescent="0.25">
      <c r="B99" s="559">
        <f t="shared" si="46"/>
        <v>8.1499999999999968</v>
      </c>
      <c r="C99" s="577" t="e">
        <f t="shared" si="42"/>
        <v>#REF!</v>
      </c>
      <c r="D99" s="501" t="s">
        <v>343</v>
      </c>
      <c r="E99" s="644"/>
      <c r="F99" s="645"/>
      <c r="G99" s="531" t="s">
        <v>18</v>
      </c>
      <c r="H99" s="560"/>
      <c r="I99" s="640">
        <v>262.98</v>
      </c>
      <c r="J99" s="560"/>
      <c r="K99" s="560">
        <f t="shared" si="47"/>
        <v>0</v>
      </c>
      <c r="L99" s="560">
        <f>+[193]Metrado!F93</f>
        <v>3</v>
      </c>
      <c r="M99" s="560">
        <f>+ROUND($I99*L99,2)</f>
        <v>788.94</v>
      </c>
      <c r="N99" s="560"/>
      <c r="O99" s="560">
        <f t="shared" si="44"/>
        <v>0</v>
      </c>
      <c r="P99" s="560">
        <f>+L99</f>
        <v>3</v>
      </c>
      <c r="Q99" s="560">
        <f>+ROUND($I99*P99,2)</f>
        <v>788.94</v>
      </c>
      <c r="R99" s="560"/>
      <c r="S99" s="560">
        <f t="shared" si="44"/>
        <v>0</v>
      </c>
      <c r="T99" s="560"/>
      <c r="U99" s="560">
        <f t="shared" si="45"/>
        <v>0</v>
      </c>
      <c r="V99" s="560"/>
      <c r="Y99" s="1149">
        <v>0</v>
      </c>
    </row>
    <row r="100" spans="2:25" s="547" customFormat="1" ht="21" customHeight="1" x14ac:dyDescent="0.25">
      <c r="B100" s="559">
        <f t="shared" si="46"/>
        <v>8.1599999999999966</v>
      </c>
      <c r="C100" s="575" t="e">
        <f t="shared" si="42"/>
        <v>#REF!</v>
      </c>
      <c r="D100" s="501" t="s">
        <v>344</v>
      </c>
      <c r="E100" s="644"/>
      <c r="F100" s="645"/>
      <c r="G100" s="564" t="s">
        <v>11</v>
      </c>
      <c r="H100" s="640"/>
      <c r="I100" s="640">
        <f>+H87*1.2</f>
        <v>6.6840000000000002</v>
      </c>
      <c r="J100" s="640"/>
      <c r="K100" s="640">
        <f t="shared" si="47"/>
        <v>0</v>
      </c>
      <c r="L100" s="560">
        <f>+[193]Metrado!F94</f>
        <v>6</v>
      </c>
      <c r="M100" s="560">
        <f>+ROUND($I100*L100,2)</f>
        <v>40.1</v>
      </c>
      <c r="N100" s="560"/>
      <c r="O100" s="560">
        <f t="shared" si="44"/>
        <v>0</v>
      </c>
      <c r="P100" s="633">
        <f>+L100</f>
        <v>6</v>
      </c>
      <c r="Q100" s="560">
        <f>+ROUND($I100*P100,2)</f>
        <v>40.1</v>
      </c>
      <c r="R100" s="633"/>
      <c r="S100" s="560">
        <f t="shared" si="44"/>
        <v>0</v>
      </c>
      <c r="T100" s="633"/>
      <c r="U100" s="560">
        <f t="shared" si="45"/>
        <v>0</v>
      </c>
      <c r="V100" s="633"/>
      <c r="Y100" s="1149">
        <v>0</v>
      </c>
    </row>
    <row r="101" spans="2:25" ht="21" customHeight="1" x14ac:dyDescent="0.25">
      <c r="B101" s="456"/>
      <c r="C101" s="466" t="e">
        <f t="shared" si="42"/>
        <v>#REF!</v>
      </c>
      <c r="D101" s="537"/>
      <c r="E101" s="595"/>
      <c r="F101" s="544" t="str">
        <f>+"SUB-TOTAL   "&amp;B84&amp;":  "</f>
        <v xml:space="preserve">SUB-TOTAL   8:  </v>
      </c>
      <c r="G101" s="440"/>
      <c r="H101" s="540"/>
      <c r="I101" s="540"/>
      <c r="J101" s="540"/>
      <c r="K101" s="589">
        <f>+SUM(K85:K100)</f>
        <v>10915.529999999999</v>
      </c>
      <c r="L101" s="540"/>
      <c r="M101" s="589">
        <f>+SUM(M85:M100)</f>
        <v>12191.380000000001</v>
      </c>
      <c r="N101" s="589"/>
      <c r="O101" s="589">
        <f>+SUM(O85:O100)</f>
        <v>2478.9699999999998</v>
      </c>
      <c r="P101" s="589"/>
      <c r="Q101" s="589">
        <f>+SUM(Q85:Q100)</f>
        <v>829.04000000000008</v>
      </c>
      <c r="R101" s="589"/>
      <c r="S101" s="589">
        <f>+SUM(S85:S100)</f>
        <v>2032.1599999999999</v>
      </c>
      <c r="T101" s="589"/>
      <c r="U101" s="589">
        <f>+SUM(U85:U100)</f>
        <v>275.99</v>
      </c>
      <c r="V101" s="589"/>
      <c r="W101" s="660">
        <f>+K101-M101+O101+Q101-S101</f>
        <v>-2.2737367544323206E-12</v>
      </c>
      <c r="Y101" s="1147">
        <v>0</v>
      </c>
    </row>
    <row r="102" spans="2:25" ht="21" customHeight="1" x14ac:dyDescent="0.25">
      <c r="B102" s="452">
        <f>1+B84</f>
        <v>9</v>
      </c>
      <c r="C102" s="466" t="e">
        <f t="shared" si="42"/>
        <v>#REF!</v>
      </c>
      <c r="D102" s="453" t="s">
        <v>62</v>
      </c>
      <c r="E102" s="445"/>
      <c r="F102" s="446"/>
      <c r="G102" s="440"/>
      <c r="H102" s="590"/>
      <c r="I102" s="711"/>
      <c r="J102" s="591"/>
      <c r="K102" s="592"/>
      <c r="L102" s="756"/>
      <c r="M102" s="592"/>
      <c r="N102" s="590"/>
      <c r="O102" s="592"/>
      <c r="P102" s="590"/>
      <c r="Q102" s="592"/>
      <c r="R102" s="590"/>
      <c r="S102" s="592"/>
      <c r="T102" s="590"/>
      <c r="U102" s="592"/>
      <c r="V102" s="590"/>
      <c r="Y102" s="1147">
        <v>0</v>
      </c>
    </row>
    <row r="103" spans="2:25" ht="21" customHeight="1" x14ac:dyDescent="0.25">
      <c r="B103" s="562">
        <f t="shared" ref="B103:B110" si="50">+B102+0.01</f>
        <v>9.01</v>
      </c>
      <c r="C103" s="576" t="e">
        <f t="shared" si="42"/>
        <v>#REF!</v>
      </c>
      <c r="D103" s="502" t="s">
        <v>25</v>
      </c>
      <c r="E103" s="513"/>
      <c r="F103" s="499"/>
      <c r="G103" s="530" t="s">
        <v>11</v>
      </c>
      <c r="H103" s="593">
        <v>66.7</v>
      </c>
      <c r="I103" s="712"/>
      <c r="J103" s="553">
        <v>72</v>
      </c>
      <c r="K103" s="558">
        <f t="shared" si="43"/>
        <v>4802.3999999999996</v>
      </c>
      <c r="L103" s="553">
        <f>+[193]Metrado!F97</f>
        <v>76</v>
      </c>
      <c r="M103" s="558">
        <f t="shared" ref="M103:S110" si="51">+ROUND($H103*L103,2)</f>
        <v>5069.2</v>
      </c>
      <c r="N103" s="558">
        <f>+IF($L103-$J103&gt;=0,$L103-$J103,0)</f>
        <v>4</v>
      </c>
      <c r="O103" s="558">
        <f t="shared" si="51"/>
        <v>266.8</v>
      </c>
      <c r="P103" s="593"/>
      <c r="Q103" s="558">
        <f t="shared" si="51"/>
        <v>0</v>
      </c>
      <c r="R103" s="553">
        <f>+IF($L103-$J103&lt;=0,-$L103+$J103,0)</f>
        <v>0</v>
      </c>
      <c r="S103" s="558">
        <f t="shared" si="51"/>
        <v>0</v>
      </c>
      <c r="T103" s="593"/>
      <c r="U103" s="558">
        <f t="shared" ref="U103:U110" si="52">+ROUND($H103*T103,2)</f>
        <v>0</v>
      </c>
      <c r="V103" s="593"/>
      <c r="Y103" s="1147">
        <v>0</v>
      </c>
    </row>
    <row r="104" spans="2:25" ht="21" customHeight="1" x14ac:dyDescent="0.25">
      <c r="B104" s="562">
        <f t="shared" si="50"/>
        <v>9.02</v>
      </c>
      <c r="C104" s="576" t="e">
        <f t="shared" si="42"/>
        <v>#REF!</v>
      </c>
      <c r="D104" s="502" t="s">
        <v>345</v>
      </c>
      <c r="E104" s="514"/>
      <c r="F104" s="515"/>
      <c r="G104" s="530" t="s">
        <v>11</v>
      </c>
      <c r="H104" s="553">
        <v>7.89</v>
      </c>
      <c r="I104" s="553"/>
      <c r="J104" s="553">
        <v>72</v>
      </c>
      <c r="K104" s="558">
        <f t="shared" si="43"/>
        <v>568.08000000000004</v>
      </c>
      <c r="L104" s="553">
        <f>+[193]Metrado!F98</f>
        <v>22</v>
      </c>
      <c r="M104" s="558">
        <f t="shared" si="51"/>
        <v>173.58</v>
      </c>
      <c r="N104" s="558">
        <f t="shared" ref="N104:N109" si="53">+IF($L104-$J104&gt;=0,$L104-$J104,0)</f>
        <v>0</v>
      </c>
      <c r="O104" s="558">
        <f t="shared" si="51"/>
        <v>0</v>
      </c>
      <c r="P104" s="553"/>
      <c r="Q104" s="558">
        <f t="shared" si="51"/>
        <v>0</v>
      </c>
      <c r="R104" s="553">
        <f t="shared" ref="R104:R109" si="54">+IF($L104-$J104&lt;=0,-$L104+$J104,0)</f>
        <v>50</v>
      </c>
      <c r="S104" s="558">
        <f t="shared" si="51"/>
        <v>394.5</v>
      </c>
      <c r="T104" s="553"/>
      <c r="U104" s="558">
        <f t="shared" si="52"/>
        <v>0</v>
      </c>
      <c r="V104" s="553"/>
      <c r="Y104" s="1147">
        <v>0</v>
      </c>
    </row>
    <row r="105" spans="2:25" ht="21" customHeight="1" x14ac:dyDescent="0.25">
      <c r="B105" s="562">
        <f t="shared" si="50"/>
        <v>9.0299999999999994</v>
      </c>
      <c r="C105" s="576" t="e">
        <f t="shared" si="42"/>
        <v>#REF!</v>
      </c>
      <c r="D105" s="502" t="s">
        <v>346</v>
      </c>
      <c r="E105" s="496"/>
      <c r="F105" s="497"/>
      <c r="G105" s="530" t="s">
        <v>11</v>
      </c>
      <c r="H105" s="553">
        <v>6.94</v>
      </c>
      <c r="I105" s="553"/>
      <c r="J105" s="553">
        <v>72</v>
      </c>
      <c r="K105" s="558">
        <f t="shared" si="43"/>
        <v>499.68</v>
      </c>
      <c r="L105" s="553">
        <f>+[193]Metrado!F99</f>
        <v>76</v>
      </c>
      <c r="M105" s="558">
        <f t="shared" si="51"/>
        <v>527.44000000000005</v>
      </c>
      <c r="N105" s="558">
        <f t="shared" si="53"/>
        <v>4</v>
      </c>
      <c r="O105" s="558">
        <f t="shared" si="51"/>
        <v>27.76</v>
      </c>
      <c r="P105" s="553"/>
      <c r="Q105" s="558">
        <f t="shared" si="51"/>
        <v>0</v>
      </c>
      <c r="R105" s="553">
        <f t="shared" si="54"/>
        <v>0</v>
      </c>
      <c r="S105" s="558">
        <f t="shared" si="51"/>
        <v>0</v>
      </c>
      <c r="T105" s="553"/>
      <c r="U105" s="558">
        <f t="shared" si="52"/>
        <v>0</v>
      </c>
      <c r="V105" s="553"/>
      <c r="Y105" s="1147">
        <v>0</v>
      </c>
    </row>
    <row r="106" spans="2:25" ht="21" customHeight="1" x14ac:dyDescent="0.25">
      <c r="B106" s="562">
        <f t="shared" si="50"/>
        <v>9.0399999999999991</v>
      </c>
      <c r="C106" s="576" t="e">
        <f t="shared" si="42"/>
        <v>#REF!</v>
      </c>
      <c r="D106" s="502" t="s">
        <v>347</v>
      </c>
      <c r="E106" s="496"/>
      <c r="F106" s="497"/>
      <c r="G106" s="530" t="s">
        <v>11</v>
      </c>
      <c r="H106" s="553">
        <v>0.47</v>
      </c>
      <c r="I106" s="553"/>
      <c r="J106" s="553">
        <v>60</v>
      </c>
      <c r="K106" s="558">
        <f t="shared" si="43"/>
        <v>28.2</v>
      </c>
      <c r="L106" s="553">
        <f>+[193]Metrado!F100</f>
        <v>0</v>
      </c>
      <c r="M106" s="558">
        <f t="shared" si="51"/>
        <v>0</v>
      </c>
      <c r="N106" s="558">
        <f t="shared" si="53"/>
        <v>0</v>
      </c>
      <c r="O106" s="558">
        <f t="shared" si="51"/>
        <v>0</v>
      </c>
      <c r="P106" s="553"/>
      <c r="Q106" s="558">
        <f t="shared" si="51"/>
        <v>0</v>
      </c>
      <c r="R106" s="553">
        <f t="shared" si="54"/>
        <v>60</v>
      </c>
      <c r="S106" s="558">
        <f t="shared" si="51"/>
        <v>28.2</v>
      </c>
      <c r="T106" s="553"/>
      <c r="U106" s="558">
        <f t="shared" si="52"/>
        <v>0</v>
      </c>
      <c r="V106" s="553"/>
      <c r="Y106" s="1147">
        <v>0</v>
      </c>
    </row>
    <row r="107" spans="2:25" ht="21" customHeight="1" x14ac:dyDescent="0.25">
      <c r="B107" s="562">
        <f t="shared" si="50"/>
        <v>9.0499999999999989</v>
      </c>
      <c r="C107" s="576" t="e">
        <f t="shared" si="42"/>
        <v>#REF!</v>
      </c>
      <c r="D107" s="502" t="s">
        <v>348</v>
      </c>
      <c r="E107" s="496"/>
      <c r="F107" s="497"/>
      <c r="G107" s="530" t="s">
        <v>11</v>
      </c>
      <c r="H107" s="553">
        <v>27.35</v>
      </c>
      <c r="I107" s="553"/>
      <c r="J107" s="553">
        <v>3</v>
      </c>
      <c r="K107" s="558">
        <f t="shared" si="43"/>
        <v>82.05</v>
      </c>
      <c r="L107" s="553">
        <f>+[193]Metrado!F101</f>
        <v>0</v>
      </c>
      <c r="M107" s="558">
        <f t="shared" si="51"/>
        <v>0</v>
      </c>
      <c r="N107" s="558">
        <f t="shared" si="53"/>
        <v>0</v>
      </c>
      <c r="O107" s="558">
        <f t="shared" si="51"/>
        <v>0</v>
      </c>
      <c r="P107" s="553"/>
      <c r="Q107" s="558">
        <f t="shared" si="51"/>
        <v>0</v>
      </c>
      <c r="R107" s="553">
        <f t="shared" si="54"/>
        <v>3</v>
      </c>
      <c r="S107" s="558">
        <f t="shared" si="51"/>
        <v>82.05</v>
      </c>
      <c r="T107" s="553"/>
      <c r="U107" s="558">
        <f t="shared" si="52"/>
        <v>0</v>
      </c>
      <c r="V107" s="553"/>
      <c r="Y107" s="1147">
        <v>0</v>
      </c>
    </row>
    <row r="108" spans="2:25" ht="21" customHeight="1" x14ac:dyDescent="0.25">
      <c r="B108" s="562">
        <f t="shared" si="50"/>
        <v>9.0599999999999987</v>
      </c>
      <c r="C108" s="576" t="e">
        <f t="shared" si="42"/>
        <v>#REF!</v>
      </c>
      <c r="D108" s="502" t="s">
        <v>26</v>
      </c>
      <c r="E108" s="496"/>
      <c r="F108" s="497"/>
      <c r="G108" s="530" t="s">
        <v>11</v>
      </c>
      <c r="H108" s="553">
        <v>16.25</v>
      </c>
      <c r="I108" s="553"/>
      <c r="J108" s="553">
        <v>72</v>
      </c>
      <c r="K108" s="558">
        <f t="shared" si="43"/>
        <v>1170</v>
      </c>
      <c r="L108" s="553">
        <f>+[193]Metrado!F102</f>
        <v>15</v>
      </c>
      <c r="M108" s="558">
        <f t="shared" si="51"/>
        <v>243.75</v>
      </c>
      <c r="N108" s="558">
        <f t="shared" si="53"/>
        <v>0</v>
      </c>
      <c r="O108" s="558">
        <f t="shared" si="51"/>
        <v>0</v>
      </c>
      <c r="P108" s="553"/>
      <c r="Q108" s="558">
        <f t="shared" si="51"/>
        <v>0</v>
      </c>
      <c r="R108" s="553">
        <f t="shared" si="54"/>
        <v>57</v>
      </c>
      <c r="S108" s="558">
        <f t="shared" si="51"/>
        <v>926.25</v>
      </c>
      <c r="T108" s="553"/>
      <c r="U108" s="558">
        <f t="shared" si="52"/>
        <v>0</v>
      </c>
      <c r="V108" s="553"/>
      <c r="Y108" s="1147">
        <v>0</v>
      </c>
    </row>
    <row r="109" spans="2:25" ht="21" customHeight="1" x14ac:dyDescent="0.25">
      <c r="B109" s="562">
        <f t="shared" si="50"/>
        <v>9.0699999999999985</v>
      </c>
      <c r="C109" s="576" t="e">
        <f t="shared" si="42"/>
        <v>#REF!</v>
      </c>
      <c r="D109" s="502" t="s">
        <v>349</v>
      </c>
      <c r="E109" s="496"/>
      <c r="F109" s="497"/>
      <c r="G109" s="530" t="s">
        <v>11</v>
      </c>
      <c r="H109" s="553">
        <v>2.39</v>
      </c>
      <c r="I109" s="553"/>
      <c r="J109" s="553">
        <v>68</v>
      </c>
      <c r="K109" s="558">
        <f t="shared" ref="K109:K110" si="55">+ROUND($H109*J109,2)</f>
        <v>162.52000000000001</v>
      </c>
      <c r="L109" s="553">
        <f>+[193]Metrado!F103</f>
        <v>76</v>
      </c>
      <c r="M109" s="558">
        <f t="shared" si="51"/>
        <v>181.64</v>
      </c>
      <c r="N109" s="558">
        <f t="shared" si="53"/>
        <v>8</v>
      </c>
      <c r="O109" s="558">
        <f t="shared" si="51"/>
        <v>19.12</v>
      </c>
      <c r="P109" s="553"/>
      <c r="Q109" s="558">
        <f t="shared" si="51"/>
        <v>0</v>
      </c>
      <c r="R109" s="553">
        <f t="shared" si="54"/>
        <v>0</v>
      </c>
      <c r="S109" s="558">
        <f t="shared" si="51"/>
        <v>0</v>
      </c>
      <c r="T109" s="553"/>
      <c r="U109" s="558">
        <f t="shared" si="52"/>
        <v>0</v>
      </c>
      <c r="V109" s="553"/>
      <c r="Y109" s="1147">
        <v>0</v>
      </c>
    </row>
    <row r="110" spans="2:25" s="547" customFormat="1" ht="21" customHeight="1" x14ac:dyDescent="0.25">
      <c r="B110" s="559">
        <f t="shared" si="50"/>
        <v>9.0799999999999983</v>
      </c>
      <c r="C110" s="575" t="e">
        <f t="shared" si="42"/>
        <v>#REF!</v>
      </c>
      <c r="D110" s="501" t="s">
        <v>350</v>
      </c>
      <c r="E110" s="646"/>
      <c r="F110" s="636"/>
      <c r="G110" s="596" t="s">
        <v>11</v>
      </c>
      <c r="H110" s="640"/>
      <c r="I110" s="640">
        <v>30</v>
      </c>
      <c r="J110" s="640"/>
      <c r="K110" s="647">
        <f t="shared" si="55"/>
        <v>0</v>
      </c>
      <c r="L110" s="560">
        <f>+[193]Metrado!F104</f>
        <v>228</v>
      </c>
      <c r="M110" s="647">
        <f>+ROUND($I110*L110,2)</f>
        <v>6840</v>
      </c>
      <c r="N110" s="561"/>
      <c r="O110" s="561">
        <f t="shared" si="51"/>
        <v>0</v>
      </c>
      <c r="P110" s="659">
        <f>+L110</f>
        <v>228</v>
      </c>
      <c r="Q110" s="647">
        <f>+ROUND($I110*P110,2)</f>
        <v>6840</v>
      </c>
      <c r="R110" s="648"/>
      <c r="S110" s="561">
        <f t="shared" si="51"/>
        <v>0</v>
      </c>
      <c r="T110" s="648"/>
      <c r="U110" s="561">
        <f t="shared" si="52"/>
        <v>0</v>
      </c>
      <c r="V110" s="648"/>
      <c r="Y110" s="1149">
        <v>0</v>
      </c>
    </row>
    <row r="111" spans="2:25" ht="21" customHeight="1" x14ac:dyDescent="0.25">
      <c r="B111" s="456"/>
      <c r="C111" s="466" t="e">
        <f t="shared" si="42"/>
        <v>#REF!</v>
      </c>
      <c r="D111" s="537"/>
      <c r="E111" s="595"/>
      <c r="F111" s="544" t="str">
        <f>+"SUB-TOTAL   "&amp;B102&amp;":  "</f>
        <v xml:space="preserve">SUB-TOTAL   9:  </v>
      </c>
      <c r="G111" s="567"/>
      <c r="H111" s="449"/>
      <c r="I111" s="449"/>
      <c r="J111" s="449"/>
      <c r="K111" s="451">
        <f>+SUM(K103:K110)</f>
        <v>7312.93</v>
      </c>
      <c r="L111" s="540"/>
      <c r="M111" s="451">
        <f>+SUM(M103:M110)</f>
        <v>13035.61</v>
      </c>
      <c r="N111" s="451"/>
      <c r="O111" s="451">
        <f>+SUM(O103:O110)</f>
        <v>313.68</v>
      </c>
      <c r="P111" s="451"/>
      <c r="Q111" s="451">
        <f>+SUM(Q103:Q110)</f>
        <v>6840</v>
      </c>
      <c r="R111" s="451"/>
      <c r="S111" s="451">
        <f>+SUM(S103:S110)</f>
        <v>1431</v>
      </c>
      <c r="T111" s="451"/>
      <c r="U111" s="451">
        <f>+SUM(U103:U110)</f>
        <v>0</v>
      </c>
      <c r="V111" s="451"/>
      <c r="W111" s="660">
        <f>+K111-M111+O111+Q111-S111</f>
        <v>0</v>
      </c>
      <c r="Y111" s="1147">
        <v>0</v>
      </c>
    </row>
    <row r="112" spans="2:25" ht="21" customHeight="1" x14ac:dyDescent="0.25">
      <c r="B112" s="452">
        <f>1+B102</f>
        <v>10</v>
      </c>
      <c r="C112" s="466" t="e">
        <f t="shared" si="42"/>
        <v>#REF!</v>
      </c>
      <c r="D112" s="453" t="s">
        <v>63</v>
      </c>
      <c r="E112" s="445"/>
      <c r="F112" s="446"/>
      <c r="G112" s="549"/>
      <c r="H112" s="438"/>
      <c r="I112" s="438"/>
      <c r="J112" s="438"/>
      <c r="K112" s="438"/>
      <c r="L112" s="756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Y112" s="1147">
        <v>0</v>
      </c>
    </row>
    <row r="113" spans="2:25" ht="21" customHeight="1" x14ac:dyDescent="0.25">
      <c r="B113" s="562">
        <f t="shared" ref="B113:B125" si="56">+B112+0.01</f>
        <v>10.01</v>
      </c>
      <c r="C113" s="576" t="e">
        <f t="shared" si="42"/>
        <v>#REF!</v>
      </c>
      <c r="D113" s="502" t="s">
        <v>64</v>
      </c>
      <c r="E113" s="496"/>
      <c r="F113" s="497"/>
      <c r="G113" s="530" t="s">
        <v>11</v>
      </c>
      <c r="H113" s="553">
        <v>29.39</v>
      </c>
      <c r="I113" s="553"/>
      <c r="J113" s="553">
        <v>147</v>
      </c>
      <c r="K113" s="553">
        <f t="shared" si="43"/>
        <v>4320.33</v>
      </c>
      <c r="L113" s="553">
        <f>+[193]Metrado!F107</f>
        <v>221</v>
      </c>
      <c r="M113" s="553">
        <f t="shared" ref="M113:S125" si="57">+ROUND($H113*L113,2)</f>
        <v>6495.19</v>
      </c>
      <c r="N113" s="553">
        <f>+IF($L113-$J113&gt;=0,$L113-$J113,0)</f>
        <v>74</v>
      </c>
      <c r="O113" s="553">
        <f t="shared" si="57"/>
        <v>2174.86</v>
      </c>
      <c r="P113" s="553"/>
      <c r="Q113" s="553">
        <f t="shared" si="57"/>
        <v>0</v>
      </c>
      <c r="R113" s="553">
        <f>+IF($L113-$J113&lt;=0,-$L113+$J113,0)</f>
        <v>0</v>
      </c>
      <c r="S113" s="553">
        <f t="shared" si="57"/>
        <v>0</v>
      </c>
      <c r="T113" s="553"/>
      <c r="U113" s="553">
        <f t="shared" ref="U113:U125" si="58">+ROUND($H113*T113,2)</f>
        <v>0</v>
      </c>
      <c r="V113" s="553"/>
      <c r="Y113" s="1147">
        <v>0</v>
      </c>
    </row>
    <row r="114" spans="2:25" ht="21" customHeight="1" x14ac:dyDescent="0.25">
      <c r="B114" s="562">
        <f t="shared" si="56"/>
        <v>10.02</v>
      </c>
      <c r="C114" s="576" t="e">
        <f t="shared" si="42"/>
        <v>#REF!</v>
      </c>
      <c r="D114" s="502" t="s">
        <v>351</v>
      </c>
      <c r="E114" s="496"/>
      <c r="F114" s="497"/>
      <c r="G114" s="530" t="s">
        <v>11</v>
      </c>
      <c r="H114" s="553">
        <v>45.75</v>
      </c>
      <c r="I114" s="553"/>
      <c r="J114" s="553">
        <v>68</v>
      </c>
      <c r="K114" s="553">
        <f t="shared" ref="K114:K125" si="59">+ROUND($H114*J114,2)</f>
        <v>3111</v>
      </c>
      <c r="L114" s="553">
        <f>+[193]Metrado!F108</f>
        <v>155</v>
      </c>
      <c r="M114" s="553">
        <f t="shared" si="57"/>
        <v>7091.25</v>
      </c>
      <c r="N114" s="553">
        <f t="shared" ref="N114:N125" si="60">+IF($L114-$J114&gt;=0,$L114-$J114,0)</f>
        <v>87</v>
      </c>
      <c r="O114" s="553">
        <f t="shared" si="57"/>
        <v>3980.25</v>
      </c>
      <c r="P114" s="553"/>
      <c r="Q114" s="553">
        <f t="shared" si="57"/>
        <v>0</v>
      </c>
      <c r="R114" s="553">
        <f t="shared" ref="R114:R125" si="61">+IF($L114-$J114&lt;=0,-$L114+$J114,0)</f>
        <v>0</v>
      </c>
      <c r="S114" s="553">
        <f t="shared" si="57"/>
        <v>0</v>
      </c>
      <c r="T114" s="553"/>
      <c r="U114" s="553">
        <f t="shared" si="58"/>
        <v>0</v>
      </c>
      <c r="V114" s="553"/>
      <c r="Y114" s="1147">
        <v>0</v>
      </c>
    </row>
    <row r="115" spans="2:25" ht="21" customHeight="1" x14ac:dyDescent="0.25">
      <c r="B115" s="562">
        <f t="shared" si="56"/>
        <v>10.029999999999999</v>
      </c>
      <c r="C115" s="576" t="e">
        <f t="shared" si="42"/>
        <v>#REF!</v>
      </c>
      <c r="D115" s="502" t="s">
        <v>352</v>
      </c>
      <c r="E115" s="496"/>
      <c r="F115" s="497"/>
      <c r="G115" s="530" t="s">
        <v>11</v>
      </c>
      <c r="H115" s="553">
        <v>62.96</v>
      </c>
      <c r="I115" s="553"/>
      <c r="J115" s="553">
        <v>28</v>
      </c>
      <c r="K115" s="553">
        <f t="shared" si="59"/>
        <v>1762.88</v>
      </c>
      <c r="L115" s="553">
        <f>+[193]Metrado!F109</f>
        <v>0</v>
      </c>
      <c r="M115" s="553">
        <f t="shared" si="57"/>
        <v>0</v>
      </c>
      <c r="N115" s="553">
        <f t="shared" si="60"/>
        <v>0</v>
      </c>
      <c r="O115" s="553">
        <f t="shared" si="57"/>
        <v>0</v>
      </c>
      <c r="P115" s="553"/>
      <c r="Q115" s="553">
        <f t="shared" si="57"/>
        <v>0</v>
      </c>
      <c r="R115" s="553">
        <f t="shared" si="61"/>
        <v>28</v>
      </c>
      <c r="S115" s="553">
        <f t="shared" si="57"/>
        <v>1762.88</v>
      </c>
      <c r="T115" s="553">
        <f>+R115</f>
        <v>28</v>
      </c>
      <c r="U115" s="553">
        <f t="shared" si="58"/>
        <v>1762.88</v>
      </c>
      <c r="V115" s="553" t="s">
        <v>898</v>
      </c>
      <c r="Y115" s="1147">
        <v>0</v>
      </c>
    </row>
    <row r="116" spans="2:25" ht="21" customHeight="1" x14ac:dyDescent="0.25">
      <c r="B116" s="562">
        <f t="shared" si="56"/>
        <v>10.039999999999999</v>
      </c>
      <c r="C116" s="576" t="e">
        <f t="shared" si="42"/>
        <v>#REF!</v>
      </c>
      <c r="D116" s="502" t="s">
        <v>65</v>
      </c>
      <c r="E116" s="496"/>
      <c r="F116" s="497"/>
      <c r="G116" s="530" t="s">
        <v>11</v>
      </c>
      <c r="H116" s="553">
        <v>117.61</v>
      </c>
      <c r="I116" s="553"/>
      <c r="J116" s="553">
        <v>40</v>
      </c>
      <c r="K116" s="553">
        <f t="shared" si="59"/>
        <v>4704.3999999999996</v>
      </c>
      <c r="L116" s="553">
        <f>+[193]Metrado!F110</f>
        <v>42</v>
      </c>
      <c r="M116" s="553">
        <f t="shared" si="57"/>
        <v>4939.62</v>
      </c>
      <c r="N116" s="553">
        <f t="shared" si="60"/>
        <v>2</v>
      </c>
      <c r="O116" s="553">
        <f t="shared" si="57"/>
        <v>235.22</v>
      </c>
      <c r="P116" s="553"/>
      <c r="Q116" s="553">
        <f t="shared" si="57"/>
        <v>0</v>
      </c>
      <c r="R116" s="553">
        <f t="shared" si="61"/>
        <v>0</v>
      </c>
      <c r="S116" s="553">
        <f t="shared" si="57"/>
        <v>0</v>
      </c>
      <c r="T116" s="553">
        <f>+R116</f>
        <v>0</v>
      </c>
      <c r="U116" s="553">
        <f t="shared" si="58"/>
        <v>0</v>
      </c>
      <c r="V116" s="553" t="s">
        <v>898</v>
      </c>
      <c r="Y116" s="1147">
        <v>0</v>
      </c>
    </row>
    <row r="117" spans="2:25" ht="21" customHeight="1" x14ac:dyDescent="0.25">
      <c r="B117" s="562">
        <f t="shared" si="56"/>
        <v>10.049999999999999</v>
      </c>
      <c r="C117" s="576" t="e">
        <f t="shared" si="42"/>
        <v>#REF!</v>
      </c>
      <c r="D117" s="502" t="s">
        <v>353</v>
      </c>
      <c r="E117" s="496"/>
      <c r="F117" s="497"/>
      <c r="G117" s="530" t="s">
        <v>11</v>
      </c>
      <c r="H117" s="553">
        <v>1.47</v>
      </c>
      <c r="I117" s="553"/>
      <c r="J117" s="553">
        <v>39</v>
      </c>
      <c r="K117" s="553">
        <f t="shared" si="59"/>
        <v>57.33</v>
      </c>
      <c r="L117" s="553">
        <f>+[193]Metrado!F111</f>
        <v>244</v>
      </c>
      <c r="M117" s="553">
        <f t="shared" si="57"/>
        <v>358.68</v>
      </c>
      <c r="N117" s="553">
        <f t="shared" si="60"/>
        <v>205</v>
      </c>
      <c r="O117" s="553">
        <f t="shared" si="57"/>
        <v>301.35000000000002</v>
      </c>
      <c r="P117" s="553"/>
      <c r="Q117" s="553">
        <f t="shared" si="57"/>
        <v>0</v>
      </c>
      <c r="R117" s="553">
        <f t="shared" si="61"/>
        <v>0</v>
      </c>
      <c r="S117" s="553">
        <f t="shared" si="57"/>
        <v>0</v>
      </c>
      <c r="T117" s="553"/>
      <c r="U117" s="553">
        <f t="shared" si="58"/>
        <v>0</v>
      </c>
      <c r="V117" s="553"/>
      <c r="Y117" s="1147">
        <v>0</v>
      </c>
    </row>
    <row r="118" spans="2:25" ht="21" customHeight="1" x14ac:dyDescent="0.25">
      <c r="B118" s="562">
        <f t="shared" si="56"/>
        <v>10.059999999999999</v>
      </c>
      <c r="C118" s="576" t="e">
        <f t="shared" si="42"/>
        <v>#REF!</v>
      </c>
      <c r="D118" s="502" t="s">
        <v>354</v>
      </c>
      <c r="E118" s="513"/>
      <c r="F118" s="499"/>
      <c r="G118" s="530" t="s">
        <v>11</v>
      </c>
      <c r="H118" s="553">
        <v>0.4</v>
      </c>
      <c r="I118" s="553"/>
      <c r="J118" s="553">
        <v>39</v>
      </c>
      <c r="K118" s="553">
        <f t="shared" si="59"/>
        <v>15.6</v>
      </c>
      <c r="L118" s="553">
        <f>+[193]Metrado!F112</f>
        <v>0</v>
      </c>
      <c r="M118" s="553">
        <f t="shared" si="57"/>
        <v>0</v>
      </c>
      <c r="N118" s="553">
        <f t="shared" si="60"/>
        <v>0</v>
      </c>
      <c r="O118" s="553">
        <f t="shared" si="57"/>
        <v>0</v>
      </c>
      <c r="P118" s="585"/>
      <c r="Q118" s="553">
        <f t="shared" si="57"/>
        <v>0</v>
      </c>
      <c r="R118" s="553">
        <f t="shared" si="61"/>
        <v>39</v>
      </c>
      <c r="S118" s="553">
        <f t="shared" si="57"/>
        <v>15.6</v>
      </c>
      <c r="T118" s="585"/>
      <c r="U118" s="553">
        <f t="shared" si="58"/>
        <v>0</v>
      </c>
      <c r="V118" s="585"/>
      <c r="Y118" s="1147">
        <v>0</v>
      </c>
    </row>
    <row r="119" spans="2:25" ht="21" customHeight="1" x14ac:dyDescent="0.25">
      <c r="B119" s="562">
        <f t="shared" si="56"/>
        <v>10.069999999999999</v>
      </c>
      <c r="C119" s="576" t="e">
        <f t="shared" si="42"/>
        <v>#REF!</v>
      </c>
      <c r="D119" s="502" t="s">
        <v>23</v>
      </c>
      <c r="E119" s="511"/>
      <c r="F119" s="512"/>
      <c r="G119" s="530" t="s">
        <v>13</v>
      </c>
      <c r="H119" s="553">
        <v>0.69</v>
      </c>
      <c r="I119" s="553"/>
      <c r="J119" s="553">
        <v>933</v>
      </c>
      <c r="K119" s="553">
        <f t="shared" si="59"/>
        <v>643.77</v>
      </c>
      <c r="L119" s="553">
        <f>+[193]Metrado!F113</f>
        <v>2212.5</v>
      </c>
      <c r="M119" s="553">
        <f t="shared" si="57"/>
        <v>1526.63</v>
      </c>
      <c r="N119" s="553">
        <f t="shared" si="60"/>
        <v>1279.5</v>
      </c>
      <c r="O119" s="553">
        <f t="shared" si="57"/>
        <v>882.86</v>
      </c>
      <c r="P119" s="553"/>
      <c r="Q119" s="553">
        <f t="shared" si="57"/>
        <v>0</v>
      </c>
      <c r="R119" s="553">
        <f t="shared" si="61"/>
        <v>0</v>
      </c>
      <c r="S119" s="553">
        <f t="shared" si="57"/>
        <v>0</v>
      </c>
      <c r="T119" s="553"/>
      <c r="U119" s="553">
        <f t="shared" si="58"/>
        <v>0</v>
      </c>
      <c r="V119" s="553"/>
      <c r="Y119" s="1147">
        <v>0</v>
      </c>
    </row>
    <row r="120" spans="2:25" ht="21" customHeight="1" x14ac:dyDescent="0.25">
      <c r="B120" s="562">
        <f t="shared" si="56"/>
        <v>10.079999999999998</v>
      </c>
      <c r="C120" s="576" t="e">
        <f t="shared" si="42"/>
        <v>#REF!</v>
      </c>
      <c r="D120" s="502" t="s">
        <v>322</v>
      </c>
      <c r="E120" s="496"/>
      <c r="F120" s="497"/>
      <c r="G120" s="530" t="s">
        <v>11</v>
      </c>
      <c r="H120" s="553">
        <v>5.21</v>
      </c>
      <c r="I120" s="553"/>
      <c r="J120" s="553">
        <v>175</v>
      </c>
      <c r="K120" s="553">
        <f t="shared" si="59"/>
        <v>911.75</v>
      </c>
      <c r="L120" s="553">
        <f>+[193]Metrado!F114</f>
        <v>60</v>
      </c>
      <c r="M120" s="553">
        <f t="shared" si="57"/>
        <v>312.60000000000002</v>
      </c>
      <c r="N120" s="553">
        <f t="shared" si="60"/>
        <v>0</v>
      </c>
      <c r="O120" s="553">
        <f t="shared" si="57"/>
        <v>0</v>
      </c>
      <c r="P120" s="553"/>
      <c r="Q120" s="553">
        <f t="shared" si="57"/>
        <v>0</v>
      </c>
      <c r="R120" s="553">
        <f t="shared" si="61"/>
        <v>115</v>
      </c>
      <c r="S120" s="553">
        <f t="shared" si="57"/>
        <v>599.15</v>
      </c>
      <c r="T120" s="553">
        <f>+R120</f>
        <v>115</v>
      </c>
      <c r="U120" s="553">
        <f t="shared" si="58"/>
        <v>599.15</v>
      </c>
      <c r="V120" s="553" t="s">
        <v>836</v>
      </c>
      <c r="Y120" s="1147">
        <v>0</v>
      </c>
    </row>
    <row r="121" spans="2:25" ht="21" customHeight="1" x14ac:dyDescent="0.25">
      <c r="B121" s="562">
        <f t="shared" si="56"/>
        <v>10.089999999999998</v>
      </c>
      <c r="C121" s="576" t="e">
        <f t="shared" si="42"/>
        <v>#REF!</v>
      </c>
      <c r="D121" s="502" t="s">
        <v>45</v>
      </c>
      <c r="E121" s="496"/>
      <c r="F121" s="497"/>
      <c r="G121" s="530" t="s">
        <v>11</v>
      </c>
      <c r="H121" s="553">
        <v>7.04</v>
      </c>
      <c r="I121" s="553"/>
      <c r="J121" s="553">
        <v>175</v>
      </c>
      <c r="K121" s="553">
        <f t="shared" si="59"/>
        <v>1232</v>
      </c>
      <c r="L121" s="553">
        <f>+[193]Metrado!F115</f>
        <v>340</v>
      </c>
      <c r="M121" s="553">
        <f t="shared" si="57"/>
        <v>2393.6</v>
      </c>
      <c r="N121" s="553">
        <f t="shared" si="60"/>
        <v>165</v>
      </c>
      <c r="O121" s="553">
        <f t="shared" si="57"/>
        <v>1161.5999999999999</v>
      </c>
      <c r="P121" s="553"/>
      <c r="Q121" s="553">
        <f t="shared" si="57"/>
        <v>0</v>
      </c>
      <c r="R121" s="553">
        <f t="shared" si="61"/>
        <v>0</v>
      </c>
      <c r="S121" s="553">
        <f t="shared" si="57"/>
        <v>0</v>
      </c>
      <c r="T121" s="553"/>
      <c r="U121" s="553">
        <f t="shared" si="58"/>
        <v>0</v>
      </c>
      <c r="V121" s="553"/>
      <c r="Y121" s="1147">
        <v>0</v>
      </c>
    </row>
    <row r="122" spans="2:25" ht="21" customHeight="1" x14ac:dyDescent="0.25">
      <c r="B122" s="562">
        <f t="shared" si="56"/>
        <v>10.099999999999998</v>
      </c>
      <c r="C122" s="576" t="e">
        <f t="shared" si="42"/>
        <v>#REF!</v>
      </c>
      <c r="D122" s="502" t="s">
        <v>66</v>
      </c>
      <c r="E122" s="496"/>
      <c r="F122" s="497"/>
      <c r="G122" s="530" t="s">
        <v>11</v>
      </c>
      <c r="H122" s="553">
        <v>2.85</v>
      </c>
      <c r="I122" s="553"/>
      <c r="J122" s="553">
        <v>350</v>
      </c>
      <c r="K122" s="553">
        <f t="shared" si="59"/>
        <v>997.5</v>
      </c>
      <c r="L122" s="553">
        <f>+[193]Metrado!F116</f>
        <v>488</v>
      </c>
      <c r="M122" s="553">
        <f t="shared" si="57"/>
        <v>1390.8</v>
      </c>
      <c r="N122" s="553">
        <f t="shared" si="60"/>
        <v>138</v>
      </c>
      <c r="O122" s="553">
        <f t="shared" si="57"/>
        <v>393.3</v>
      </c>
      <c r="P122" s="553"/>
      <c r="Q122" s="553">
        <f t="shared" si="57"/>
        <v>0</v>
      </c>
      <c r="R122" s="553">
        <f t="shared" si="61"/>
        <v>0</v>
      </c>
      <c r="S122" s="553">
        <f t="shared" si="57"/>
        <v>0</v>
      </c>
      <c r="T122" s="553"/>
      <c r="U122" s="553">
        <f t="shared" si="58"/>
        <v>0</v>
      </c>
      <c r="V122" s="553"/>
      <c r="Y122" s="1147">
        <v>0</v>
      </c>
    </row>
    <row r="123" spans="2:25" ht="21" customHeight="1" x14ac:dyDescent="0.25">
      <c r="B123" s="562">
        <f t="shared" si="56"/>
        <v>10.109999999999998</v>
      </c>
      <c r="C123" s="576" t="e">
        <f t="shared" si="42"/>
        <v>#REF!</v>
      </c>
      <c r="D123" s="502" t="s">
        <v>325</v>
      </c>
      <c r="E123" s="496"/>
      <c r="F123" s="497"/>
      <c r="G123" s="530" t="s">
        <v>11</v>
      </c>
      <c r="H123" s="553">
        <v>0.4</v>
      </c>
      <c r="I123" s="553"/>
      <c r="J123" s="553">
        <v>756</v>
      </c>
      <c r="K123" s="553">
        <f t="shared" si="59"/>
        <v>302.39999999999998</v>
      </c>
      <c r="L123" s="553">
        <f>+[193]Metrado!F117</f>
        <v>1708</v>
      </c>
      <c r="M123" s="553">
        <f t="shared" si="57"/>
        <v>683.2</v>
      </c>
      <c r="N123" s="553">
        <f t="shared" si="60"/>
        <v>952</v>
      </c>
      <c r="O123" s="553">
        <f t="shared" si="57"/>
        <v>380.8</v>
      </c>
      <c r="P123" s="553"/>
      <c r="Q123" s="553">
        <f t="shared" si="57"/>
        <v>0</v>
      </c>
      <c r="R123" s="553">
        <f t="shared" si="61"/>
        <v>0</v>
      </c>
      <c r="S123" s="553">
        <f t="shared" si="57"/>
        <v>0</v>
      </c>
      <c r="T123" s="553"/>
      <c r="U123" s="553">
        <f t="shared" si="58"/>
        <v>0</v>
      </c>
      <c r="V123" s="553"/>
      <c r="Y123" s="1147">
        <v>0</v>
      </c>
    </row>
    <row r="124" spans="2:25" ht="21" customHeight="1" x14ac:dyDescent="0.25">
      <c r="B124" s="562">
        <f t="shared" si="56"/>
        <v>10.119999999999997</v>
      </c>
      <c r="C124" s="576" t="e">
        <f t="shared" si="42"/>
        <v>#REF!</v>
      </c>
      <c r="D124" s="502" t="s">
        <v>355</v>
      </c>
      <c r="E124" s="513"/>
      <c r="F124" s="499"/>
      <c r="G124" s="530" t="s">
        <v>11</v>
      </c>
      <c r="H124" s="553">
        <v>61.52</v>
      </c>
      <c r="I124" s="553"/>
      <c r="J124" s="553">
        <v>175</v>
      </c>
      <c r="K124" s="553">
        <f t="shared" si="59"/>
        <v>10766</v>
      </c>
      <c r="L124" s="553">
        <f>+[193]Metrado!F118</f>
        <v>244</v>
      </c>
      <c r="M124" s="553">
        <f t="shared" si="57"/>
        <v>15010.88</v>
      </c>
      <c r="N124" s="553">
        <f t="shared" si="60"/>
        <v>69</v>
      </c>
      <c r="O124" s="553">
        <f t="shared" si="57"/>
        <v>4244.88</v>
      </c>
      <c r="P124" s="557"/>
      <c r="Q124" s="553">
        <f t="shared" si="57"/>
        <v>0</v>
      </c>
      <c r="R124" s="553">
        <f t="shared" si="61"/>
        <v>0</v>
      </c>
      <c r="S124" s="553">
        <f t="shared" si="57"/>
        <v>0</v>
      </c>
      <c r="T124" s="557"/>
      <c r="U124" s="553">
        <f t="shared" si="58"/>
        <v>0</v>
      </c>
      <c r="V124" s="557"/>
      <c r="W124" s="1146">
        <f>+L124+37</f>
        <v>281</v>
      </c>
      <c r="Y124" s="1147">
        <v>0</v>
      </c>
    </row>
    <row r="125" spans="2:25" ht="21" customHeight="1" x14ac:dyDescent="0.25">
      <c r="B125" s="562">
        <f t="shared" si="56"/>
        <v>10.129999999999997</v>
      </c>
      <c r="C125" s="583" t="e">
        <f t="shared" si="42"/>
        <v>#REF!</v>
      </c>
      <c r="D125" s="502" t="s">
        <v>356</v>
      </c>
      <c r="E125" s="511"/>
      <c r="F125" s="512"/>
      <c r="G125" s="539" t="s">
        <v>11</v>
      </c>
      <c r="H125" s="579">
        <v>54.01</v>
      </c>
      <c r="I125" s="579"/>
      <c r="J125" s="579">
        <v>175</v>
      </c>
      <c r="K125" s="579">
        <f t="shared" si="59"/>
        <v>9451.75</v>
      </c>
      <c r="L125" s="553">
        <f>+[193]Metrado!F119</f>
        <v>244</v>
      </c>
      <c r="M125" s="579">
        <f t="shared" si="57"/>
        <v>13178.44</v>
      </c>
      <c r="N125" s="553">
        <f t="shared" si="60"/>
        <v>69</v>
      </c>
      <c r="O125" s="579">
        <f t="shared" si="57"/>
        <v>3726.69</v>
      </c>
      <c r="P125" s="579"/>
      <c r="Q125" s="579">
        <f t="shared" si="57"/>
        <v>0</v>
      </c>
      <c r="R125" s="553">
        <f t="shared" si="61"/>
        <v>0</v>
      </c>
      <c r="S125" s="579">
        <f t="shared" si="57"/>
        <v>0</v>
      </c>
      <c r="T125" s="579"/>
      <c r="U125" s="579">
        <f t="shared" si="58"/>
        <v>0</v>
      </c>
      <c r="V125" s="579"/>
      <c r="Y125" s="1147">
        <v>0</v>
      </c>
    </row>
    <row r="126" spans="2:25" ht="21" customHeight="1" x14ac:dyDescent="0.25">
      <c r="B126" s="456"/>
      <c r="C126" s="466" t="e">
        <f t="shared" si="42"/>
        <v>#REF!</v>
      </c>
      <c r="D126" s="537"/>
      <c r="E126" s="538"/>
      <c r="F126" s="533" t="str">
        <f>+"SUB-TOTAL   "&amp;B112&amp;":  "</f>
        <v xml:space="preserve">SUB-TOTAL   10:  </v>
      </c>
      <c r="G126" s="597"/>
      <c r="H126" s="449"/>
      <c r="I126" s="449"/>
      <c r="J126" s="449"/>
      <c r="K126" s="451">
        <f>+SUM(K113:K125)</f>
        <v>38276.71</v>
      </c>
      <c r="L126" s="449"/>
      <c r="M126" s="451">
        <f>+SUM(M113:M125)</f>
        <v>53380.89</v>
      </c>
      <c r="N126" s="451"/>
      <c r="O126" s="451">
        <f>+SUM(O113:O125)</f>
        <v>17481.809999999998</v>
      </c>
      <c r="P126" s="451"/>
      <c r="Q126" s="451">
        <f>+SUM(Q113:Q125)</f>
        <v>0</v>
      </c>
      <c r="R126" s="451"/>
      <c r="S126" s="451">
        <f>+SUM(S113:S125)</f>
        <v>2377.63</v>
      </c>
      <c r="T126" s="451"/>
      <c r="U126" s="451">
        <f>+SUM(U113:U125)</f>
        <v>2362.0300000000002</v>
      </c>
      <c r="V126" s="451"/>
      <c r="W126" s="660">
        <f>+K126-M126+O126+Q126-S126</f>
        <v>0</v>
      </c>
    </row>
    <row r="127" spans="2:25" s="630" customFormat="1" ht="45.75" customHeight="1" x14ac:dyDescent="0.3">
      <c r="B127" s="623"/>
      <c r="C127" s="624" t="e">
        <f t="shared" si="42"/>
        <v>#REF!</v>
      </c>
      <c r="D127" s="625" t="s">
        <v>27</v>
      </c>
      <c r="E127" s="626"/>
      <c r="F127" s="627"/>
      <c r="G127" s="628"/>
      <c r="H127" s="629"/>
      <c r="I127" s="629"/>
      <c r="J127" s="629"/>
      <c r="K127" s="629">
        <f>+K20+K23+K27+K37+K51+K57+K67+K83+K101+K111+K126</f>
        <v>301377.10000000003</v>
      </c>
      <c r="L127" s="629"/>
      <c r="M127" s="629">
        <f>+M20+M23+M27+M37+M51+M57+M67+M83+M101+M111+M126</f>
        <v>420410.61000000004</v>
      </c>
      <c r="N127" s="629"/>
      <c r="O127" s="629">
        <f>+O20+O23+O27+O37+O51+O57+O67+O83+O101+O111+O126</f>
        <v>56280.94</v>
      </c>
      <c r="P127" s="629"/>
      <c r="Q127" s="629">
        <f>+Q20+Q23+Q27+Q37+Q51+Q57+Q67+Q83+Q101+Q111+Q126</f>
        <v>142438.63999999998</v>
      </c>
      <c r="R127" s="629"/>
      <c r="S127" s="629">
        <f>+S20+S23+S27+S37+S51+S57+S67+S83+S101+S111+S126</f>
        <v>79686.080000000016</v>
      </c>
      <c r="T127" s="629"/>
      <c r="U127" s="629">
        <f>+U20+U23+U27+U37+U51+U57+U67+U83+U101+U111+U126</f>
        <v>71672.950000000012</v>
      </c>
      <c r="V127" s="629"/>
      <c r="W127" s="660">
        <f>+K127-M127+O127+Q127-S127</f>
        <v>-1.0000000038417056E-2</v>
      </c>
    </row>
    <row r="128" spans="2:25" ht="21" customHeight="1" x14ac:dyDescent="0.25">
      <c r="B128" s="467" t="s">
        <v>88</v>
      </c>
      <c r="C128" s="485" t="e">
        <f t="shared" si="42"/>
        <v>#REF!</v>
      </c>
      <c r="D128" s="468" t="s">
        <v>105</v>
      </c>
      <c r="E128" s="445"/>
      <c r="F128" s="446"/>
      <c r="G128" s="528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8"/>
      <c r="V128" s="438"/>
    </row>
    <row r="129" spans="2:25" ht="21" customHeight="1" x14ac:dyDescent="0.25">
      <c r="B129" s="439">
        <v>1</v>
      </c>
      <c r="C129" s="480" t="e">
        <f>+#REF!+1</f>
        <v>#REF!</v>
      </c>
      <c r="D129" s="441" t="s">
        <v>357</v>
      </c>
      <c r="E129" s="486"/>
      <c r="F129" s="461"/>
      <c r="G129" s="440"/>
      <c r="H129" s="438"/>
      <c r="I129" s="438"/>
      <c r="J129" s="438"/>
      <c r="K129" s="600"/>
      <c r="L129" s="438"/>
      <c r="M129" s="600"/>
      <c r="N129" s="536"/>
      <c r="O129" s="600"/>
      <c r="P129" s="536"/>
      <c r="Q129" s="600"/>
      <c r="R129" s="536"/>
      <c r="S129" s="600"/>
      <c r="T129" s="536"/>
      <c r="U129" s="600"/>
      <c r="V129" s="536"/>
    </row>
    <row r="130" spans="2:25" ht="21" customHeight="1" x14ac:dyDescent="0.25">
      <c r="B130" s="554">
        <f t="shared" ref="B130:B155" si="62">+B129+0.01</f>
        <v>1.01</v>
      </c>
      <c r="C130" s="584" t="e">
        <f t="shared" si="42"/>
        <v>#REF!</v>
      </c>
      <c r="D130" s="495" t="s">
        <v>358</v>
      </c>
      <c r="E130" s="511"/>
      <c r="F130" s="512"/>
      <c r="G130" s="530" t="s">
        <v>11</v>
      </c>
      <c r="H130" s="553">
        <v>153.05000000000001</v>
      </c>
      <c r="I130" s="553"/>
      <c r="J130" s="553">
        <v>153</v>
      </c>
      <c r="K130" s="553">
        <f t="shared" ref="K130" si="63">+ROUND($H130*J130,2)</f>
        <v>23416.65</v>
      </c>
      <c r="L130" s="553">
        <f>+[193]Metrado!F124</f>
        <v>141</v>
      </c>
      <c r="M130" s="553">
        <f t="shared" ref="M130:S145" si="64">+ROUND($H130*L130,2)</f>
        <v>21580.05</v>
      </c>
      <c r="N130" s="553">
        <f>+IF($L130-$J130&gt;=0,$L130-$J130,0)</f>
        <v>0</v>
      </c>
      <c r="O130" s="553">
        <f t="shared" si="64"/>
        <v>0</v>
      </c>
      <c r="P130" s="553"/>
      <c r="Q130" s="553">
        <f t="shared" si="64"/>
        <v>0</v>
      </c>
      <c r="R130" s="553">
        <f>+IF($L130-$J130&lt;=0,-$L130+$J130,0)</f>
        <v>12</v>
      </c>
      <c r="S130" s="553">
        <f t="shared" si="64"/>
        <v>1836.6</v>
      </c>
      <c r="T130" s="553">
        <f>+R130</f>
        <v>12</v>
      </c>
      <c r="U130" s="553">
        <f t="shared" ref="U130:U155" si="65">+ROUND($H130*T130,2)</f>
        <v>1836.6</v>
      </c>
      <c r="V130" s="553" t="s">
        <v>889</v>
      </c>
      <c r="Y130" s="1147">
        <v>0</v>
      </c>
    </row>
    <row r="131" spans="2:25" ht="21" customHeight="1" x14ac:dyDescent="0.25">
      <c r="B131" s="554">
        <f t="shared" si="62"/>
        <v>1.02</v>
      </c>
      <c r="C131" s="576" t="e">
        <f t="shared" si="42"/>
        <v>#REF!</v>
      </c>
      <c r="D131" s="495" t="s">
        <v>359</v>
      </c>
      <c r="E131" s="496"/>
      <c r="F131" s="497"/>
      <c r="G131" s="530" t="s">
        <v>11</v>
      </c>
      <c r="H131" s="553">
        <v>164.1</v>
      </c>
      <c r="I131" s="553"/>
      <c r="J131" s="553">
        <v>79</v>
      </c>
      <c r="K131" s="553">
        <f t="shared" ref="K131:K155" si="66">+ROUND($H131*J131,2)</f>
        <v>12963.9</v>
      </c>
      <c r="L131" s="553">
        <f>+[193]Metrado!F125</f>
        <v>100</v>
      </c>
      <c r="M131" s="553">
        <f t="shared" si="64"/>
        <v>16410</v>
      </c>
      <c r="N131" s="553">
        <f t="shared" ref="N131:N144" si="67">+IF($L131-$J131&gt;=0,$L131-$J131,0)</f>
        <v>21</v>
      </c>
      <c r="O131" s="553">
        <f t="shared" si="64"/>
        <v>3446.1</v>
      </c>
      <c r="P131" s="553"/>
      <c r="Q131" s="553">
        <f t="shared" si="64"/>
        <v>0</v>
      </c>
      <c r="R131" s="553">
        <f t="shared" ref="R131:R144" si="68">+IF($L131-$J131&lt;=0,-$L131+$J131,0)</f>
        <v>0</v>
      </c>
      <c r="S131" s="553">
        <f t="shared" si="64"/>
        <v>0</v>
      </c>
      <c r="T131" s="553"/>
      <c r="U131" s="553">
        <f t="shared" si="65"/>
        <v>0</v>
      </c>
      <c r="V131" s="553"/>
      <c r="Y131" s="1147">
        <v>0</v>
      </c>
    </row>
    <row r="132" spans="2:25" ht="21" customHeight="1" x14ac:dyDescent="0.25">
      <c r="B132" s="554">
        <f t="shared" si="62"/>
        <v>1.03</v>
      </c>
      <c r="C132" s="576" t="e">
        <f t="shared" si="42"/>
        <v>#REF!</v>
      </c>
      <c r="D132" s="495" t="s">
        <v>360</v>
      </c>
      <c r="E132" s="496"/>
      <c r="F132" s="497"/>
      <c r="G132" s="530" t="s">
        <v>11</v>
      </c>
      <c r="H132" s="553">
        <v>211.63</v>
      </c>
      <c r="I132" s="553"/>
      <c r="J132" s="553">
        <v>9</v>
      </c>
      <c r="K132" s="553">
        <f t="shared" si="66"/>
        <v>1904.67</v>
      </c>
      <c r="L132" s="553">
        <f>+[193]Metrado!F126</f>
        <v>0</v>
      </c>
      <c r="M132" s="553">
        <f t="shared" si="64"/>
        <v>0</v>
      </c>
      <c r="N132" s="553">
        <f t="shared" si="67"/>
        <v>0</v>
      </c>
      <c r="O132" s="553">
        <f t="shared" si="64"/>
        <v>0</v>
      </c>
      <c r="P132" s="553"/>
      <c r="Q132" s="553">
        <f t="shared" si="64"/>
        <v>0</v>
      </c>
      <c r="R132" s="553">
        <f t="shared" si="68"/>
        <v>9</v>
      </c>
      <c r="S132" s="553">
        <f t="shared" si="64"/>
        <v>1904.67</v>
      </c>
      <c r="T132" s="553">
        <f>+R132</f>
        <v>9</v>
      </c>
      <c r="U132" s="553">
        <f t="shared" si="65"/>
        <v>1904.67</v>
      </c>
      <c r="V132" s="553" t="s">
        <v>899</v>
      </c>
      <c r="Y132" s="1147">
        <v>0</v>
      </c>
    </row>
    <row r="133" spans="2:25" ht="21" customHeight="1" x14ac:dyDescent="0.25">
      <c r="B133" s="554">
        <f t="shared" si="62"/>
        <v>1.04</v>
      </c>
      <c r="C133" s="576" t="e">
        <f t="shared" si="42"/>
        <v>#REF!</v>
      </c>
      <c r="D133" s="495" t="s">
        <v>361</v>
      </c>
      <c r="E133" s="513"/>
      <c r="F133" s="499"/>
      <c r="G133" s="530" t="s">
        <v>11</v>
      </c>
      <c r="H133" s="553">
        <v>62.87</v>
      </c>
      <c r="I133" s="553"/>
      <c r="J133" s="553">
        <v>105</v>
      </c>
      <c r="K133" s="553">
        <f t="shared" si="66"/>
        <v>6601.35</v>
      </c>
      <c r="L133" s="553">
        <f>+[193]Metrado!F127</f>
        <v>88</v>
      </c>
      <c r="M133" s="553">
        <f t="shared" si="64"/>
        <v>5532.56</v>
      </c>
      <c r="N133" s="553">
        <f t="shared" si="67"/>
        <v>0</v>
      </c>
      <c r="O133" s="553">
        <f t="shared" si="64"/>
        <v>0</v>
      </c>
      <c r="P133" s="557"/>
      <c r="Q133" s="553">
        <f t="shared" si="64"/>
        <v>0</v>
      </c>
      <c r="R133" s="553">
        <f t="shared" si="68"/>
        <v>17</v>
      </c>
      <c r="S133" s="553">
        <f t="shared" si="64"/>
        <v>1068.79</v>
      </c>
      <c r="T133" s="553">
        <f>+R133</f>
        <v>17</v>
      </c>
      <c r="U133" s="553">
        <f t="shared" si="65"/>
        <v>1068.79</v>
      </c>
      <c r="V133" s="553" t="s">
        <v>900</v>
      </c>
      <c r="Y133" s="1147">
        <v>0</v>
      </c>
    </row>
    <row r="134" spans="2:25" ht="21" customHeight="1" x14ac:dyDescent="0.25">
      <c r="B134" s="554">
        <f t="shared" si="62"/>
        <v>1.05</v>
      </c>
      <c r="C134" s="584" t="e">
        <f t="shared" si="42"/>
        <v>#REF!</v>
      </c>
      <c r="D134" s="495" t="s">
        <v>362</v>
      </c>
      <c r="E134" s="511"/>
      <c r="F134" s="512"/>
      <c r="G134" s="530" t="s">
        <v>11</v>
      </c>
      <c r="H134" s="553">
        <v>73.709999999999994</v>
      </c>
      <c r="I134" s="553"/>
      <c r="J134" s="553">
        <v>4</v>
      </c>
      <c r="K134" s="553">
        <f t="shared" si="66"/>
        <v>294.83999999999997</v>
      </c>
      <c r="L134" s="553">
        <f>+[193]Metrado!F128</f>
        <v>32</v>
      </c>
      <c r="M134" s="553">
        <f t="shared" si="64"/>
        <v>2358.7199999999998</v>
      </c>
      <c r="N134" s="553">
        <f t="shared" si="67"/>
        <v>28</v>
      </c>
      <c r="O134" s="553">
        <f t="shared" si="64"/>
        <v>2063.88</v>
      </c>
      <c r="P134" s="553"/>
      <c r="Q134" s="553">
        <f t="shared" si="64"/>
        <v>0</v>
      </c>
      <c r="R134" s="553">
        <f t="shared" si="68"/>
        <v>0</v>
      </c>
      <c r="S134" s="553">
        <f t="shared" si="64"/>
        <v>0</v>
      </c>
      <c r="T134" s="553"/>
      <c r="U134" s="553">
        <f t="shared" si="65"/>
        <v>0</v>
      </c>
      <c r="V134" s="553"/>
      <c r="Y134" s="1147">
        <v>0</v>
      </c>
    </row>
    <row r="135" spans="2:25" ht="21" customHeight="1" x14ac:dyDescent="0.25">
      <c r="B135" s="554">
        <f t="shared" si="62"/>
        <v>1.06</v>
      </c>
      <c r="C135" s="584" t="e">
        <f t="shared" si="42"/>
        <v>#REF!</v>
      </c>
      <c r="D135" s="495" t="s">
        <v>363</v>
      </c>
      <c r="E135" s="496"/>
      <c r="F135" s="497"/>
      <c r="G135" s="530" t="s">
        <v>259</v>
      </c>
      <c r="H135" s="553">
        <v>1571.83</v>
      </c>
      <c r="I135" s="553"/>
      <c r="J135" s="553">
        <v>1</v>
      </c>
      <c r="K135" s="553">
        <f t="shared" si="66"/>
        <v>1571.83</v>
      </c>
      <c r="L135" s="553">
        <f>+[193]Metrado!F129</f>
        <v>1.0000000000000004</v>
      </c>
      <c r="M135" s="553">
        <f t="shared" si="64"/>
        <v>1571.83</v>
      </c>
      <c r="N135" s="553">
        <f t="shared" si="67"/>
        <v>4.4408920985006262E-16</v>
      </c>
      <c r="O135" s="553">
        <f t="shared" si="64"/>
        <v>0</v>
      </c>
      <c r="P135" s="553"/>
      <c r="Q135" s="553">
        <f t="shared" si="64"/>
        <v>0</v>
      </c>
      <c r="R135" s="553">
        <f t="shared" si="68"/>
        <v>0</v>
      </c>
      <c r="S135" s="553">
        <f t="shared" si="64"/>
        <v>0</v>
      </c>
      <c r="T135" s="553"/>
      <c r="U135" s="553">
        <f t="shared" si="65"/>
        <v>0</v>
      </c>
      <c r="V135" s="553"/>
      <c r="Y135" s="1148">
        <v>0</v>
      </c>
    </row>
    <row r="136" spans="2:25" ht="21" customHeight="1" x14ac:dyDescent="0.25">
      <c r="B136" s="554">
        <f t="shared" si="62"/>
        <v>1.07</v>
      </c>
      <c r="C136" s="584" t="e">
        <f t="shared" si="42"/>
        <v>#REF!</v>
      </c>
      <c r="D136" s="495" t="s">
        <v>364</v>
      </c>
      <c r="E136" s="496"/>
      <c r="F136" s="497"/>
      <c r="G136" s="530" t="s">
        <v>259</v>
      </c>
      <c r="H136" s="553">
        <v>2275.69</v>
      </c>
      <c r="I136" s="553"/>
      <c r="J136" s="553">
        <v>1</v>
      </c>
      <c r="K136" s="553">
        <f t="shared" si="66"/>
        <v>2275.69</v>
      </c>
      <c r="L136" s="553">
        <f>+[193]Metrado!F130</f>
        <v>1.0000000000000004</v>
      </c>
      <c r="M136" s="553">
        <f t="shared" si="64"/>
        <v>2275.69</v>
      </c>
      <c r="N136" s="553">
        <f t="shared" si="67"/>
        <v>4.4408920985006262E-16</v>
      </c>
      <c r="O136" s="553">
        <f t="shared" si="64"/>
        <v>0</v>
      </c>
      <c r="P136" s="553"/>
      <c r="Q136" s="553">
        <f t="shared" si="64"/>
        <v>0</v>
      </c>
      <c r="R136" s="553">
        <f t="shared" si="68"/>
        <v>0</v>
      </c>
      <c r="S136" s="553">
        <f t="shared" si="64"/>
        <v>0</v>
      </c>
      <c r="T136" s="553"/>
      <c r="U136" s="553">
        <f t="shared" si="65"/>
        <v>0</v>
      </c>
      <c r="V136" s="553"/>
      <c r="Y136" s="1148">
        <v>0</v>
      </c>
    </row>
    <row r="137" spans="2:25" ht="21" customHeight="1" x14ac:dyDescent="0.25">
      <c r="B137" s="554">
        <f t="shared" si="62"/>
        <v>1.08</v>
      </c>
      <c r="C137" s="584" t="e">
        <f t="shared" si="42"/>
        <v>#REF!</v>
      </c>
      <c r="D137" s="495" t="s">
        <v>365</v>
      </c>
      <c r="E137" s="496"/>
      <c r="F137" s="497"/>
      <c r="G137" s="530" t="s">
        <v>12</v>
      </c>
      <c r="H137" s="553">
        <v>68.03</v>
      </c>
      <c r="I137" s="553"/>
      <c r="J137" s="553">
        <v>1.46</v>
      </c>
      <c r="K137" s="553">
        <f t="shared" si="66"/>
        <v>99.32</v>
      </c>
      <c r="L137" s="553">
        <f>+[193]Metrado!F131</f>
        <v>0.11</v>
      </c>
      <c r="M137" s="553">
        <f t="shared" si="64"/>
        <v>7.48</v>
      </c>
      <c r="N137" s="553">
        <f t="shared" si="67"/>
        <v>0</v>
      </c>
      <c r="O137" s="553">
        <f t="shared" si="64"/>
        <v>0</v>
      </c>
      <c r="P137" s="553"/>
      <c r="Q137" s="553">
        <f t="shared" si="64"/>
        <v>0</v>
      </c>
      <c r="R137" s="553">
        <f t="shared" si="68"/>
        <v>1.3499999999999999</v>
      </c>
      <c r="S137" s="553">
        <f t="shared" si="64"/>
        <v>91.84</v>
      </c>
      <c r="T137" s="553">
        <f>+R137</f>
        <v>1.3499999999999999</v>
      </c>
      <c r="U137" s="553">
        <f t="shared" si="65"/>
        <v>91.84</v>
      </c>
      <c r="V137" s="765" t="s">
        <v>901</v>
      </c>
      <c r="Y137" s="1147">
        <v>0</v>
      </c>
    </row>
    <row r="138" spans="2:25" ht="21" customHeight="1" x14ac:dyDescent="0.25">
      <c r="B138" s="554">
        <f t="shared" si="62"/>
        <v>1.0900000000000001</v>
      </c>
      <c r="C138" s="584" t="e">
        <f t="shared" si="42"/>
        <v>#REF!</v>
      </c>
      <c r="D138" s="495" t="s">
        <v>366</v>
      </c>
      <c r="E138" s="513"/>
      <c r="F138" s="499"/>
      <c r="G138" s="530" t="s">
        <v>12</v>
      </c>
      <c r="H138" s="553">
        <v>59.41</v>
      </c>
      <c r="I138" s="553"/>
      <c r="J138" s="553">
        <v>0.05</v>
      </c>
      <c r="K138" s="553">
        <f t="shared" si="66"/>
        <v>2.97</v>
      </c>
      <c r="L138" s="553">
        <f>+[193]Metrado!F132</f>
        <v>0</v>
      </c>
      <c r="M138" s="553">
        <f t="shared" si="64"/>
        <v>0</v>
      </c>
      <c r="N138" s="553">
        <f t="shared" si="67"/>
        <v>0</v>
      </c>
      <c r="O138" s="553">
        <f t="shared" si="64"/>
        <v>0</v>
      </c>
      <c r="P138" s="553"/>
      <c r="Q138" s="553">
        <f t="shared" si="64"/>
        <v>0</v>
      </c>
      <c r="R138" s="553">
        <f t="shared" si="68"/>
        <v>0.05</v>
      </c>
      <c r="S138" s="553">
        <f t="shared" si="64"/>
        <v>2.97</v>
      </c>
      <c r="T138" s="553">
        <f t="shared" ref="T138:T142" si="69">+R138</f>
        <v>0.05</v>
      </c>
      <c r="U138" s="553">
        <f t="shared" si="65"/>
        <v>2.97</v>
      </c>
      <c r="V138" s="553"/>
      <c r="Y138" s="1147">
        <v>0</v>
      </c>
    </row>
    <row r="139" spans="2:25" ht="21" customHeight="1" x14ac:dyDescent="0.25">
      <c r="B139" s="554">
        <f t="shared" si="62"/>
        <v>1.1000000000000001</v>
      </c>
      <c r="C139" s="584" t="e">
        <f t="shared" si="42"/>
        <v>#REF!</v>
      </c>
      <c r="D139" s="495" t="s">
        <v>367</v>
      </c>
      <c r="E139" s="511"/>
      <c r="F139" s="512"/>
      <c r="G139" s="530" t="s">
        <v>12</v>
      </c>
      <c r="H139" s="553">
        <v>55.09</v>
      </c>
      <c r="I139" s="553"/>
      <c r="J139" s="553">
        <v>7.08</v>
      </c>
      <c r="K139" s="553">
        <f t="shared" si="66"/>
        <v>390.04</v>
      </c>
      <c r="L139" s="553">
        <f>+[193]Metrado!F133</f>
        <v>1.0900000000000001</v>
      </c>
      <c r="M139" s="553">
        <f t="shared" si="64"/>
        <v>60.05</v>
      </c>
      <c r="N139" s="553">
        <f t="shared" si="67"/>
        <v>0</v>
      </c>
      <c r="O139" s="553">
        <f t="shared" si="64"/>
        <v>0</v>
      </c>
      <c r="P139" s="553"/>
      <c r="Q139" s="553">
        <f t="shared" si="64"/>
        <v>0</v>
      </c>
      <c r="R139" s="553">
        <f t="shared" si="68"/>
        <v>5.99</v>
      </c>
      <c r="S139" s="553">
        <f t="shared" si="64"/>
        <v>329.99</v>
      </c>
      <c r="T139" s="553">
        <f t="shared" si="69"/>
        <v>5.99</v>
      </c>
      <c r="U139" s="553">
        <f t="shared" si="65"/>
        <v>329.99</v>
      </c>
      <c r="V139" s="553"/>
      <c r="Y139" s="1147">
        <v>0</v>
      </c>
    </row>
    <row r="140" spans="2:25" ht="21" customHeight="1" x14ac:dyDescent="0.25">
      <c r="B140" s="554">
        <f t="shared" si="62"/>
        <v>1.1100000000000001</v>
      </c>
      <c r="C140" s="584" t="e">
        <f t="shared" si="42"/>
        <v>#REF!</v>
      </c>
      <c r="D140" s="495" t="s">
        <v>368</v>
      </c>
      <c r="E140" s="496"/>
      <c r="F140" s="497"/>
      <c r="G140" s="530" t="s">
        <v>12</v>
      </c>
      <c r="H140" s="553">
        <v>53.76</v>
      </c>
      <c r="I140" s="553"/>
      <c r="J140" s="553">
        <v>0.18</v>
      </c>
      <c r="K140" s="553">
        <f t="shared" si="66"/>
        <v>9.68</v>
      </c>
      <c r="L140" s="553">
        <f>+[193]Metrado!F134</f>
        <v>0</v>
      </c>
      <c r="M140" s="553">
        <f t="shared" si="64"/>
        <v>0</v>
      </c>
      <c r="N140" s="553">
        <f t="shared" si="67"/>
        <v>0</v>
      </c>
      <c r="O140" s="553">
        <f t="shared" si="64"/>
        <v>0</v>
      </c>
      <c r="P140" s="553"/>
      <c r="Q140" s="553">
        <f t="shared" si="64"/>
        <v>0</v>
      </c>
      <c r="R140" s="553">
        <f t="shared" si="68"/>
        <v>0.18</v>
      </c>
      <c r="S140" s="553">
        <f t="shared" si="64"/>
        <v>9.68</v>
      </c>
      <c r="T140" s="553">
        <f t="shared" si="69"/>
        <v>0.18</v>
      </c>
      <c r="U140" s="553">
        <f t="shared" si="65"/>
        <v>9.68</v>
      </c>
      <c r="V140" s="553"/>
      <c r="Y140" s="1147">
        <v>0</v>
      </c>
    </row>
    <row r="141" spans="2:25" ht="21" customHeight="1" x14ac:dyDescent="0.25">
      <c r="B141" s="554">
        <f t="shared" si="62"/>
        <v>1.1200000000000001</v>
      </c>
      <c r="C141" s="584" t="e">
        <f t="shared" si="42"/>
        <v>#REF!</v>
      </c>
      <c r="D141" s="495" t="s">
        <v>369</v>
      </c>
      <c r="E141" s="496"/>
      <c r="F141" s="497"/>
      <c r="G141" s="530" t="s">
        <v>12</v>
      </c>
      <c r="H141" s="553">
        <v>42.66</v>
      </c>
      <c r="I141" s="553"/>
      <c r="J141" s="553">
        <v>3.52</v>
      </c>
      <c r="K141" s="553">
        <f t="shared" si="66"/>
        <v>150.16</v>
      </c>
      <c r="L141" s="553">
        <f>+[193]Metrado!F135</f>
        <v>0.06</v>
      </c>
      <c r="M141" s="553">
        <f t="shared" si="64"/>
        <v>2.56</v>
      </c>
      <c r="N141" s="553">
        <f t="shared" si="67"/>
        <v>0</v>
      </c>
      <c r="O141" s="553">
        <f t="shared" si="64"/>
        <v>0</v>
      </c>
      <c r="P141" s="553"/>
      <c r="Q141" s="553">
        <f t="shared" si="64"/>
        <v>0</v>
      </c>
      <c r="R141" s="553">
        <f t="shared" si="68"/>
        <v>3.46</v>
      </c>
      <c r="S141" s="553">
        <f t="shared" si="64"/>
        <v>147.6</v>
      </c>
      <c r="T141" s="553">
        <f t="shared" si="69"/>
        <v>3.46</v>
      </c>
      <c r="U141" s="553">
        <f t="shared" si="65"/>
        <v>147.6</v>
      </c>
      <c r="V141" s="553"/>
      <c r="Y141" s="1147">
        <v>0</v>
      </c>
    </row>
    <row r="142" spans="2:25" ht="21" customHeight="1" x14ac:dyDescent="0.25">
      <c r="B142" s="554">
        <f t="shared" si="62"/>
        <v>1.1300000000000001</v>
      </c>
      <c r="C142" s="584" t="e">
        <f t="shared" ref="C142:C201" si="70">+C141+1</f>
        <v>#REF!</v>
      </c>
      <c r="D142" s="495" t="s">
        <v>370</v>
      </c>
      <c r="E142" s="513"/>
      <c r="F142" s="499"/>
      <c r="G142" s="530" t="s">
        <v>12</v>
      </c>
      <c r="H142" s="553">
        <v>74.959999999999994</v>
      </c>
      <c r="I142" s="553"/>
      <c r="J142" s="553">
        <v>0.54</v>
      </c>
      <c r="K142" s="553">
        <f t="shared" si="66"/>
        <v>40.479999999999997</v>
      </c>
      <c r="L142" s="553">
        <f>+[193]Metrado!F136</f>
        <v>0</v>
      </c>
      <c r="M142" s="553">
        <f t="shared" si="64"/>
        <v>0</v>
      </c>
      <c r="N142" s="553">
        <f t="shared" si="67"/>
        <v>0</v>
      </c>
      <c r="O142" s="553">
        <f t="shared" si="64"/>
        <v>0</v>
      </c>
      <c r="P142" s="553"/>
      <c r="Q142" s="553">
        <f t="shared" si="64"/>
        <v>0</v>
      </c>
      <c r="R142" s="553">
        <f t="shared" si="68"/>
        <v>0.54</v>
      </c>
      <c r="S142" s="553">
        <f t="shared" si="64"/>
        <v>40.479999999999997</v>
      </c>
      <c r="T142" s="553">
        <f t="shared" si="69"/>
        <v>0.54</v>
      </c>
      <c r="U142" s="553">
        <f t="shared" si="65"/>
        <v>40.479999999999997</v>
      </c>
      <c r="V142" s="553"/>
      <c r="Y142" s="1147">
        <v>0</v>
      </c>
    </row>
    <row r="143" spans="2:25" ht="21" customHeight="1" x14ac:dyDescent="0.25">
      <c r="B143" s="554">
        <f t="shared" si="62"/>
        <v>1.1400000000000001</v>
      </c>
      <c r="C143" s="584" t="e">
        <f t="shared" si="70"/>
        <v>#REF!</v>
      </c>
      <c r="D143" s="495" t="s">
        <v>371</v>
      </c>
      <c r="E143" s="511"/>
      <c r="F143" s="512"/>
      <c r="G143" s="530" t="s">
        <v>12</v>
      </c>
      <c r="H143" s="553">
        <v>70.349999999999994</v>
      </c>
      <c r="I143" s="553"/>
      <c r="J143" s="553">
        <v>0.88000000000000012</v>
      </c>
      <c r="K143" s="553">
        <f t="shared" si="66"/>
        <v>61.91</v>
      </c>
      <c r="L143" s="553">
        <f>+[193]Metrado!F137</f>
        <v>0.72000000000000008</v>
      </c>
      <c r="M143" s="553">
        <f t="shared" si="64"/>
        <v>50.65</v>
      </c>
      <c r="N143" s="553">
        <f t="shared" si="67"/>
        <v>0</v>
      </c>
      <c r="O143" s="553">
        <f t="shared" si="64"/>
        <v>0</v>
      </c>
      <c r="P143" s="553"/>
      <c r="Q143" s="553">
        <f t="shared" si="64"/>
        <v>0</v>
      </c>
      <c r="R143" s="553">
        <f t="shared" si="68"/>
        <v>0.16000000000000003</v>
      </c>
      <c r="S143" s="553">
        <f t="shared" si="64"/>
        <v>11.26</v>
      </c>
      <c r="T143" s="553"/>
      <c r="U143" s="553">
        <f t="shared" si="65"/>
        <v>0</v>
      </c>
      <c r="V143" s="553"/>
      <c r="Y143" s="1147">
        <v>0</v>
      </c>
    </row>
    <row r="144" spans="2:25" ht="21" customHeight="1" x14ac:dyDescent="0.25">
      <c r="B144" s="554">
        <f t="shared" si="62"/>
        <v>1.1500000000000001</v>
      </c>
      <c r="C144" s="584" t="e">
        <f t="shared" si="70"/>
        <v>#REF!</v>
      </c>
      <c r="D144" s="495" t="s">
        <v>372</v>
      </c>
      <c r="E144" s="496"/>
      <c r="F144" s="497"/>
      <c r="G144" s="530" t="s">
        <v>12</v>
      </c>
      <c r="H144" s="553">
        <v>91.14</v>
      </c>
      <c r="I144" s="553"/>
      <c r="J144" s="553">
        <v>0.05</v>
      </c>
      <c r="K144" s="553">
        <f t="shared" si="66"/>
        <v>4.5599999999999996</v>
      </c>
      <c r="L144" s="553">
        <f>+[193]Metrado!F138</f>
        <v>0.16999999999999998</v>
      </c>
      <c r="M144" s="553">
        <f t="shared" si="64"/>
        <v>15.49</v>
      </c>
      <c r="N144" s="553">
        <f t="shared" si="67"/>
        <v>0.11999999999999998</v>
      </c>
      <c r="O144" s="553">
        <f t="shared" si="64"/>
        <v>10.94</v>
      </c>
      <c r="P144" s="553"/>
      <c r="Q144" s="553">
        <f t="shared" si="64"/>
        <v>0</v>
      </c>
      <c r="R144" s="553">
        <f t="shared" si="68"/>
        <v>0</v>
      </c>
      <c r="S144" s="553">
        <f t="shared" si="64"/>
        <v>0</v>
      </c>
      <c r="T144" s="553"/>
      <c r="U144" s="553">
        <f t="shared" si="65"/>
        <v>0</v>
      </c>
      <c r="V144" s="553"/>
      <c r="Y144" s="1147">
        <v>0</v>
      </c>
    </row>
    <row r="145" spans="2:25" s="547" customFormat="1" ht="21" customHeight="1" x14ac:dyDescent="0.25">
      <c r="B145" s="559">
        <f t="shared" si="62"/>
        <v>1.1600000000000001</v>
      </c>
      <c r="C145" s="577" t="e">
        <f t="shared" si="70"/>
        <v>#REF!</v>
      </c>
      <c r="D145" s="516" t="s">
        <v>373</v>
      </c>
      <c r="E145" s="545"/>
      <c r="F145" s="546"/>
      <c r="G145" s="531" t="s">
        <v>11</v>
      </c>
      <c r="H145" s="560"/>
      <c r="I145" s="560">
        <v>95.233500000000006</v>
      </c>
      <c r="J145" s="560"/>
      <c r="K145" s="560">
        <f t="shared" si="66"/>
        <v>0</v>
      </c>
      <c r="L145" s="560">
        <f>+[193]Metrado!F139</f>
        <v>14</v>
      </c>
      <c r="M145" s="560">
        <f>+ROUND($I145*L145,2)</f>
        <v>1333.27</v>
      </c>
      <c r="N145" s="560"/>
      <c r="O145" s="560">
        <f t="shared" si="64"/>
        <v>0</v>
      </c>
      <c r="P145" s="560">
        <f>+L145</f>
        <v>14</v>
      </c>
      <c r="Q145" s="560">
        <f>+ROUND($I145*P145,2)</f>
        <v>1333.27</v>
      </c>
      <c r="R145" s="560"/>
      <c r="S145" s="560">
        <f t="shared" si="64"/>
        <v>0</v>
      </c>
      <c r="T145" s="560"/>
      <c r="U145" s="560">
        <f t="shared" si="65"/>
        <v>0</v>
      </c>
      <c r="V145" s="560"/>
      <c r="Y145" s="1149">
        <v>0</v>
      </c>
    </row>
    <row r="146" spans="2:25" s="547" customFormat="1" ht="21" customHeight="1" x14ac:dyDescent="0.25">
      <c r="B146" s="559">
        <f t="shared" si="62"/>
        <v>1.1700000000000002</v>
      </c>
      <c r="C146" s="577" t="e">
        <f t="shared" si="70"/>
        <v>#REF!</v>
      </c>
      <c r="D146" s="516" t="s">
        <v>374</v>
      </c>
      <c r="E146" s="545"/>
      <c r="F146" s="546"/>
      <c r="G146" s="531" t="s">
        <v>11</v>
      </c>
      <c r="H146" s="560"/>
      <c r="I146" s="560">
        <v>105.815</v>
      </c>
      <c r="J146" s="560"/>
      <c r="K146" s="560">
        <f t="shared" si="66"/>
        <v>0</v>
      </c>
      <c r="L146" s="560">
        <f>+[193]Metrado!F140</f>
        <v>16</v>
      </c>
      <c r="M146" s="560">
        <f t="shared" ref="M146:M155" si="71">+ROUND($I146*L146,2)</f>
        <v>1693.04</v>
      </c>
      <c r="N146" s="560"/>
      <c r="O146" s="560">
        <f t="shared" ref="O146:O155" si="72">+ROUND($H146*N146,2)</f>
        <v>0</v>
      </c>
      <c r="P146" s="560">
        <f t="shared" ref="P146:P155" si="73">+L146</f>
        <v>16</v>
      </c>
      <c r="Q146" s="560">
        <f t="shared" ref="Q146" si="74">+ROUND($I146*P146,2)</f>
        <v>1693.04</v>
      </c>
      <c r="R146" s="560"/>
      <c r="S146" s="560">
        <f t="shared" ref="S146:S155" si="75">+ROUND($H146*R146,2)</f>
        <v>0</v>
      </c>
      <c r="T146" s="560"/>
      <c r="U146" s="560">
        <f t="shared" si="65"/>
        <v>0</v>
      </c>
      <c r="V146" s="560"/>
      <c r="Y146" s="1149">
        <v>0</v>
      </c>
    </row>
    <row r="147" spans="2:25" s="547" customFormat="1" ht="21" customHeight="1" x14ac:dyDescent="0.25">
      <c r="B147" s="559">
        <f t="shared" si="62"/>
        <v>1.1800000000000002</v>
      </c>
      <c r="C147" s="577" t="e">
        <f>+#REF!+1</f>
        <v>#REF!</v>
      </c>
      <c r="D147" s="516" t="s">
        <v>375</v>
      </c>
      <c r="E147" s="545"/>
      <c r="F147" s="546"/>
      <c r="G147" s="531" t="s">
        <v>12</v>
      </c>
      <c r="H147" s="560"/>
      <c r="I147" s="560">
        <f>+H137*1.1</f>
        <v>74.833000000000013</v>
      </c>
      <c r="J147" s="560"/>
      <c r="K147" s="560">
        <f t="shared" si="66"/>
        <v>0</v>
      </c>
      <c r="L147" s="560">
        <f>+[193]Metrado!F141</f>
        <v>0.44</v>
      </c>
      <c r="M147" s="560">
        <f t="shared" si="71"/>
        <v>32.93</v>
      </c>
      <c r="N147" s="560"/>
      <c r="O147" s="560">
        <f t="shared" si="72"/>
        <v>0</v>
      </c>
      <c r="P147" s="560">
        <f t="shared" si="73"/>
        <v>0.44</v>
      </c>
      <c r="Q147" s="560">
        <f t="shared" ref="Q147" si="76">+ROUND($I147*P147,2)</f>
        <v>32.93</v>
      </c>
      <c r="R147" s="560"/>
      <c r="S147" s="560">
        <f t="shared" si="75"/>
        <v>0</v>
      </c>
      <c r="T147" s="560"/>
      <c r="U147" s="560">
        <f t="shared" si="65"/>
        <v>0</v>
      </c>
      <c r="V147" s="560"/>
      <c r="Y147" s="1149">
        <v>0</v>
      </c>
    </row>
    <row r="148" spans="2:25" s="547" customFormat="1" ht="21" customHeight="1" x14ac:dyDescent="0.25">
      <c r="B148" s="559">
        <f t="shared" si="62"/>
        <v>1.1900000000000002</v>
      </c>
      <c r="C148" s="577" t="e">
        <f>+#REF!+1</f>
        <v>#REF!</v>
      </c>
      <c r="D148" s="516" t="s">
        <v>376</v>
      </c>
      <c r="E148" s="646"/>
      <c r="F148" s="636"/>
      <c r="G148" s="531" t="s">
        <v>12</v>
      </c>
      <c r="H148" s="560"/>
      <c r="I148" s="560">
        <f>+H137</f>
        <v>68.03</v>
      </c>
      <c r="J148" s="560"/>
      <c r="K148" s="560">
        <f t="shared" si="66"/>
        <v>0</v>
      </c>
      <c r="L148" s="560">
        <f>+[193]Metrado!F142</f>
        <v>4.3100000000000005</v>
      </c>
      <c r="M148" s="560">
        <f t="shared" si="71"/>
        <v>293.20999999999998</v>
      </c>
      <c r="N148" s="560"/>
      <c r="O148" s="560">
        <f t="shared" si="72"/>
        <v>0</v>
      </c>
      <c r="P148" s="560">
        <f t="shared" si="73"/>
        <v>4.3100000000000005</v>
      </c>
      <c r="Q148" s="560">
        <f t="shared" ref="Q148" si="77">+ROUND($I148*P148,2)</f>
        <v>293.20999999999998</v>
      </c>
      <c r="R148" s="560"/>
      <c r="S148" s="560">
        <f t="shared" si="75"/>
        <v>0</v>
      </c>
      <c r="T148" s="560"/>
      <c r="U148" s="560">
        <f t="shared" si="65"/>
        <v>0</v>
      </c>
      <c r="V148" s="560"/>
      <c r="Y148" s="1149">
        <v>0</v>
      </c>
    </row>
    <row r="149" spans="2:25" s="547" customFormat="1" ht="21" customHeight="1" x14ac:dyDescent="0.25">
      <c r="B149" s="559">
        <f t="shared" si="62"/>
        <v>1.2000000000000002</v>
      </c>
      <c r="C149" s="577" t="e">
        <f t="shared" si="70"/>
        <v>#REF!</v>
      </c>
      <c r="D149" s="516" t="s">
        <v>377</v>
      </c>
      <c r="E149" s="649"/>
      <c r="F149" s="650"/>
      <c r="G149" s="531" t="s">
        <v>12</v>
      </c>
      <c r="H149" s="560"/>
      <c r="I149" s="560">
        <f>+H139</f>
        <v>55.09</v>
      </c>
      <c r="J149" s="560"/>
      <c r="K149" s="560">
        <f t="shared" si="66"/>
        <v>0</v>
      </c>
      <c r="L149" s="560">
        <f>+[193]Metrado!F143</f>
        <v>5.25</v>
      </c>
      <c r="M149" s="560">
        <f t="shared" si="71"/>
        <v>289.22000000000003</v>
      </c>
      <c r="N149" s="560"/>
      <c r="O149" s="560">
        <f t="shared" si="72"/>
        <v>0</v>
      </c>
      <c r="P149" s="560">
        <f t="shared" si="73"/>
        <v>5.25</v>
      </c>
      <c r="Q149" s="560">
        <f t="shared" ref="Q149" si="78">+ROUND($I149*P149,2)</f>
        <v>289.22000000000003</v>
      </c>
      <c r="R149" s="560"/>
      <c r="S149" s="560">
        <f t="shared" si="75"/>
        <v>0</v>
      </c>
      <c r="T149" s="560"/>
      <c r="U149" s="560">
        <f t="shared" si="65"/>
        <v>0</v>
      </c>
      <c r="V149" s="560"/>
      <c r="Y149" s="1149">
        <v>0</v>
      </c>
    </row>
    <row r="150" spans="2:25" s="547" customFormat="1" ht="21" customHeight="1" x14ac:dyDescent="0.25">
      <c r="B150" s="559">
        <f t="shared" si="62"/>
        <v>1.2100000000000002</v>
      </c>
      <c r="C150" s="577" t="e">
        <f t="shared" si="70"/>
        <v>#REF!</v>
      </c>
      <c r="D150" s="516" t="s">
        <v>1015</v>
      </c>
      <c r="E150" s="545"/>
      <c r="F150" s="546"/>
      <c r="G150" s="531" t="s">
        <v>12</v>
      </c>
      <c r="H150" s="560"/>
      <c r="I150" s="560">
        <f>+H142*1.4</f>
        <v>104.94399999999999</v>
      </c>
      <c r="J150" s="560"/>
      <c r="K150" s="560">
        <f t="shared" si="66"/>
        <v>0</v>
      </c>
      <c r="L150" s="560">
        <f>+[193]Metrado!F144</f>
        <v>0.42</v>
      </c>
      <c r="M150" s="560">
        <f t="shared" si="71"/>
        <v>44.08</v>
      </c>
      <c r="N150" s="560"/>
      <c r="O150" s="560">
        <f t="shared" si="72"/>
        <v>0</v>
      </c>
      <c r="P150" s="560">
        <f t="shared" si="73"/>
        <v>0.42</v>
      </c>
      <c r="Q150" s="560">
        <f t="shared" ref="Q150" si="79">+ROUND($I150*P150,2)</f>
        <v>44.08</v>
      </c>
      <c r="R150" s="560"/>
      <c r="S150" s="560">
        <f t="shared" si="75"/>
        <v>0</v>
      </c>
      <c r="T150" s="560"/>
      <c r="U150" s="560">
        <f t="shared" si="65"/>
        <v>0</v>
      </c>
      <c r="V150" s="560"/>
      <c r="Y150" s="1149">
        <v>0</v>
      </c>
    </row>
    <row r="151" spans="2:25" s="547" customFormat="1" ht="21" customHeight="1" x14ac:dyDescent="0.25">
      <c r="B151" s="559">
        <f t="shared" si="62"/>
        <v>1.2200000000000002</v>
      </c>
      <c r="C151" s="577" t="e">
        <f t="shared" si="70"/>
        <v>#REF!</v>
      </c>
      <c r="D151" s="516" t="s">
        <v>1014</v>
      </c>
      <c r="E151" s="545"/>
      <c r="F151" s="546"/>
      <c r="G151" s="531" t="s">
        <v>12</v>
      </c>
      <c r="H151" s="560"/>
      <c r="I151" s="560">
        <f>+H142*1.2</f>
        <v>89.951999999999984</v>
      </c>
      <c r="J151" s="560"/>
      <c r="K151" s="560">
        <f t="shared" si="66"/>
        <v>0</v>
      </c>
      <c r="L151" s="560">
        <f>+[193]Metrado!F145</f>
        <v>2.5299999999999998</v>
      </c>
      <c r="M151" s="560">
        <f t="shared" si="71"/>
        <v>227.58</v>
      </c>
      <c r="N151" s="560"/>
      <c r="O151" s="560">
        <f t="shared" si="72"/>
        <v>0</v>
      </c>
      <c r="P151" s="560">
        <f t="shared" si="73"/>
        <v>2.5299999999999998</v>
      </c>
      <c r="Q151" s="560">
        <f t="shared" ref="Q151:Q153" si="80">+ROUND($I151*P151,2)</f>
        <v>227.58</v>
      </c>
      <c r="R151" s="560"/>
      <c r="S151" s="560">
        <f t="shared" si="75"/>
        <v>0</v>
      </c>
      <c r="T151" s="560"/>
      <c r="U151" s="560">
        <f t="shared" si="65"/>
        <v>0</v>
      </c>
      <c r="V151" s="560"/>
      <c r="Y151" s="1149">
        <v>0</v>
      </c>
    </row>
    <row r="152" spans="2:25" s="547" customFormat="1" ht="21" customHeight="1" x14ac:dyDescent="0.25">
      <c r="B152" s="559">
        <f t="shared" si="62"/>
        <v>1.2300000000000002</v>
      </c>
      <c r="C152" s="577" t="e">
        <f>+C149+1</f>
        <v>#REF!</v>
      </c>
      <c r="D152" s="516" t="s">
        <v>1011</v>
      </c>
      <c r="E152" s="646"/>
      <c r="F152" s="636"/>
      <c r="G152" s="531" t="s">
        <v>12</v>
      </c>
      <c r="H152" s="560"/>
      <c r="I152" s="560">
        <f>+H143*1.2</f>
        <v>84.419999999999987</v>
      </c>
      <c r="J152" s="560"/>
      <c r="K152" s="560">
        <f t="shared" ref="K152:K153" si="81">+ROUND($H152*J152,2)</f>
        <v>0</v>
      </c>
      <c r="L152" s="560">
        <f>+[193]Metrado!F146</f>
        <v>6.8100000000000005</v>
      </c>
      <c r="M152" s="560">
        <f t="shared" ref="M152:M153" si="82">+ROUND($I152*L152,2)</f>
        <v>574.9</v>
      </c>
      <c r="N152" s="560"/>
      <c r="O152" s="560">
        <f t="shared" ref="O152:O153" si="83">+ROUND($H152*N152,2)</f>
        <v>0</v>
      </c>
      <c r="P152" s="560">
        <f t="shared" ref="P152:P153" si="84">+L152</f>
        <v>6.8100000000000005</v>
      </c>
      <c r="Q152" s="560">
        <f t="shared" si="80"/>
        <v>574.9</v>
      </c>
      <c r="R152" s="560"/>
      <c r="S152" s="560">
        <f t="shared" ref="S152:S153" si="85">+ROUND($H152*R152,2)</f>
        <v>0</v>
      </c>
      <c r="T152" s="560"/>
      <c r="U152" s="560">
        <f t="shared" ref="U152:U153" si="86">+ROUND($H152*T152,2)</f>
        <v>0</v>
      </c>
      <c r="V152" s="560"/>
      <c r="W152" s="1127"/>
      <c r="Y152" s="1149">
        <v>0</v>
      </c>
    </row>
    <row r="153" spans="2:25" s="547" customFormat="1" ht="21" customHeight="1" x14ac:dyDescent="0.25">
      <c r="B153" s="559">
        <f t="shared" si="62"/>
        <v>1.2400000000000002</v>
      </c>
      <c r="C153" s="577" t="e">
        <f t="shared" si="70"/>
        <v>#REF!</v>
      </c>
      <c r="D153" s="516" t="s">
        <v>1012</v>
      </c>
      <c r="E153" s="646"/>
      <c r="F153" s="636"/>
      <c r="G153" s="596" t="s">
        <v>12</v>
      </c>
      <c r="H153" s="640"/>
      <c r="I153" s="560">
        <f>+H144*1.2</f>
        <v>109.36799999999999</v>
      </c>
      <c r="J153" s="560"/>
      <c r="K153" s="560">
        <f t="shared" si="81"/>
        <v>0</v>
      </c>
      <c r="L153" s="560">
        <f>+[193]Metrado!F147</f>
        <v>0.68000000000000016</v>
      </c>
      <c r="M153" s="560">
        <f t="shared" si="82"/>
        <v>74.37</v>
      </c>
      <c r="N153" s="560"/>
      <c r="O153" s="560">
        <f t="shared" si="83"/>
        <v>0</v>
      </c>
      <c r="P153" s="560">
        <f t="shared" si="84"/>
        <v>0.68000000000000016</v>
      </c>
      <c r="Q153" s="560">
        <f t="shared" si="80"/>
        <v>74.37</v>
      </c>
      <c r="R153" s="640"/>
      <c r="S153" s="560">
        <f t="shared" si="85"/>
        <v>0</v>
      </c>
      <c r="T153" s="640"/>
      <c r="U153" s="560">
        <f t="shared" si="86"/>
        <v>0</v>
      </c>
      <c r="V153" s="640"/>
      <c r="W153" s="1127"/>
      <c r="Y153" s="1149">
        <v>0</v>
      </c>
    </row>
    <row r="154" spans="2:25" s="547" customFormat="1" ht="21" customHeight="1" x14ac:dyDescent="0.25">
      <c r="B154" s="559">
        <f t="shared" si="62"/>
        <v>1.2500000000000002</v>
      </c>
      <c r="C154" s="577" t="e">
        <f>+C151+1</f>
        <v>#REF!</v>
      </c>
      <c r="D154" s="516" t="s">
        <v>378</v>
      </c>
      <c r="E154" s="646"/>
      <c r="F154" s="636"/>
      <c r="G154" s="531" t="s">
        <v>11</v>
      </c>
      <c r="H154" s="560"/>
      <c r="I154" s="560">
        <f>+H133*0.4</f>
        <v>25.148</v>
      </c>
      <c r="J154" s="560"/>
      <c r="K154" s="560">
        <f t="shared" si="66"/>
        <v>0</v>
      </c>
      <c r="L154" s="560">
        <f>+[193]Metrado!F148</f>
        <v>70</v>
      </c>
      <c r="M154" s="560">
        <f t="shared" si="71"/>
        <v>1760.36</v>
      </c>
      <c r="N154" s="560"/>
      <c r="O154" s="560">
        <f t="shared" si="72"/>
        <v>0</v>
      </c>
      <c r="P154" s="560">
        <f t="shared" si="73"/>
        <v>70</v>
      </c>
      <c r="Q154" s="560">
        <f t="shared" ref="Q154" si="87">+ROUND($I154*P154,2)</f>
        <v>1760.36</v>
      </c>
      <c r="R154" s="560"/>
      <c r="S154" s="560">
        <f t="shared" si="75"/>
        <v>0</v>
      </c>
      <c r="T154" s="560"/>
      <c r="U154" s="560">
        <f t="shared" si="65"/>
        <v>0</v>
      </c>
      <c r="V154" s="560"/>
      <c r="Y154" s="1149">
        <v>0</v>
      </c>
    </row>
    <row r="155" spans="2:25" s="547" customFormat="1" ht="21" customHeight="1" x14ac:dyDescent="0.25">
      <c r="B155" s="559">
        <f t="shared" si="62"/>
        <v>1.2600000000000002</v>
      </c>
      <c r="C155" s="577" t="e">
        <f t="shared" si="70"/>
        <v>#REF!</v>
      </c>
      <c r="D155" s="516" t="s">
        <v>1013</v>
      </c>
      <c r="E155" s="646"/>
      <c r="F155" s="636"/>
      <c r="G155" s="596" t="s">
        <v>11</v>
      </c>
      <c r="H155" s="640"/>
      <c r="I155" s="640">
        <f>+H134*0.4</f>
        <v>29.483999999999998</v>
      </c>
      <c r="J155" s="560"/>
      <c r="K155" s="560">
        <f t="shared" si="66"/>
        <v>0</v>
      </c>
      <c r="L155" s="560">
        <f>+[193]Metrado!F149</f>
        <v>10</v>
      </c>
      <c r="M155" s="560">
        <f t="shared" si="71"/>
        <v>294.83999999999997</v>
      </c>
      <c r="N155" s="560"/>
      <c r="O155" s="560">
        <f t="shared" si="72"/>
        <v>0</v>
      </c>
      <c r="P155" s="560">
        <f t="shared" si="73"/>
        <v>10</v>
      </c>
      <c r="Q155" s="560">
        <f t="shared" ref="Q155" si="88">+ROUND($I155*P155,2)</f>
        <v>294.83999999999997</v>
      </c>
      <c r="R155" s="640"/>
      <c r="S155" s="560">
        <f t="shared" si="75"/>
        <v>0</v>
      </c>
      <c r="T155" s="640"/>
      <c r="U155" s="560">
        <f t="shared" si="65"/>
        <v>0</v>
      </c>
      <c r="V155" s="640"/>
      <c r="Y155" s="1149">
        <v>0</v>
      </c>
    </row>
    <row r="156" spans="2:25" ht="21" customHeight="1" x14ac:dyDescent="0.25">
      <c r="B156" s="598"/>
      <c r="C156" s="575" t="e">
        <f t="shared" si="70"/>
        <v>#REF!</v>
      </c>
      <c r="D156" s="542"/>
      <c r="E156" s="599"/>
      <c r="F156" s="544" t="str">
        <f>+"SUB-TOTAL   "&amp;B129&amp;":  "</f>
        <v xml:space="preserve">SUB-TOTAL   1:  </v>
      </c>
      <c r="G156" s="567"/>
      <c r="H156" s="540"/>
      <c r="I156" s="540"/>
      <c r="J156" s="540"/>
      <c r="K156" s="472">
        <f>+SUM(K130:K155)</f>
        <v>49788.05000000001</v>
      </c>
      <c r="L156" s="540"/>
      <c r="M156" s="472">
        <f>+SUM(M130:M155)</f>
        <v>56482.880000000012</v>
      </c>
      <c r="N156" s="540">
        <f>+IF($L156-$J156&gt;=0,$L156-$J156,0)</f>
        <v>0</v>
      </c>
      <c r="O156" s="472">
        <f>+SUM(O130:O155)</f>
        <v>5520.9199999999992</v>
      </c>
      <c r="P156" s="540"/>
      <c r="Q156" s="472">
        <f>+SUM(Q130:Q155)</f>
        <v>6617.7999999999993</v>
      </c>
      <c r="R156" s="540">
        <f>+IF($L156-$J156&lt;=0,-$L156+$J156,0)</f>
        <v>0</v>
      </c>
      <c r="S156" s="472">
        <f>+SUM(S130:S155)</f>
        <v>5443.88</v>
      </c>
      <c r="T156" s="540"/>
      <c r="U156" s="472">
        <f>+SUM(U130:U155)</f>
        <v>5432.62</v>
      </c>
      <c r="V156" s="540"/>
      <c r="Y156" s="1147">
        <v>0</v>
      </c>
    </row>
    <row r="157" spans="2:25" ht="21" customHeight="1" x14ac:dyDescent="0.25">
      <c r="B157" s="439">
        <v>2</v>
      </c>
      <c r="C157" s="482" t="e">
        <f t="shared" si="70"/>
        <v>#REF!</v>
      </c>
      <c r="D157" s="441" t="s">
        <v>38</v>
      </c>
      <c r="E157" s="487"/>
      <c r="F157" s="469"/>
      <c r="G157" s="440"/>
      <c r="H157" s="438"/>
      <c r="I157" s="438"/>
      <c r="J157" s="438"/>
      <c r="K157" s="470"/>
      <c r="L157" s="438"/>
      <c r="M157" s="470"/>
      <c r="N157" s="470"/>
      <c r="O157" s="470"/>
      <c r="P157" s="470"/>
      <c r="Q157" s="470"/>
      <c r="R157" s="470"/>
      <c r="S157" s="470"/>
      <c r="T157" s="470"/>
      <c r="U157" s="470"/>
      <c r="V157" s="470"/>
      <c r="Y157" s="1147">
        <v>0</v>
      </c>
    </row>
    <row r="158" spans="2:25" ht="21" customHeight="1" x14ac:dyDescent="0.25">
      <c r="B158" s="554">
        <f t="shared" ref="B158:B167" si="89">+B157+0.01</f>
        <v>2.0099999999999998</v>
      </c>
      <c r="C158" s="577" t="e">
        <f t="shared" si="70"/>
        <v>#REF!</v>
      </c>
      <c r="D158" s="495" t="s">
        <v>379</v>
      </c>
      <c r="E158" s="517"/>
      <c r="F158" s="518"/>
      <c r="G158" s="530" t="s">
        <v>431</v>
      </c>
      <c r="H158" s="553">
        <v>61.15</v>
      </c>
      <c r="I158" s="553"/>
      <c r="J158" s="553">
        <v>126.36</v>
      </c>
      <c r="K158" s="553">
        <f t="shared" ref="K158" si="90">+ROUND($H158*J158,2)</f>
        <v>7726.91</v>
      </c>
      <c r="L158" s="553">
        <f>+[193]Metrado!F152</f>
        <v>115.14000000000001</v>
      </c>
      <c r="M158" s="553">
        <f t="shared" ref="M158:S167" si="91">+ROUND($H158*L158,2)</f>
        <v>7040.81</v>
      </c>
      <c r="N158" s="553">
        <f>+IF($L158-$J158&gt;=0,$L158-$J158,0)</f>
        <v>0</v>
      </c>
      <c r="O158" s="553">
        <f t="shared" si="91"/>
        <v>0</v>
      </c>
      <c r="P158" s="553"/>
      <c r="Q158" s="553">
        <f t="shared" si="91"/>
        <v>0</v>
      </c>
      <c r="R158" s="553">
        <f>+IF($L158-$J158&lt;=0,-$L158+$J158,0)</f>
        <v>11.219999999999985</v>
      </c>
      <c r="S158" s="553">
        <f t="shared" si="91"/>
        <v>686.1</v>
      </c>
      <c r="T158" s="553">
        <f>+N159</f>
        <v>2.94</v>
      </c>
      <c r="U158" s="553">
        <f t="shared" ref="U158:U167" si="92">+ROUND($H158*T158,2)</f>
        <v>179.78</v>
      </c>
      <c r="V158" s="553" t="s">
        <v>862</v>
      </c>
      <c r="Y158" s="1147">
        <v>0</v>
      </c>
    </row>
    <row r="159" spans="2:25" ht="21" customHeight="1" x14ac:dyDescent="0.25">
      <c r="B159" s="554">
        <f t="shared" si="89"/>
        <v>2.0199999999999996</v>
      </c>
      <c r="C159" s="577" t="e">
        <f t="shared" si="70"/>
        <v>#REF!</v>
      </c>
      <c r="D159" s="495" t="s">
        <v>380</v>
      </c>
      <c r="E159" s="519"/>
      <c r="F159" s="520"/>
      <c r="G159" s="530" t="s">
        <v>431</v>
      </c>
      <c r="H159" s="606">
        <v>208.14</v>
      </c>
      <c r="I159" s="713"/>
      <c r="J159" s="553">
        <v>2.94</v>
      </c>
      <c r="K159" s="553">
        <f t="shared" ref="K159:K167" si="93">+ROUND($H159*J159,2)</f>
        <v>611.92999999999995</v>
      </c>
      <c r="L159" s="553">
        <f>+[193]Metrado!F153</f>
        <v>5.88</v>
      </c>
      <c r="M159" s="553">
        <f t="shared" si="91"/>
        <v>1223.8599999999999</v>
      </c>
      <c r="N159" s="553">
        <f t="shared" ref="N159:N165" si="94">+IF($L159-$J159&gt;=0,$L159-$J159,0)</f>
        <v>2.94</v>
      </c>
      <c r="O159" s="553">
        <f t="shared" si="91"/>
        <v>611.92999999999995</v>
      </c>
      <c r="P159" s="606"/>
      <c r="Q159" s="553">
        <f t="shared" si="91"/>
        <v>0</v>
      </c>
      <c r="R159" s="553">
        <f t="shared" ref="R159:R165" si="95">+IF($L159-$J159&lt;=0,-$L159+$J159,0)</f>
        <v>0</v>
      </c>
      <c r="S159" s="553">
        <f t="shared" si="91"/>
        <v>0</v>
      </c>
      <c r="T159" s="606"/>
      <c r="U159" s="553">
        <f t="shared" si="92"/>
        <v>0</v>
      </c>
      <c r="V159" s="606"/>
      <c r="Y159" s="1147">
        <v>0</v>
      </c>
    </row>
    <row r="160" spans="2:25" ht="21" customHeight="1" x14ac:dyDescent="0.25">
      <c r="B160" s="554">
        <f t="shared" si="89"/>
        <v>2.0299999999999994</v>
      </c>
      <c r="C160" s="584" t="e">
        <f t="shared" si="70"/>
        <v>#REF!</v>
      </c>
      <c r="D160" s="495" t="s">
        <v>68</v>
      </c>
      <c r="E160" s="521"/>
      <c r="F160" s="522"/>
      <c r="G160" s="530" t="s">
        <v>11</v>
      </c>
      <c r="H160" s="553">
        <v>72.7</v>
      </c>
      <c r="I160" s="553"/>
      <c r="J160" s="553">
        <v>153</v>
      </c>
      <c r="K160" s="553">
        <f t="shared" si="93"/>
        <v>11123.1</v>
      </c>
      <c r="L160" s="553">
        <f>+[193]Metrado!F154</f>
        <v>141</v>
      </c>
      <c r="M160" s="553">
        <f t="shared" si="91"/>
        <v>10250.700000000001</v>
      </c>
      <c r="N160" s="553">
        <f t="shared" si="94"/>
        <v>0</v>
      </c>
      <c r="O160" s="553">
        <f t="shared" si="91"/>
        <v>0</v>
      </c>
      <c r="P160" s="553"/>
      <c r="Q160" s="553">
        <f t="shared" si="91"/>
        <v>0</v>
      </c>
      <c r="R160" s="553">
        <f t="shared" si="95"/>
        <v>12</v>
      </c>
      <c r="S160" s="553">
        <f t="shared" si="91"/>
        <v>872.4</v>
      </c>
      <c r="T160" s="553">
        <f>+R160</f>
        <v>12</v>
      </c>
      <c r="U160" s="553">
        <f t="shared" si="92"/>
        <v>872.4</v>
      </c>
      <c r="V160" s="553" t="s">
        <v>830</v>
      </c>
      <c r="Y160" s="1147">
        <v>0</v>
      </c>
    </row>
    <row r="161" spans="2:27" ht="21" customHeight="1" x14ac:dyDescent="0.25">
      <c r="B161" s="554">
        <f t="shared" si="89"/>
        <v>2.0399999999999991</v>
      </c>
      <c r="C161" s="584" t="e">
        <f t="shared" si="70"/>
        <v>#REF!</v>
      </c>
      <c r="D161" s="495" t="s">
        <v>381</v>
      </c>
      <c r="E161" s="521"/>
      <c r="F161" s="522"/>
      <c r="G161" s="530" t="s">
        <v>11</v>
      </c>
      <c r="H161" s="553">
        <v>81.34</v>
      </c>
      <c r="I161" s="553"/>
      <c r="J161" s="553">
        <v>79</v>
      </c>
      <c r="K161" s="553">
        <f t="shared" si="93"/>
        <v>6425.86</v>
      </c>
      <c r="L161" s="553">
        <f>+[193]Metrado!F155</f>
        <v>100</v>
      </c>
      <c r="M161" s="553">
        <f t="shared" si="91"/>
        <v>8134</v>
      </c>
      <c r="N161" s="553">
        <f t="shared" si="94"/>
        <v>21</v>
      </c>
      <c r="O161" s="553">
        <f t="shared" si="91"/>
        <v>1708.14</v>
      </c>
      <c r="P161" s="553"/>
      <c r="Q161" s="553">
        <f t="shared" si="91"/>
        <v>0</v>
      </c>
      <c r="R161" s="553">
        <f t="shared" si="95"/>
        <v>0</v>
      </c>
      <c r="S161" s="553">
        <f t="shared" si="91"/>
        <v>0</v>
      </c>
      <c r="T161" s="553"/>
      <c r="U161" s="553">
        <f t="shared" si="92"/>
        <v>0</v>
      </c>
      <c r="V161" s="553"/>
      <c r="Y161" s="1147">
        <v>0</v>
      </c>
    </row>
    <row r="162" spans="2:27" ht="21" customHeight="1" x14ac:dyDescent="0.25">
      <c r="B162" s="554">
        <f t="shared" si="89"/>
        <v>2.0499999999999989</v>
      </c>
      <c r="C162" s="584" t="e">
        <f t="shared" si="70"/>
        <v>#REF!</v>
      </c>
      <c r="D162" s="495" t="s">
        <v>382</v>
      </c>
      <c r="E162" s="493"/>
      <c r="F162" s="494"/>
      <c r="G162" s="530" t="s">
        <v>11</v>
      </c>
      <c r="H162" s="553">
        <v>57.73</v>
      </c>
      <c r="I162" s="553"/>
      <c r="J162" s="553">
        <v>9</v>
      </c>
      <c r="K162" s="553">
        <f t="shared" si="93"/>
        <v>519.57000000000005</v>
      </c>
      <c r="L162" s="553">
        <f>+[193]Metrado!F156</f>
        <v>0</v>
      </c>
      <c r="M162" s="553">
        <f t="shared" si="91"/>
        <v>0</v>
      </c>
      <c r="N162" s="553">
        <f t="shared" si="94"/>
        <v>0</v>
      </c>
      <c r="O162" s="553">
        <f t="shared" si="91"/>
        <v>0</v>
      </c>
      <c r="P162" s="553"/>
      <c r="Q162" s="553">
        <f t="shared" si="91"/>
        <v>0</v>
      </c>
      <c r="R162" s="553">
        <f t="shared" si="95"/>
        <v>9</v>
      </c>
      <c r="S162" s="553">
        <f t="shared" si="91"/>
        <v>519.57000000000005</v>
      </c>
      <c r="T162" s="553">
        <f>+R162</f>
        <v>9</v>
      </c>
      <c r="U162" s="553">
        <f t="shared" si="92"/>
        <v>519.57000000000005</v>
      </c>
      <c r="V162" s="553" t="s">
        <v>902</v>
      </c>
      <c r="Y162" s="1147">
        <v>0</v>
      </c>
    </row>
    <row r="163" spans="2:27" ht="21" customHeight="1" x14ac:dyDescent="0.25">
      <c r="B163" s="554">
        <f t="shared" si="89"/>
        <v>2.0599999999999987</v>
      </c>
      <c r="C163" s="584" t="e">
        <f t="shared" si="70"/>
        <v>#REF!</v>
      </c>
      <c r="D163" s="495" t="s">
        <v>383</v>
      </c>
      <c r="E163" s="523"/>
      <c r="F163" s="524"/>
      <c r="G163" s="530" t="s">
        <v>11</v>
      </c>
      <c r="H163" s="553">
        <v>197.37</v>
      </c>
      <c r="I163" s="553"/>
      <c r="J163" s="553">
        <v>225</v>
      </c>
      <c r="K163" s="553">
        <f t="shared" si="93"/>
        <v>44408.25</v>
      </c>
      <c r="L163" s="553">
        <f>+[193]Metrado!F157</f>
        <v>206</v>
      </c>
      <c r="M163" s="553">
        <f t="shared" si="91"/>
        <v>40658.22</v>
      </c>
      <c r="N163" s="553">
        <f t="shared" si="94"/>
        <v>0</v>
      </c>
      <c r="O163" s="553">
        <f t="shared" si="91"/>
        <v>0</v>
      </c>
      <c r="P163" s="553"/>
      <c r="Q163" s="553">
        <f t="shared" si="91"/>
        <v>0</v>
      </c>
      <c r="R163" s="553">
        <f t="shared" si="95"/>
        <v>19</v>
      </c>
      <c r="S163" s="553">
        <f t="shared" si="91"/>
        <v>3750.03</v>
      </c>
      <c r="T163" s="553">
        <f>+R163</f>
        <v>19</v>
      </c>
      <c r="U163" s="553">
        <f t="shared" si="92"/>
        <v>3750.03</v>
      </c>
      <c r="V163" s="553" t="s">
        <v>903</v>
      </c>
      <c r="Y163" s="1147">
        <v>0</v>
      </c>
    </row>
    <row r="164" spans="2:27" ht="21" customHeight="1" x14ac:dyDescent="0.25">
      <c r="B164" s="554">
        <f t="shared" si="89"/>
        <v>2.0699999999999985</v>
      </c>
      <c r="C164" s="584" t="e">
        <f t="shared" si="70"/>
        <v>#REF!</v>
      </c>
      <c r="D164" s="495" t="s">
        <v>384</v>
      </c>
      <c r="E164" s="523"/>
      <c r="F164" s="524"/>
      <c r="G164" s="530" t="s">
        <v>11</v>
      </c>
      <c r="H164" s="553">
        <v>191.97</v>
      </c>
      <c r="I164" s="553"/>
      <c r="J164" s="553">
        <v>7</v>
      </c>
      <c r="K164" s="553">
        <f t="shared" si="93"/>
        <v>1343.79</v>
      </c>
      <c r="L164" s="553">
        <f>+[193]Metrado!F158</f>
        <v>0</v>
      </c>
      <c r="M164" s="553">
        <f t="shared" si="91"/>
        <v>0</v>
      </c>
      <c r="N164" s="553">
        <f t="shared" si="94"/>
        <v>0</v>
      </c>
      <c r="O164" s="553">
        <f t="shared" si="91"/>
        <v>0</v>
      </c>
      <c r="P164" s="553"/>
      <c r="Q164" s="553">
        <f t="shared" si="91"/>
        <v>0</v>
      </c>
      <c r="R164" s="553">
        <f t="shared" si="95"/>
        <v>7</v>
      </c>
      <c r="S164" s="553">
        <f t="shared" si="91"/>
        <v>1343.79</v>
      </c>
      <c r="T164" s="553">
        <f>+R164</f>
        <v>7</v>
      </c>
      <c r="U164" s="553">
        <f t="shared" si="92"/>
        <v>1343.79</v>
      </c>
      <c r="V164" s="553" t="s">
        <v>903</v>
      </c>
      <c r="Y164" s="1147">
        <v>0</v>
      </c>
    </row>
    <row r="165" spans="2:27" ht="21" customHeight="1" x14ac:dyDescent="0.25">
      <c r="B165" s="554">
        <f t="shared" si="89"/>
        <v>2.0799999999999983</v>
      </c>
      <c r="C165" s="584" t="e">
        <f t="shared" si="70"/>
        <v>#REF!</v>
      </c>
      <c r="D165" s="495" t="s">
        <v>385</v>
      </c>
      <c r="E165" s="525"/>
      <c r="F165" s="499"/>
      <c r="G165" s="530" t="s">
        <v>431</v>
      </c>
      <c r="H165" s="553">
        <v>90.22</v>
      </c>
      <c r="I165" s="553"/>
      <c r="J165" s="553">
        <v>4.32</v>
      </c>
      <c r="K165" s="553">
        <f t="shared" si="93"/>
        <v>389.75</v>
      </c>
      <c r="L165" s="553">
        <f>+[193]Metrado!F159</f>
        <v>108.98000000000006</v>
      </c>
      <c r="M165" s="553">
        <f t="shared" si="91"/>
        <v>9832.18</v>
      </c>
      <c r="N165" s="553">
        <f t="shared" si="94"/>
        <v>104.66000000000005</v>
      </c>
      <c r="O165" s="553">
        <f t="shared" si="91"/>
        <v>9442.43</v>
      </c>
      <c r="P165" s="557"/>
      <c r="Q165" s="553">
        <f t="shared" si="91"/>
        <v>0</v>
      </c>
      <c r="R165" s="553">
        <f t="shared" si="95"/>
        <v>0</v>
      </c>
      <c r="S165" s="553">
        <f t="shared" si="91"/>
        <v>0</v>
      </c>
      <c r="T165" s="557"/>
      <c r="U165" s="553">
        <f t="shared" si="92"/>
        <v>0</v>
      </c>
      <c r="V165" s="557"/>
      <c r="Y165" s="1147">
        <v>0</v>
      </c>
    </row>
    <row r="166" spans="2:27" s="547" customFormat="1" ht="21" customHeight="1" x14ac:dyDescent="0.25">
      <c r="B166" s="559">
        <f t="shared" si="89"/>
        <v>2.0899999999999981</v>
      </c>
      <c r="C166" s="577" t="e">
        <f t="shared" si="70"/>
        <v>#REF!</v>
      </c>
      <c r="D166" s="501" t="s">
        <v>386</v>
      </c>
      <c r="E166" s="651"/>
      <c r="F166" s="643"/>
      <c r="G166" s="531" t="s">
        <v>11</v>
      </c>
      <c r="H166" s="560"/>
      <c r="I166" s="560">
        <f>+H162*0.6</f>
        <v>34.637999999999998</v>
      </c>
      <c r="J166" s="560"/>
      <c r="K166" s="560">
        <f t="shared" si="93"/>
        <v>0</v>
      </c>
      <c r="L166" s="560">
        <f>+[193]Metrado!F160</f>
        <v>14</v>
      </c>
      <c r="M166" s="560">
        <f>+ROUND($I166*L166,2)</f>
        <v>484.93</v>
      </c>
      <c r="N166" s="560"/>
      <c r="O166" s="560">
        <f t="shared" si="91"/>
        <v>0</v>
      </c>
      <c r="P166" s="561">
        <f>+L166</f>
        <v>14</v>
      </c>
      <c r="Q166" s="560">
        <f>+ROUND($I166*P166,2)</f>
        <v>484.93</v>
      </c>
      <c r="R166" s="560"/>
      <c r="S166" s="560">
        <f t="shared" si="91"/>
        <v>0</v>
      </c>
      <c r="T166" s="560"/>
      <c r="U166" s="560">
        <f t="shared" si="92"/>
        <v>0</v>
      </c>
      <c r="V166" s="560"/>
      <c r="Y166" s="1149">
        <v>0</v>
      </c>
    </row>
    <row r="167" spans="2:27" s="547" customFormat="1" ht="21" customHeight="1" x14ac:dyDescent="0.25">
      <c r="B167" s="559">
        <f t="shared" si="89"/>
        <v>2.0999999999999979</v>
      </c>
      <c r="C167" s="577" t="e">
        <f t="shared" si="70"/>
        <v>#REF!</v>
      </c>
      <c r="D167" s="501" t="s">
        <v>387</v>
      </c>
      <c r="E167" s="652"/>
      <c r="F167" s="653"/>
      <c r="G167" s="564" t="s">
        <v>11</v>
      </c>
      <c r="H167" s="633"/>
      <c r="I167" s="633">
        <f>+H162*0.65</f>
        <v>37.524499999999996</v>
      </c>
      <c r="J167" s="633"/>
      <c r="K167" s="633">
        <f t="shared" si="93"/>
        <v>0</v>
      </c>
      <c r="L167" s="633">
        <f>+[193]Metrado!F161</f>
        <v>16</v>
      </c>
      <c r="M167" s="633">
        <f>+ROUND($I167*L167,2)</f>
        <v>600.39</v>
      </c>
      <c r="N167" s="633"/>
      <c r="O167" s="633">
        <f t="shared" si="91"/>
        <v>0</v>
      </c>
      <c r="P167" s="634">
        <f>+L167</f>
        <v>16</v>
      </c>
      <c r="Q167" s="633">
        <f>+ROUND($I167*P167,2)</f>
        <v>600.39</v>
      </c>
      <c r="R167" s="633"/>
      <c r="S167" s="633">
        <f t="shared" si="91"/>
        <v>0</v>
      </c>
      <c r="T167" s="633"/>
      <c r="U167" s="633">
        <f t="shared" si="92"/>
        <v>0</v>
      </c>
      <c r="V167" s="633"/>
      <c r="Y167" s="1149">
        <v>0</v>
      </c>
    </row>
    <row r="168" spans="2:27" ht="21" customHeight="1" x14ac:dyDescent="0.25">
      <c r="B168" s="598"/>
      <c r="C168" s="603" t="e">
        <f t="shared" si="70"/>
        <v>#REF!</v>
      </c>
      <c r="D168" s="542"/>
      <c r="E168" s="604"/>
      <c r="F168" s="544" t="str">
        <f>+"SUB-TOTAL   "&amp;B157&amp;":  "</f>
        <v xml:space="preserve">SUB-TOTAL   2:  </v>
      </c>
      <c r="G168" s="440"/>
      <c r="H168" s="438"/>
      <c r="I168" s="438"/>
      <c r="J168" s="438"/>
      <c r="K168" s="548">
        <f>+SUM(K158:K167)</f>
        <v>72549.159999999989</v>
      </c>
      <c r="L168" s="438"/>
      <c r="M168" s="548">
        <f>+SUM(M158:M167)</f>
        <v>78225.089999999982</v>
      </c>
      <c r="N168" s="548"/>
      <c r="O168" s="548">
        <f>+SUM(O158:O167)</f>
        <v>11762.5</v>
      </c>
      <c r="P168" s="548"/>
      <c r="Q168" s="548">
        <f>+SUM(Q158:Q167)</f>
        <v>1085.32</v>
      </c>
      <c r="R168" s="536"/>
      <c r="S168" s="548">
        <f>+SUM(S158:S167)</f>
        <v>7171.89</v>
      </c>
      <c r="T168" s="536"/>
      <c r="U168" s="548">
        <f>+SUM(U158:U167)</f>
        <v>6665.5700000000006</v>
      </c>
      <c r="V168" s="536"/>
      <c r="Y168" s="1147">
        <v>0</v>
      </c>
    </row>
    <row r="169" spans="2:27" ht="21" customHeight="1" x14ac:dyDescent="0.25">
      <c r="B169" s="439">
        <v>3</v>
      </c>
      <c r="C169" s="480" t="e">
        <f t="shared" si="70"/>
        <v>#REF!</v>
      </c>
      <c r="D169" s="441" t="s">
        <v>30</v>
      </c>
      <c r="E169" s="442"/>
      <c r="F169" s="443"/>
      <c r="G169" s="440"/>
      <c r="H169" s="463"/>
      <c r="I169" s="463"/>
      <c r="J169" s="463"/>
      <c r="K169" s="473"/>
      <c r="L169" s="463"/>
      <c r="M169" s="473"/>
      <c r="N169" s="473"/>
      <c r="O169" s="473"/>
      <c r="P169" s="473"/>
      <c r="Q169" s="473"/>
      <c r="R169" s="463"/>
      <c r="S169" s="473"/>
      <c r="T169" s="463"/>
      <c r="U169" s="473"/>
      <c r="V169" s="463"/>
      <c r="Y169" s="1147">
        <v>0</v>
      </c>
    </row>
    <row r="170" spans="2:27" ht="21" customHeight="1" x14ac:dyDescent="0.25">
      <c r="B170" s="554">
        <f>+B169+0.01</f>
        <v>3.01</v>
      </c>
      <c r="C170" s="584" t="e">
        <f t="shared" si="70"/>
        <v>#REF!</v>
      </c>
      <c r="D170" s="495" t="s">
        <v>379</v>
      </c>
      <c r="E170" s="523"/>
      <c r="F170" s="524"/>
      <c r="G170" s="530" t="s">
        <v>431</v>
      </c>
      <c r="H170" s="586">
        <v>61.15</v>
      </c>
      <c r="I170" s="586"/>
      <c r="J170" s="586">
        <v>101.44</v>
      </c>
      <c r="K170" s="602">
        <f t="shared" ref="K170:K204" si="96">+ROUND($H170*J170,2)</f>
        <v>6203.06</v>
      </c>
      <c r="L170" s="553">
        <f>+[193]Metrado!F164</f>
        <v>118.59999999999998</v>
      </c>
      <c r="M170" s="602">
        <f t="shared" ref="M170:S175" si="97">+ROUND($H170*L170,2)</f>
        <v>7252.39</v>
      </c>
      <c r="N170" s="602">
        <f>+IF($L170-$J170&gt;=0,$L170-$J170,0)</f>
        <v>17.159999999999982</v>
      </c>
      <c r="O170" s="602">
        <f t="shared" si="97"/>
        <v>1049.33</v>
      </c>
      <c r="P170" s="602"/>
      <c r="Q170" s="602">
        <f t="shared" si="97"/>
        <v>0</v>
      </c>
      <c r="R170" s="586">
        <f>+IF($L170-$J170&lt;=0,-$L170+$J170,0)</f>
        <v>0</v>
      </c>
      <c r="S170" s="602">
        <f t="shared" si="97"/>
        <v>0</v>
      </c>
      <c r="T170" s="586"/>
      <c r="U170" s="602">
        <f t="shared" ref="U170:U175" si="98">+ROUND($H170*T170,2)</f>
        <v>0</v>
      </c>
      <c r="V170" s="586"/>
      <c r="Y170" s="1147">
        <v>0</v>
      </c>
    </row>
    <row r="171" spans="2:27" ht="21" customHeight="1" x14ac:dyDescent="0.25">
      <c r="B171" s="554">
        <f t="shared" ref="B171:B175" si="99">+B170+0.01</f>
        <v>3.0199999999999996</v>
      </c>
      <c r="C171" s="584" t="e">
        <f t="shared" si="70"/>
        <v>#REF!</v>
      </c>
      <c r="D171" s="495" t="s">
        <v>388</v>
      </c>
      <c r="E171" s="523"/>
      <c r="F171" s="524"/>
      <c r="G171" s="530" t="s">
        <v>431</v>
      </c>
      <c r="H171" s="586">
        <v>208.14</v>
      </c>
      <c r="I171" s="586"/>
      <c r="J171" s="586">
        <v>12.48</v>
      </c>
      <c r="K171" s="602">
        <f t="shared" si="96"/>
        <v>2597.59</v>
      </c>
      <c r="L171" s="553">
        <f>+[193]Metrado!F165</f>
        <v>7.28</v>
      </c>
      <c r="M171" s="602">
        <f t="shared" si="97"/>
        <v>1515.26</v>
      </c>
      <c r="N171" s="602">
        <f t="shared" ref="N171:N175" si="100">+IF($L171-$J171&gt;=0,$L171-$J171,0)</f>
        <v>0</v>
      </c>
      <c r="O171" s="602">
        <f t="shared" si="97"/>
        <v>0</v>
      </c>
      <c r="P171" s="602"/>
      <c r="Q171" s="602">
        <f t="shared" si="97"/>
        <v>0</v>
      </c>
      <c r="R171" s="586">
        <f t="shared" ref="R171:R175" si="101">+IF($L171-$J171&lt;=0,-$L171+$J171,0)</f>
        <v>5.2</v>
      </c>
      <c r="S171" s="602">
        <f t="shared" si="97"/>
        <v>1082.33</v>
      </c>
      <c r="T171" s="586">
        <f>+R171</f>
        <v>5.2</v>
      </c>
      <c r="U171" s="602">
        <f t="shared" si="98"/>
        <v>1082.33</v>
      </c>
      <c r="V171" s="553" t="s">
        <v>888</v>
      </c>
      <c r="Y171" s="1147">
        <v>0</v>
      </c>
      <c r="AA171" s="414">
        <v>125.88</v>
      </c>
    </row>
    <row r="172" spans="2:27" ht="21" customHeight="1" x14ac:dyDescent="0.25">
      <c r="B172" s="554">
        <f t="shared" si="99"/>
        <v>3.0299999999999994</v>
      </c>
      <c r="C172" s="584" t="e">
        <f t="shared" si="70"/>
        <v>#REF!</v>
      </c>
      <c r="D172" s="495" t="s">
        <v>389</v>
      </c>
      <c r="E172" s="523"/>
      <c r="F172" s="524"/>
      <c r="G172" s="530" t="s">
        <v>11</v>
      </c>
      <c r="H172" s="586">
        <v>58.28</v>
      </c>
      <c r="I172" s="586"/>
      <c r="J172" s="586">
        <v>95</v>
      </c>
      <c r="K172" s="602">
        <f t="shared" si="96"/>
        <v>5536.6</v>
      </c>
      <c r="L172" s="553">
        <f>+[193]Metrado!F166</f>
        <v>93</v>
      </c>
      <c r="M172" s="602">
        <f t="shared" si="97"/>
        <v>5420.04</v>
      </c>
      <c r="N172" s="602">
        <f t="shared" si="100"/>
        <v>0</v>
      </c>
      <c r="O172" s="602">
        <f t="shared" si="97"/>
        <v>0</v>
      </c>
      <c r="P172" s="602"/>
      <c r="Q172" s="602">
        <f t="shared" si="97"/>
        <v>0</v>
      </c>
      <c r="R172" s="586">
        <f t="shared" si="101"/>
        <v>2</v>
      </c>
      <c r="S172" s="602">
        <f t="shared" si="97"/>
        <v>116.56</v>
      </c>
      <c r="T172" s="586">
        <f>+R172</f>
        <v>2</v>
      </c>
      <c r="U172" s="602">
        <f t="shared" si="98"/>
        <v>116.56</v>
      </c>
      <c r="V172" s="553" t="s">
        <v>904</v>
      </c>
      <c r="Y172" s="1147">
        <v>0</v>
      </c>
    </row>
    <row r="173" spans="2:27" ht="21" customHeight="1" x14ac:dyDescent="0.25">
      <c r="B173" s="554">
        <f t="shared" si="99"/>
        <v>3.0399999999999991</v>
      </c>
      <c r="C173" s="584" t="e">
        <f t="shared" si="70"/>
        <v>#REF!</v>
      </c>
      <c r="D173" s="495" t="s">
        <v>390</v>
      </c>
      <c r="E173" s="523"/>
      <c r="F173" s="524"/>
      <c r="G173" s="530" t="s">
        <v>11</v>
      </c>
      <c r="H173" s="586">
        <v>64.03</v>
      </c>
      <c r="I173" s="586"/>
      <c r="J173" s="586">
        <v>14</v>
      </c>
      <c r="K173" s="602">
        <f t="shared" si="96"/>
        <v>896.42</v>
      </c>
      <c r="L173" s="553">
        <f>+[193]Metrado!F167</f>
        <v>27</v>
      </c>
      <c r="M173" s="602">
        <f t="shared" si="97"/>
        <v>1728.81</v>
      </c>
      <c r="N173" s="602">
        <f t="shared" si="100"/>
        <v>13</v>
      </c>
      <c r="O173" s="602">
        <f t="shared" si="97"/>
        <v>832.39</v>
      </c>
      <c r="P173" s="602"/>
      <c r="Q173" s="602">
        <f t="shared" si="97"/>
        <v>0</v>
      </c>
      <c r="R173" s="586">
        <f t="shared" si="101"/>
        <v>0</v>
      </c>
      <c r="S173" s="602">
        <f t="shared" si="97"/>
        <v>0</v>
      </c>
      <c r="T173" s="586"/>
      <c r="U173" s="602">
        <f t="shared" si="98"/>
        <v>0</v>
      </c>
      <c r="V173" s="586"/>
      <c r="Y173" s="1147">
        <v>0</v>
      </c>
    </row>
    <row r="174" spans="2:27" ht="21" customHeight="1" x14ac:dyDescent="0.25">
      <c r="B174" s="554">
        <f t="shared" si="99"/>
        <v>3.0499999999999989</v>
      </c>
      <c r="C174" s="584" t="e">
        <f t="shared" si="70"/>
        <v>#REF!</v>
      </c>
      <c r="D174" s="495" t="s">
        <v>31</v>
      </c>
      <c r="E174" s="523"/>
      <c r="F174" s="524"/>
      <c r="G174" s="530" t="s">
        <v>431</v>
      </c>
      <c r="H174" s="586">
        <v>90.22</v>
      </c>
      <c r="I174" s="586"/>
      <c r="J174" s="586">
        <v>99.5</v>
      </c>
      <c r="K174" s="602">
        <f t="shared" si="96"/>
        <v>8976.89</v>
      </c>
      <c r="L174" s="553">
        <f>+[193]Metrado!F168</f>
        <v>116.33999999999999</v>
      </c>
      <c r="M174" s="602">
        <f t="shared" si="97"/>
        <v>10496.19</v>
      </c>
      <c r="N174" s="602">
        <f t="shared" si="100"/>
        <v>16.839999999999989</v>
      </c>
      <c r="O174" s="602">
        <f t="shared" si="97"/>
        <v>1519.3</v>
      </c>
      <c r="P174" s="602"/>
      <c r="Q174" s="602">
        <f t="shared" si="97"/>
        <v>0</v>
      </c>
      <c r="R174" s="586">
        <f t="shared" si="101"/>
        <v>0</v>
      </c>
      <c r="S174" s="602">
        <f t="shared" si="97"/>
        <v>0</v>
      </c>
      <c r="T174" s="586"/>
      <c r="U174" s="602">
        <f t="shared" si="98"/>
        <v>0</v>
      </c>
      <c r="V174" s="586"/>
      <c r="Y174" s="1147">
        <v>0</v>
      </c>
    </row>
    <row r="175" spans="2:27" ht="21" customHeight="1" x14ac:dyDescent="0.25">
      <c r="B175" s="554">
        <f t="shared" si="99"/>
        <v>3.0599999999999987</v>
      </c>
      <c r="C175" s="584" t="e">
        <f t="shared" si="70"/>
        <v>#REF!</v>
      </c>
      <c r="D175" s="495" t="s">
        <v>391</v>
      </c>
      <c r="E175" s="523"/>
      <c r="F175" s="524"/>
      <c r="G175" s="539" t="s">
        <v>431</v>
      </c>
      <c r="H175" s="605">
        <v>96.57</v>
      </c>
      <c r="I175" s="605"/>
      <c r="J175" s="605">
        <v>12.24</v>
      </c>
      <c r="K175" s="607">
        <f t="shared" si="96"/>
        <v>1182.02</v>
      </c>
      <c r="L175" s="553">
        <f>+[193]Metrado!F169</f>
        <v>7.14</v>
      </c>
      <c r="M175" s="607">
        <f t="shared" si="97"/>
        <v>689.51</v>
      </c>
      <c r="N175" s="602">
        <f t="shared" si="100"/>
        <v>0</v>
      </c>
      <c r="O175" s="607">
        <f t="shared" si="97"/>
        <v>0</v>
      </c>
      <c r="P175" s="607"/>
      <c r="Q175" s="607">
        <f t="shared" si="97"/>
        <v>0</v>
      </c>
      <c r="R175" s="586">
        <f t="shared" si="101"/>
        <v>5.1000000000000005</v>
      </c>
      <c r="S175" s="607">
        <f t="shared" si="97"/>
        <v>492.51</v>
      </c>
      <c r="T175" s="605">
        <f>+R175</f>
        <v>5.1000000000000005</v>
      </c>
      <c r="U175" s="607">
        <f t="shared" si="98"/>
        <v>492.51</v>
      </c>
      <c r="V175" s="605" t="s">
        <v>851</v>
      </c>
      <c r="Y175" s="1147">
        <v>0</v>
      </c>
    </row>
    <row r="176" spans="2:27" ht="21" customHeight="1" x14ac:dyDescent="0.25">
      <c r="B176" s="448"/>
      <c r="C176" s="480" t="e">
        <f t="shared" si="70"/>
        <v>#REF!</v>
      </c>
      <c r="D176" s="444"/>
      <c r="E176" s="474"/>
      <c r="F176" s="533" t="str">
        <f>+"SUB-TOTAL   "&amp;B169&amp;":  "</f>
        <v xml:space="preserve">SUB-TOTAL   3:  </v>
      </c>
      <c r="G176" s="567"/>
      <c r="H176" s="608"/>
      <c r="I176" s="608"/>
      <c r="J176" s="608"/>
      <c r="K176" s="589">
        <f>+SUM(K170:K175)</f>
        <v>25392.58</v>
      </c>
      <c r="L176" s="608"/>
      <c r="M176" s="589">
        <f>+SUM(M170:M175)</f>
        <v>27102.199999999997</v>
      </c>
      <c r="N176" s="613">
        <f>+IF($L176-$J176&gt;=0,$L176-$J176,0)</f>
        <v>0</v>
      </c>
      <c r="O176" s="589">
        <f>+SUM(O170:O175)</f>
        <v>3401.0199999999995</v>
      </c>
      <c r="P176" s="613"/>
      <c r="Q176" s="589">
        <f>+SUM(Q170:Q175)</f>
        <v>0</v>
      </c>
      <c r="R176" s="608"/>
      <c r="S176" s="589">
        <f>+SUM(S170:S175)</f>
        <v>1691.3999999999999</v>
      </c>
      <c r="T176" s="608"/>
      <c r="U176" s="589">
        <f>+SUM(U170:U175)</f>
        <v>1691.3999999999999</v>
      </c>
      <c r="V176" s="608"/>
      <c r="Y176" s="1147">
        <v>0</v>
      </c>
    </row>
    <row r="177" spans="2:25" ht="21" customHeight="1" x14ac:dyDescent="0.25">
      <c r="B177" s="439">
        <v>4</v>
      </c>
      <c r="C177" s="480" t="e">
        <f t="shared" si="70"/>
        <v>#REF!</v>
      </c>
      <c r="D177" s="441" t="s">
        <v>32</v>
      </c>
      <c r="E177" s="488"/>
      <c r="F177" s="461"/>
      <c r="G177" s="440"/>
      <c r="H177" s="463"/>
      <c r="I177" s="463"/>
      <c r="J177" s="463"/>
      <c r="K177" s="611"/>
      <c r="L177" s="463"/>
      <c r="M177" s="611"/>
      <c r="N177" s="611"/>
      <c r="O177" s="611"/>
      <c r="P177" s="611"/>
      <c r="Q177" s="611"/>
      <c r="R177" s="612"/>
      <c r="S177" s="611"/>
      <c r="T177" s="612"/>
      <c r="U177" s="611"/>
      <c r="V177" s="612"/>
      <c r="Y177" s="1147">
        <v>0</v>
      </c>
    </row>
    <row r="178" spans="2:25" ht="21" customHeight="1" x14ac:dyDescent="0.25">
      <c r="B178" s="554">
        <f>+B177+0.01</f>
        <v>4.01</v>
      </c>
      <c r="C178" s="584" t="e">
        <f t="shared" si="70"/>
        <v>#REF!</v>
      </c>
      <c r="D178" s="495" t="s">
        <v>392</v>
      </c>
      <c r="E178" s="493"/>
      <c r="F178" s="494"/>
      <c r="G178" s="530" t="s">
        <v>18</v>
      </c>
      <c r="H178" s="586">
        <v>24.88</v>
      </c>
      <c r="I178" s="586"/>
      <c r="J178" s="586">
        <v>142</v>
      </c>
      <c r="K178" s="586">
        <f t="shared" si="96"/>
        <v>3532.96</v>
      </c>
      <c r="L178" s="553">
        <f>+[193]Metrado!F172</f>
        <v>175</v>
      </c>
      <c r="M178" s="586">
        <f t="shared" ref="M178:S193" si="102">+ROUND($H178*L178,2)</f>
        <v>4354</v>
      </c>
      <c r="N178" s="586">
        <f>+IF($L178-$J178&gt;=0,$L178-$J178,0)</f>
        <v>33</v>
      </c>
      <c r="O178" s="586">
        <f t="shared" si="102"/>
        <v>821.04</v>
      </c>
      <c r="P178" s="586"/>
      <c r="Q178" s="586">
        <f t="shared" si="102"/>
        <v>0</v>
      </c>
      <c r="R178" s="586">
        <f>+IF($L178-$J178&lt;=0,-$L178+$J178,0)</f>
        <v>0</v>
      </c>
      <c r="S178" s="586">
        <f t="shared" si="102"/>
        <v>0</v>
      </c>
      <c r="T178" s="586"/>
      <c r="U178" s="586">
        <f t="shared" ref="U178:U193" si="103">+ROUND($H178*T178,2)</f>
        <v>0</v>
      </c>
      <c r="V178" s="586"/>
      <c r="Y178" s="1147">
        <v>0</v>
      </c>
    </row>
    <row r="179" spans="2:25" ht="21" customHeight="1" x14ac:dyDescent="0.25">
      <c r="B179" s="554">
        <f t="shared" ref="B179:B193" si="104">+B178+0.01</f>
        <v>4.0199999999999996</v>
      </c>
      <c r="C179" s="584" t="e">
        <f t="shared" si="70"/>
        <v>#REF!</v>
      </c>
      <c r="D179" s="495" t="s">
        <v>393</v>
      </c>
      <c r="E179" s="523"/>
      <c r="F179" s="524"/>
      <c r="G179" s="530" t="s">
        <v>18</v>
      </c>
      <c r="H179" s="586">
        <v>31.13</v>
      </c>
      <c r="I179" s="586"/>
      <c r="J179" s="586">
        <v>1</v>
      </c>
      <c r="K179" s="586">
        <f t="shared" si="96"/>
        <v>31.13</v>
      </c>
      <c r="L179" s="553">
        <f>+[193]Metrado!F173</f>
        <v>18</v>
      </c>
      <c r="M179" s="586">
        <f t="shared" si="102"/>
        <v>560.34</v>
      </c>
      <c r="N179" s="586">
        <f t="shared" ref="N179:N184" si="105">+IF($L179-$J179&gt;=0,$L179-$J179,0)</f>
        <v>17</v>
      </c>
      <c r="O179" s="586">
        <f t="shared" si="102"/>
        <v>529.21</v>
      </c>
      <c r="P179" s="586"/>
      <c r="Q179" s="586">
        <f t="shared" si="102"/>
        <v>0</v>
      </c>
      <c r="R179" s="586">
        <f t="shared" ref="R179:R184" si="106">+IF($L179-$J179&lt;=0,-$L179+$J179,0)</f>
        <v>0</v>
      </c>
      <c r="S179" s="586">
        <f t="shared" si="102"/>
        <v>0</v>
      </c>
      <c r="T179" s="586"/>
      <c r="U179" s="586">
        <f t="shared" si="103"/>
        <v>0</v>
      </c>
      <c r="V179" s="586"/>
      <c r="Y179" s="1147">
        <v>0</v>
      </c>
    </row>
    <row r="180" spans="2:25" ht="21" customHeight="1" x14ac:dyDescent="0.25">
      <c r="B180" s="554">
        <f t="shared" si="104"/>
        <v>4.0299999999999994</v>
      </c>
      <c r="C180" s="584" t="e">
        <f t="shared" si="70"/>
        <v>#REF!</v>
      </c>
      <c r="D180" s="495" t="s">
        <v>394</v>
      </c>
      <c r="E180" s="523"/>
      <c r="F180" s="524"/>
      <c r="G180" s="530" t="s">
        <v>18</v>
      </c>
      <c r="H180" s="586">
        <v>24.58</v>
      </c>
      <c r="I180" s="586"/>
      <c r="J180" s="586">
        <v>77</v>
      </c>
      <c r="K180" s="586">
        <f t="shared" si="96"/>
        <v>1892.66</v>
      </c>
      <c r="L180" s="553">
        <f>+[193]Metrado!F174</f>
        <v>92</v>
      </c>
      <c r="M180" s="586">
        <f t="shared" si="102"/>
        <v>2261.36</v>
      </c>
      <c r="N180" s="586">
        <f t="shared" si="105"/>
        <v>15</v>
      </c>
      <c r="O180" s="586">
        <f t="shared" si="102"/>
        <v>368.7</v>
      </c>
      <c r="P180" s="586"/>
      <c r="Q180" s="586">
        <f t="shared" si="102"/>
        <v>0</v>
      </c>
      <c r="R180" s="586">
        <f t="shared" si="106"/>
        <v>0</v>
      </c>
      <c r="S180" s="586">
        <f t="shared" si="102"/>
        <v>0</v>
      </c>
      <c r="T180" s="586"/>
      <c r="U180" s="586">
        <f t="shared" si="103"/>
        <v>0</v>
      </c>
      <c r="V180" s="586"/>
      <c r="Y180" s="1147">
        <v>0</v>
      </c>
    </row>
    <row r="181" spans="2:25" ht="21" customHeight="1" x14ac:dyDescent="0.25">
      <c r="B181" s="554">
        <f t="shared" si="104"/>
        <v>4.0399999999999991</v>
      </c>
      <c r="C181" s="584" t="e">
        <f t="shared" si="70"/>
        <v>#REF!</v>
      </c>
      <c r="D181" s="495" t="s">
        <v>395</v>
      </c>
      <c r="E181" s="523"/>
      <c r="F181" s="524"/>
      <c r="G181" s="530" t="s">
        <v>18</v>
      </c>
      <c r="H181" s="586">
        <v>34.229999999999997</v>
      </c>
      <c r="I181" s="586"/>
      <c r="J181" s="586">
        <v>2</v>
      </c>
      <c r="K181" s="586">
        <f t="shared" si="96"/>
        <v>68.459999999999994</v>
      </c>
      <c r="L181" s="553">
        <f>+[193]Metrado!F175</f>
        <v>3</v>
      </c>
      <c r="M181" s="586">
        <f t="shared" si="102"/>
        <v>102.69</v>
      </c>
      <c r="N181" s="586">
        <f t="shared" si="105"/>
        <v>1</v>
      </c>
      <c r="O181" s="586">
        <f t="shared" si="102"/>
        <v>34.229999999999997</v>
      </c>
      <c r="P181" s="586"/>
      <c r="Q181" s="586">
        <f t="shared" si="102"/>
        <v>0</v>
      </c>
      <c r="R181" s="586">
        <f t="shared" si="106"/>
        <v>0</v>
      </c>
      <c r="S181" s="586">
        <f t="shared" si="102"/>
        <v>0</v>
      </c>
      <c r="T181" s="586"/>
      <c r="U181" s="586">
        <f t="shared" si="103"/>
        <v>0</v>
      </c>
      <c r="V181" s="586"/>
      <c r="Y181" s="1147">
        <v>0</v>
      </c>
    </row>
    <row r="182" spans="2:25" ht="21" customHeight="1" x14ac:dyDescent="0.25">
      <c r="B182" s="554">
        <f t="shared" si="104"/>
        <v>4.0499999999999989</v>
      </c>
      <c r="C182" s="584" t="e">
        <f t="shared" si="70"/>
        <v>#REF!</v>
      </c>
      <c r="D182" s="495" t="s">
        <v>396</v>
      </c>
      <c r="E182" s="525"/>
      <c r="F182" s="499"/>
      <c r="G182" s="530" t="s">
        <v>18</v>
      </c>
      <c r="H182" s="586">
        <v>31.13</v>
      </c>
      <c r="I182" s="586"/>
      <c r="J182" s="586">
        <v>51</v>
      </c>
      <c r="K182" s="586">
        <f t="shared" si="96"/>
        <v>1587.63</v>
      </c>
      <c r="L182" s="553">
        <f>+[193]Metrado!F176</f>
        <v>65</v>
      </c>
      <c r="M182" s="586">
        <f t="shared" si="102"/>
        <v>2023.45</v>
      </c>
      <c r="N182" s="586">
        <f t="shared" si="105"/>
        <v>14</v>
      </c>
      <c r="O182" s="586">
        <f t="shared" si="102"/>
        <v>435.82</v>
      </c>
      <c r="P182" s="601"/>
      <c r="Q182" s="586">
        <f t="shared" si="102"/>
        <v>0</v>
      </c>
      <c r="R182" s="586">
        <f t="shared" si="106"/>
        <v>0</v>
      </c>
      <c r="S182" s="586">
        <f t="shared" si="102"/>
        <v>0</v>
      </c>
      <c r="T182" s="601"/>
      <c r="U182" s="586">
        <f t="shared" si="103"/>
        <v>0</v>
      </c>
      <c r="V182" s="601"/>
      <c r="Y182" s="1147">
        <v>0</v>
      </c>
    </row>
    <row r="183" spans="2:25" ht="21" customHeight="1" x14ac:dyDescent="0.25">
      <c r="B183" s="554">
        <f t="shared" si="104"/>
        <v>4.0599999999999987</v>
      </c>
      <c r="C183" s="576" t="e">
        <f t="shared" si="70"/>
        <v>#REF!</v>
      </c>
      <c r="D183" s="495" t="s">
        <v>397</v>
      </c>
      <c r="E183" s="493"/>
      <c r="F183" s="494"/>
      <c r="G183" s="530" t="s">
        <v>18</v>
      </c>
      <c r="H183" s="586">
        <v>38.840000000000003</v>
      </c>
      <c r="I183" s="586"/>
      <c r="J183" s="586">
        <v>21</v>
      </c>
      <c r="K183" s="586">
        <f t="shared" si="96"/>
        <v>815.64</v>
      </c>
      <c r="L183" s="553">
        <f>+[193]Metrado!F177</f>
        <v>2</v>
      </c>
      <c r="M183" s="586">
        <f t="shared" si="102"/>
        <v>77.680000000000007</v>
      </c>
      <c r="N183" s="586">
        <f t="shared" si="105"/>
        <v>0</v>
      </c>
      <c r="O183" s="586">
        <f t="shared" si="102"/>
        <v>0</v>
      </c>
      <c r="P183" s="586"/>
      <c r="Q183" s="586">
        <f t="shared" si="102"/>
        <v>0</v>
      </c>
      <c r="R183" s="586">
        <f t="shared" si="106"/>
        <v>19</v>
      </c>
      <c r="S183" s="586">
        <f t="shared" si="102"/>
        <v>737.96</v>
      </c>
      <c r="T183" s="586">
        <f>+R183</f>
        <v>19</v>
      </c>
      <c r="U183" s="586">
        <f t="shared" si="103"/>
        <v>737.96</v>
      </c>
      <c r="V183" s="586"/>
      <c r="Y183" s="1147">
        <v>0</v>
      </c>
    </row>
    <row r="184" spans="2:25" ht="21" customHeight="1" x14ac:dyDescent="0.25">
      <c r="B184" s="554">
        <f t="shared" si="104"/>
        <v>4.0699999999999985</v>
      </c>
      <c r="C184" s="576" t="e">
        <f t="shared" si="70"/>
        <v>#REF!</v>
      </c>
      <c r="D184" s="495" t="s">
        <v>398</v>
      </c>
      <c r="E184" s="523"/>
      <c r="F184" s="524"/>
      <c r="G184" s="530" t="s">
        <v>18</v>
      </c>
      <c r="H184" s="586">
        <v>46.54</v>
      </c>
      <c r="I184" s="586"/>
      <c r="J184" s="586">
        <v>4</v>
      </c>
      <c r="K184" s="586">
        <f t="shared" si="96"/>
        <v>186.16</v>
      </c>
      <c r="L184" s="553">
        <f>+[193]Metrado!F178</f>
        <v>3</v>
      </c>
      <c r="M184" s="586">
        <f t="shared" si="102"/>
        <v>139.62</v>
      </c>
      <c r="N184" s="586">
        <f t="shared" si="105"/>
        <v>0</v>
      </c>
      <c r="O184" s="586">
        <f t="shared" si="102"/>
        <v>0</v>
      </c>
      <c r="P184" s="586"/>
      <c r="Q184" s="586">
        <f t="shared" si="102"/>
        <v>0</v>
      </c>
      <c r="R184" s="586">
        <f t="shared" si="106"/>
        <v>1</v>
      </c>
      <c r="S184" s="586">
        <f t="shared" si="102"/>
        <v>46.54</v>
      </c>
      <c r="T184" s="586">
        <f>+R184</f>
        <v>1</v>
      </c>
      <c r="U184" s="586">
        <f t="shared" si="103"/>
        <v>46.54</v>
      </c>
      <c r="V184" s="586"/>
      <c r="Y184" s="1147">
        <v>0</v>
      </c>
    </row>
    <row r="185" spans="2:25" s="547" customFormat="1" ht="21" customHeight="1" x14ac:dyDescent="0.25">
      <c r="B185" s="559">
        <f t="shared" si="104"/>
        <v>4.0799999999999983</v>
      </c>
      <c r="C185" s="577" t="e">
        <f t="shared" si="70"/>
        <v>#REF!</v>
      </c>
      <c r="D185" s="501" t="s">
        <v>399</v>
      </c>
      <c r="E185" s="652"/>
      <c r="F185" s="653"/>
      <c r="G185" s="531" t="s">
        <v>18</v>
      </c>
      <c r="H185" s="654"/>
      <c r="I185" s="654">
        <f>+H178*1.3</f>
        <v>32.344000000000001</v>
      </c>
      <c r="J185" s="654"/>
      <c r="K185" s="654">
        <f t="shared" si="96"/>
        <v>0</v>
      </c>
      <c r="L185" s="560">
        <f>+[193]Metrado!F179</f>
        <v>5</v>
      </c>
      <c r="M185" s="654">
        <f>+ROUND($I185*L185,2)</f>
        <v>161.72</v>
      </c>
      <c r="N185" s="654"/>
      <c r="O185" s="654">
        <f t="shared" si="102"/>
        <v>0</v>
      </c>
      <c r="P185" s="654">
        <f>+L185</f>
        <v>5</v>
      </c>
      <c r="Q185" s="654">
        <f>+ROUND($I185*P185,2)</f>
        <v>161.72</v>
      </c>
      <c r="R185" s="654"/>
      <c r="S185" s="654">
        <f t="shared" si="102"/>
        <v>0</v>
      </c>
      <c r="T185" s="654"/>
      <c r="U185" s="654">
        <f t="shared" si="103"/>
        <v>0</v>
      </c>
      <c r="V185" s="654"/>
      <c r="Y185" s="1149">
        <v>0</v>
      </c>
    </row>
    <row r="186" spans="2:25" s="547" customFormat="1" ht="21" customHeight="1" x14ac:dyDescent="0.25">
      <c r="B186" s="559">
        <f t="shared" si="104"/>
        <v>4.0899999999999981</v>
      </c>
      <c r="C186" s="577" t="e">
        <f t="shared" si="70"/>
        <v>#REF!</v>
      </c>
      <c r="D186" s="501" t="s">
        <v>400</v>
      </c>
      <c r="E186" s="652"/>
      <c r="F186" s="653"/>
      <c r="G186" s="531" t="s">
        <v>18</v>
      </c>
      <c r="H186" s="654"/>
      <c r="I186" s="654">
        <f>+H180*1.3</f>
        <v>31.954000000000001</v>
      </c>
      <c r="J186" s="654"/>
      <c r="K186" s="654">
        <f t="shared" si="96"/>
        <v>0</v>
      </c>
      <c r="L186" s="560">
        <f>+[193]Metrado!F180</f>
        <v>1</v>
      </c>
      <c r="M186" s="654">
        <f t="shared" ref="M186:M193" si="107">+ROUND($I186*L186,2)</f>
        <v>31.95</v>
      </c>
      <c r="N186" s="654"/>
      <c r="O186" s="654">
        <f t="shared" si="102"/>
        <v>0</v>
      </c>
      <c r="P186" s="654">
        <f t="shared" ref="P186:P193" si="108">+L186</f>
        <v>1</v>
      </c>
      <c r="Q186" s="654">
        <f t="shared" ref="Q186" si="109">+ROUND($I186*P186,2)</f>
        <v>31.95</v>
      </c>
      <c r="R186" s="654"/>
      <c r="S186" s="654">
        <f t="shared" si="102"/>
        <v>0</v>
      </c>
      <c r="T186" s="654"/>
      <c r="U186" s="654">
        <f t="shared" si="103"/>
        <v>0</v>
      </c>
      <c r="V186" s="654"/>
      <c r="Y186" s="1149">
        <v>0</v>
      </c>
    </row>
    <row r="187" spans="2:25" s="547" customFormat="1" ht="21" customHeight="1" x14ac:dyDescent="0.25">
      <c r="B187" s="559">
        <f t="shared" si="104"/>
        <v>4.0999999999999979</v>
      </c>
      <c r="C187" s="577" t="e">
        <f t="shared" si="70"/>
        <v>#REF!</v>
      </c>
      <c r="D187" s="501" t="s">
        <v>401</v>
      </c>
      <c r="E187" s="652"/>
      <c r="F187" s="653"/>
      <c r="G187" s="531" t="s">
        <v>18</v>
      </c>
      <c r="H187" s="654"/>
      <c r="I187" s="654">
        <f>+H180*1.5</f>
        <v>36.869999999999997</v>
      </c>
      <c r="J187" s="654"/>
      <c r="K187" s="654">
        <f t="shared" si="96"/>
        <v>0</v>
      </c>
      <c r="L187" s="560">
        <f>+[193]Metrado!F181</f>
        <v>3</v>
      </c>
      <c r="M187" s="654">
        <f t="shared" si="107"/>
        <v>110.61</v>
      </c>
      <c r="N187" s="654"/>
      <c r="O187" s="654">
        <f t="shared" si="102"/>
        <v>0</v>
      </c>
      <c r="P187" s="654">
        <f t="shared" si="108"/>
        <v>3</v>
      </c>
      <c r="Q187" s="654">
        <f t="shared" ref="Q187" si="110">+ROUND($I187*P187,2)</f>
        <v>110.61</v>
      </c>
      <c r="R187" s="654"/>
      <c r="S187" s="654">
        <f t="shared" si="102"/>
        <v>0</v>
      </c>
      <c r="T187" s="654"/>
      <c r="U187" s="654">
        <f t="shared" si="103"/>
        <v>0</v>
      </c>
      <c r="V187" s="654"/>
      <c r="Y187" s="1149">
        <v>0</v>
      </c>
    </row>
    <row r="188" spans="2:25" s="547" customFormat="1" ht="21" customHeight="1" x14ac:dyDescent="0.25">
      <c r="B188" s="559">
        <f t="shared" si="104"/>
        <v>4.1099999999999977</v>
      </c>
      <c r="C188" s="577" t="e">
        <f t="shared" si="70"/>
        <v>#REF!</v>
      </c>
      <c r="D188" s="501" t="s">
        <v>402</v>
      </c>
      <c r="E188" s="652"/>
      <c r="F188" s="653"/>
      <c r="G188" s="531" t="s">
        <v>18</v>
      </c>
      <c r="H188" s="654"/>
      <c r="I188" s="654">
        <f>+H182*1.5</f>
        <v>46.695</v>
      </c>
      <c r="J188" s="654"/>
      <c r="K188" s="654">
        <f t="shared" si="96"/>
        <v>0</v>
      </c>
      <c r="L188" s="560">
        <f>+[193]Metrado!F182</f>
        <v>6</v>
      </c>
      <c r="M188" s="654">
        <f t="shared" si="107"/>
        <v>280.17</v>
      </c>
      <c r="N188" s="654"/>
      <c r="O188" s="654">
        <f t="shared" si="102"/>
        <v>0</v>
      </c>
      <c r="P188" s="654">
        <f t="shared" si="108"/>
        <v>6</v>
      </c>
      <c r="Q188" s="654">
        <f t="shared" ref="Q188" si="111">+ROUND($I188*P188,2)</f>
        <v>280.17</v>
      </c>
      <c r="R188" s="654"/>
      <c r="S188" s="654">
        <f t="shared" si="102"/>
        <v>0</v>
      </c>
      <c r="T188" s="654"/>
      <c r="U188" s="654">
        <f t="shared" si="103"/>
        <v>0</v>
      </c>
      <c r="V188" s="654"/>
      <c r="Y188" s="1149">
        <v>0</v>
      </c>
    </row>
    <row r="189" spans="2:25" s="547" customFormat="1" ht="21" customHeight="1" x14ac:dyDescent="0.25">
      <c r="B189" s="559">
        <f t="shared" si="104"/>
        <v>4.1199999999999974</v>
      </c>
      <c r="C189" s="577" t="e">
        <f t="shared" si="70"/>
        <v>#REF!</v>
      </c>
      <c r="D189" s="501" t="s">
        <v>403</v>
      </c>
      <c r="E189" s="652"/>
      <c r="F189" s="653"/>
      <c r="G189" s="531" t="s">
        <v>18</v>
      </c>
      <c r="H189" s="654"/>
      <c r="I189" s="654"/>
      <c r="J189" s="654"/>
      <c r="K189" s="654">
        <f t="shared" si="96"/>
        <v>0</v>
      </c>
      <c r="L189" s="560">
        <f>+[193]Metrado!F183</f>
        <v>0</v>
      </c>
      <c r="M189" s="654">
        <f t="shared" si="107"/>
        <v>0</v>
      </c>
      <c r="N189" s="654"/>
      <c r="O189" s="654">
        <f t="shared" si="102"/>
        <v>0</v>
      </c>
      <c r="P189" s="654">
        <f t="shared" si="108"/>
        <v>0</v>
      </c>
      <c r="Q189" s="654">
        <f t="shared" ref="Q189" si="112">+ROUND($I189*P189,2)</f>
        <v>0</v>
      </c>
      <c r="R189" s="654"/>
      <c r="S189" s="654">
        <f t="shared" si="102"/>
        <v>0</v>
      </c>
      <c r="T189" s="654"/>
      <c r="U189" s="654">
        <f t="shared" si="103"/>
        <v>0</v>
      </c>
      <c r="V189" s="654"/>
      <c r="Y189" s="1149">
        <v>0</v>
      </c>
    </row>
    <row r="190" spans="2:25" s="547" customFormat="1" ht="21" customHeight="1" x14ac:dyDescent="0.25">
      <c r="B190" s="559">
        <f t="shared" si="104"/>
        <v>4.1299999999999972</v>
      </c>
      <c r="C190" s="577" t="e">
        <f t="shared" si="70"/>
        <v>#REF!</v>
      </c>
      <c r="D190" s="501" t="s">
        <v>404</v>
      </c>
      <c r="E190" s="655"/>
      <c r="F190" s="636"/>
      <c r="G190" s="531" t="s">
        <v>18</v>
      </c>
      <c r="H190" s="654"/>
      <c r="I190" s="654">
        <f>+H180*1.5</f>
        <v>36.869999999999997</v>
      </c>
      <c r="J190" s="654"/>
      <c r="K190" s="654">
        <f t="shared" si="96"/>
        <v>0</v>
      </c>
      <c r="L190" s="560">
        <f>+[193]Metrado!F184</f>
        <v>1</v>
      </c>
      <c r="M190" s="654">
        <f t="shared" si="107"/>
        <v>36.869999999999997</v>
      </c>
      <c r="N190" s="654"/>
      <c r="O190" s="654">
        <f t="shared" si="102"/>
        <v>0</v>
      </c>
      <c r="P190" s="654">
        <f t="shared" si="108"/>
        <v>1</v>
      </c>
      <c r="Q190" s="654">
        <f t="shared" ref="Q190" si="113">+ROUND($I190*P190,2)</f>
        <v>36.869999999999997</v>
      </c>
      <c r="R190" s="654"/>
      <c r="S190" s="654">
        <f t="shared" si="102"/>
        <v>0</v>
      </c>
      <c r="T190" s="654"/>
      <c r="U190" s="654">
        <f t="shared" si="103"/>
        <v>0</v>
      </c>
      <c r="V190" s="654"/>
      <c r="Y190" s="1149">
        <v>0</v>
      </c>
    </row>
    <row r="191" spans="2:25" s="547" customFormat="1" ht="21" customHeight="1" x14ac:dyDescent="0.25">
      <c r="B191" s="559">
        <f t="shared" si="104"/>
        <v>4.139999999999997</v>
      </c>
      <c r="C191" s="577" t="e">
        <f t="shared" si="70"/>
        <v>#REF!</v>
      </c>
      <c r="D191" s="501" t="s">
        <v>405</v>
      </c>
      <c r="E191" s="651"/>
      <c r="F191" s="643"/>
      <c r="G191" s="531" t="s">
        <v>18</v>
      </c>
      <c r="H191" s="654"/>
      <c r="I191" s="654">
        <f>+H182*1.5</f>
        <v>46.695</v>
      </c>
      <c r="J191" s="654"/>
      <c r="K191" s="654">
        <f t="shared" si="96"/>
        <v>0</v>
      </c>
      <c r="L191" s="560">
        <f>+[193]Metrado!F185</f>
        <v>2</v>
      </c>
      <c r="M191" s="654">
        <f t="shared" si="107"/>
        <v>93.39</v>
      </c>
      <c r="N191" s="654"/>
      <c r="O191" s="654">
        <f t="shared" si="102"/>
        <v>0</v>
      </c>
      <c r="P191" s="654">
        <f t="shared" si="108"/>
        <v>2</v>
      </c>
      <c r="Q191" s="654">
        <f t="shared" ref="Q191" si="114">+ROUND($I191*P191,2)</f>
        <v>93.39</v>
      </c>
      <c r="R191" s="654"/>
      <c r="S191" s="654">
        <f t="shared" si="102"/>
        <v>0</v>
      </c>
      <c r="T191" s="654"/>
      <c r="U191" s="654">
        <f t="shared" si="103"/>
        <v>0</v>
      </c>
      <c r="V191" s="654"/>
      <c r="Y191" s="1149">
        <v>0</v>
      </c>
    </row>
    <row r="192" spans="2:25" s="547" customFormat="1" ht="21" customHeight="1" x14ac:dyDescent="0.25">
      <c r="B192" s="559">
        <f t="shared" si="104"/>
        <v>4.1499999999999968</v>
      </c>
      <c r="C192" s="577" t="e">
        <f t="shared" si="70"/>
        <v>#REF!</v>
      </c>
      <c r="D192" s="501" t="s">
        <v>406</v>
      </c>
      <c r="E192" s="652"/>
      <c r="F192" s="653"/>
      <c r="G192" s="531" t="s">
        <v>18</v>
      </c>
      <c r="H192" s="654"/>
      <c r="I192" s="654">
        <f>+H178*0.8</f>
        <v>19.904</v>
      </c>
      <c r="J192" s="654"/>
      <c r="K192" s="654">
        <f t="shared" si="96"/>
        <v>0</v>
      </c>
      <c r="L192" s="560">
        <f>+[193]Metrado!F186</f>
        <v>6</v>
      </c>
      <c r="M192" s="654">
        <f t="shared" si="107"/>
        <v>119.42</v>
      </c>
      <c r="N192" s="654"/>
      <c r="O192" s="654">
        <f t="shared" si="102"/>
        <v>0</v>
      </c>
      <c r="P192" s="654">
        <f t="shared" si="108"/>
        <v>6</v>
      </c>
      <c r="Q192" s="654">
        <f t="shared" ref="Q192" si="115">+ROUND($I192*P192,2)</f>
        <v>119.42</v>
      </c>
      <c r="R192" s="654"/>
      <c r="S192" s="654">
        <f t="shared" si="102"/>
        <v>0</v>
      </c>
      <c r="T192" s="654"/>
      <c r="U192" s="654">
        <f t="shared" si="103"/>
        <v>0</v>
      </c>
      <c r="V192" s="654"/>
      <c r="Y192" s="1149">
        <v>0</v>
      </c>
    </row>
    <row r="193" spans="2:25" s="547" customFormat="1" ht="21" customHeight="1" x14ac:dyDescent="0.25">
      <c r="B193" s="559">
        <f t="shared" si="104"/>
        <v>4.1599999999999966</v>
      </c>
      <c r="C193" s="577" t="e">
        <f t="shared" si="70"/>
        <v>#REF!</v>
      </c>
      <c r="D193" s="501" t="s">
        <v>1016</v>
      </c>
      <c r="E193" s="652"/>
      <c r="F193" s="653"/>
      <c r="G193" s="596" t="s">
        <v>18</v>
      </c>
      <c r="H193" s="656"/>
      <c r="I193" s="656">
        <f>+H178*0.7</f>
        <v>17.415999999999997</v>
      </c>
      <c r="J193" s="656"/>
      <c r="K193" s="654">
        <f t="shared" si="96"/>
        <v>0</v>
      </c>
      <c r="L193" s="560">
        <f>+[193]Metrado!F187</f>
        <v>23</v>
      </c>
      <c r="M193" s="654">
        <f t="shared" si="107"/>
        <v>400.57</v>
      </c>
      <c r="N193" s="654"/>
      <c r="O193" s="654">
        <f t="shared" si="102"/>
        <v>0</v>
      </c>
      <c r="P193" s="654">
        <f t="shared" si="108"/>
        <v>23</v>
      </c>
      <c r="Q193" s="654">
        <f t="shared" ref="Q193" si="116">+ROUND($I193*P193,2)</f>
        <v>400.57</v>
      </c>
      <c r="R193" s="656"/>
      <c r="S193" s="654">
        <f t="shared" si="102"/>
        <v>0</v>
      </c>
      <c r="T193" s="656"/>
      <c r="U193" s="654">
        <f t="shared" si="103"/>
        <v>0</v>
      </c>
      <c r="V193" s="656"/>
      <c r="Y193" s="1149">
        <v>0</v>
      </c>
    </row>
    <row r="194" spans="2:25" ht="21" customHeight="1" x14ac:dyDescent="0.25">
      <c r="B194" s="598"/>
      <c r="C194" s="583" t="e">
        <f t="shared" si="70"/>
        <v>#REF!</v>
      </c>
      <c r="D194" s="542"/>
      <c r="E194" s="543"/>
      <c r="F194" s="544" t="str">
        <f>+"SUB-TOTAL   "&amp;B177&amp;":  "</f>
        <v xml:space="preserve">SUB-TOTAL   4:  </v>
      </c>
      <c r="G194" s="567"/>
      <c r="H194" s="608"/>
      <c r="I194" s="608"/>
      <c r="J194" s="608"/>
      <c r="K194" s="609">
        <f>+SUM(K178:K193)</f>
        <v>8114.64</v>
      </c>
      <c r="L194" s="608"/>
      <c r="M194" s="609">
        <f>+SUM(M178:M193)</f>
        <v>10753.840000000002</v>
      </c>
      <c r="N194" s="608"/>
      <c r="O194" s="609">
        <f>+SUM(O178:O193)</f>
        <v>2189</v>
      </c>
      <c r="P194" s="608"/>
      <c r="Q194" s="609">
        <f>+SUM(Q178:Q193)</f>
        <v>1234.7</v>
      </c>
      <c r="R194" s="608"/>
      <c r="S194" s="609">
        <f>+SUM(S178:S193)</f>
        <v>784.5</v>
      </c>
      <c r="T194" s="608"/>
      <c r="U194" s="609">
        <f>+SUM(U178:U193)</f>
        <v>784.5</v>
      </c>
      <c r="V194" s="608"/>
      <c r="Y194" s="1147">
        <v>0</v>
      </c>
    </row>
    <row r="195" spans="2:25" ht="21" customHeight="1" x14ac:dyDescent="0.25">
      <c r="B195" s="439">
        <v>5</v>
      </c>
      <c r="C195" s="480" t="e">
        <f t="shared" si="70"/>
        <v>#REF!</v>
      </c>
      <c r="D195" s="441" t="s">
        <v>69</v>
      </c>
      <c r="E195" s="475"/>
      <c r="F195" s="476"/>
      <c r="G195" s="440"/>
      <c r="H195" s="477"/>
      <c r="I195" s="477"/>
      <c r="J195" s="477"/>
      <c r="K195" s="477"/>
      <c r="L195" s="477"/>
      <c r="M195" s="477"/>
      <c r="N195" s="477"/>
      <c r="O195" s="477"/>
      <c r="P195" s="477"/>
      <c r="Q195" s="477"/>
      <c r="R195" s="477"/>
      <c r="S195" s="477"/>
      <c r="T195" s="477"/>
      <c r="U195" s="477"/>
      <c r="V195" s="477"/>
      <c r="Y195" s="1147">
        <v>0</v>
      </c>
    </row>
    <row r="196" spans="2:25" ht="21" customHeight="1" x14ac:dyDescent="0.25">
      <c r="B196" s="555"/>
      <c r="C196" s="530" t="e">
        <f t="shared" si="70"/>
        <v>#REF!</v>
      </c>
      <c r="D196" s="555" t="s">
        <v>407</v>
      </c>
      <c r="E196" s="614"/>
      <c r="F196" s="614"/>
      <c r="G196" s="530"/>
      <c r="H196" s="563"/>
      <c r="I196" s="563"/>
      <c r="J196" s="563"/>
      <c r="K196" s="563"/>
      <c r="L196" s="563"/>
      <c r="M196" s="563"/>
      <c r="N196" s="615"/>
      <c r="O196" s="563"/>
      <c r="P196" s="615"/>
      <c r="Q196" s="563"/>
      <c r="R196" s="563"/>
      <c r="S196" s="563"/>
      <c r="T196" s="563"/>
      <c r="U196" s="563"/>
      <c r="V196" s="563"/>
      <c r="Y196" s="1147">
        <v>0</v>
      </c>
    </row>
    <row r="197" spans="2:25" ht="21" customHeight="1" x14ac:dyDescent="0.25">
      <c r="B197" s="554">
        <f>+B195+0.01</f>
        <v>5.01</v>
      </c>
      <c r="C197" s="530" t="e">
        <f t="shared" si="70"/>
        <v>#REF!</v>
      </c>
      <c r="D197" s="555" t="s">
        <v>408</v>
      </c>
      <c r="E197" s="614"/>
      <c r="F197" s="614"/>
      <c r="G197" s="530" t="s">
        <v>12</v>
      </c>
      <c r="H197" s="563">
        <v>1274.0999999999999</v>
      </c>
      <c r="I197" s="563"/>
      <c r="J197" s="563">
        <v>1.46</v>
      </c>
      <c r="K197" s="563">
        <f t="shared" si="96"/>
        <v>1860.19</v>
      </c>
      <c r="L197" s="553">
        <f>+[193]Metrado!F191</f>
        <v>0.53</v>
      </c>
      <c r="M197" s="563">
        <f t="shared" ref="M197:S204" si="117">+ROUND($H197*L197,2)</f>
        <v>675.27</v>
      </c>
      <c r="N197" s="615">
        <f>+IF($L197-$J197&gt;=0,$L197-$J197,0)</f>
        <v>0</v>
      </c>
      <c r="O197" s="563">
        <f t="shared" si="117"/>
        <v>0</v>
      </c>
      <c r="P197" s="615"/>
      <c r="Q197" s="563">
        <f t="shared" si="117"/>
        <v>0</v>
      </c>
      <c r="R197" s="563">
        <f>+IF($L197-$J197&lt;=0,-$L197+$J197,0)</f>
        <v>0.92999999999999994</v>
      </c>
      <c r="S197" s="563">
        <f t="shared" si="117"/>
        <v>1184.9100000000001</v>
      </c>
      <c r="T197" s="563">
        <f>+R197</f>
        <v>0.92999999999999994</v>
      </c>
      <c r="U197" s="563">
        <f t="shared" ref="U197:U204" si="118">+ROUND($H197*T197,2)</f>
        <v>1184.9100000000001</v>
      </c>
      <c r="V197" s="765" t="s">
        <v>905</v>
      </c>
      <c r="Y197" s="1147">
        <v>0</v>
      </c>
    </row>
    <row r="198" spans="2:25" ht="21" customHeight="1" x14ac:dyDescent="0.25">
      <c r="B198" s="554">
        <f>+B197+0.01</f>
        <v>5.0199999999999996</v>
      </c>
      <c r="C198" s="530" t="e">
        <f t="shared" si="70"/>
        <v>#REF!</v>
      </c>
      <c r="D198" s="555" t="s">
        <v>409</v>
      </c>
      <c r="E198" s="614"/>
      <c r="F198" s="614"/>
      <c r="G198" s="530" t="s">
        <v>12</v>
      </c>
      <c r="H198" s="563">
        <v>1025.75</v>
      </c>
      <c r="I198" s="563"/>
      <c r="J198" s="563">
        <v>0.05</v>
      </c>
      <c r="K198" s="563">
        <f t="shared" si="96"/>
        <v>51.29</v>
      </c>
      <c r="L198" s="553">
        <f>+[193]Metrado!F192</f>
        <v>0</v>
      </c>
      <c r="M198" s="563">
        <f t="shared" si="117"/>
        <v>0</v>
      </c>
      <c r="N198" s="615">
        <f t="shared" ref="N198:N201" si="119">+IF($L198-$J198&gt;=0,$L198-$J198,0)</f>
        <v>0</v>
      </c>
      <c r="O198" s="563">
        <f t="shared" si="117"/>
        <v>0</v>
      </c>
      <c r="P198" s="615"/>
      <c r="Q198" s="563">
        <f t="shared" si="117"/>
        <v>0</v>
      </c>
      <c r="R198" s="563">
        <f t="shared" ref="R198:R201" si="120">+IF($L198-$J198&lt;=0,-$L198+$J198,0)</f>
        <v>0.05</v>
      </c>
      <c r="S198" s="563">
        <f t="shared" si="117"/>
        <v>51.29</v>
      </c>
      <c r="T198" s="563">
        <f t="shared" ref="T198:T201" si="121">+R198</f>
        <v>0.05</v>
      </c>
      <c r="U198" s="563">
        <f t="shared" si="118"/>
        <v>51.29</v>
      </c>
      <c r="V198" s="765" t="s">
        <v>905</v>
      </c>
      <c r="Y198" s="1147">
        <v>0</v>
      </c>
    </row>
    <row r="199" spans="2:25" ht="21" customHeight="1" x14ac:dyDescent="0.25">
      <c r="B199" s="554">
        <f t="shared" ref="B199:B204" si="122">+B198+0.01</f>
        <v>5.0299999999999994</v>
      </c>
      <c r="C199" s="530" t="e">
        <f t="shared" si="70"/>
        <v>#REF!</v>
      </c>
      <c r="D199" s="555" t="s">
        <v>410</v>
      </c>
      <c r="E199" s="614"/>
      <c r="F199" s="614"/>
      <c r="G199" s="530" t="s">
        <v>12</v>
      </c>
      <c r="H199" s="563">
        <v>1066.56</v>
      </c>
      <c r="I199" s="563"/>
      <c r="J199" s="563">
        <v>7.08</v>
      </c>
      <c r="K199" s="563">
        <f t="shared" si="96"/>
        <v>7551.24</v>
      </c>
      <c r="L199" s="553">
        <f>+[193]Metrado!F193</f>
        <v>3.61</v>
      </c>
      <c r="M199" s="563">
        <f t="shared" si="117"/>
        <v>3850.28</v>
      </c>
      <c r="N199" s="615">
        <f t="shared" si="119"/>
        <v>0</v>
      </c>
      <c r="O199" s="563">
        <f t="shared" si="117"/>
        <v>0</v>
      </c>
      <c r="P199" s="615"/>
      <c r="Q199" s="563">
        <f t="shared" si="117"/>
        <v>0</v>
      </c>
      <c r="R199" s="563">
        <f t="shared" si="120"/>
        <v>3.47</v>
      </c>
      <c r="S199" s="563">
        <f t="shared" si="117"/>
        <v>3700.96</v>
      </c>
      <c r="T199" s="563">
        <f t="shared" si="121"/>
        <v>3.47</v>
      </c>
      <c r="U199" s="563">
        <f t="shared" si="118"/>
        <v>3700.96</v>
      </c>
      <c r="V199" s="765" t="s">
        <v>905</v>
      </c>
      <c r="Y199" s="1147">
        <v>0</v>
      </c>
    </row>
    <row r="200" spans="2:25" ht="21" customHeight="1" x14ac:dyDescent="0.25">
      <c r="B200" s="554">
        <f t="shared" si="122"/>
        <v>5.0399999999999991</v>
      </c>
      <c r="C200" s="530" t="e">
        <f t="shared" si="70"/>
        <v>#REF!</v>
      </c>
      <c r="D200" s="555" t="s">
        <v>411</v>
      </c>
      <c r="E200" s="616"/>
      <c r="F200" s="616"/>
      <c r="G200" s="530" t="s">
        <v>12</v>
      </c>
      <c r="H200" s="553">
        <v>860.76</v>
      </c>
      <c r="I200" s="553"/>
      <c r="J200" s="553">
        <v>0.18</v>
      </c>
      <c r="K200" s="553">
        <f t="shared" si="96"/>
        <v>154.94</v>
      </c>
      <c r="L200" s="553">
        <f>+[193]Metrado!F194</f>
        <v>0</v>
      </c>
      <c r="M200" s="553">
        <f t="shared" si="117"/>
        <v>0</v>
      </c>
      <c r="N200" s="615">
        <f t="shared" si="119"/>
        <v>0</v>
      </c>
      <c r="O200" s="553">
        <f t="shared" si="117"/>
        <v>0</v>
      </c>
      <c r="P200" s="558"/>
      <c r="Q200" s="553">
        <f t="shared" si="117"/>
        <v>0</v>
      </c>
      <c r="R200" s="563">
        <f t="shared" si="120"/>
        <v>0.18</v>
      </c>
      <c r="S200" s="553">
        <f t="shared" si="117"/>
        <v>154.94</v>
      </c>
      <c r="T200" s="563">
        <f t="shared" si="121"/>
        <v>0.18</v>
      </c>
      <c r="U200" s="553">
        <f t="shared" si="118"/>
        <v>154.94</v>
      </c>
      <c r="V200" s="765" t="s">
        <v>905</v>
      </c>
      <c r="Y200" s="1147">
        <v>0</v>
      </c>
    </row>
    <row r="201" spans="2:25" ht="21" customHeight="1" x14ac:dyDescent="0.25">
      <c r="B201" s="554">
        <f t="shared" si="122"/>
        <v>5.0499999999999989</v>
      </c>
      <c r="C201" s="530" t="e">
        <f t="shared" si="70"/>
        <v>#REF!</v>
      </c>
      <c r="D201" s="555" t="s">
        <v>412</v>
      </c>
      <c r="E201" s="616"/>
      <c r="F201" s="616"/>
      <c r="G201" s="530" t="s">
        <v>12</v>
      </c>
      <c r="H201" s="553">
        <v>834.36</v>
      </c>
      <c r="I201" s="553"/>
      <c r="J201" s="553">
        <v>4.0600000000000005</v>
      </c>
      <c r="K201" s="553">
        <f t="shared" si="96"/>
        <v>3387.5</v>
      </c>
      <c r="L201" s="553">
        <f>+[193]Metrado!F195</f>
        <v>0.06</v>
      </c>
      <c r="M201" s="553">
        <f t="shared" si="117"/>
        <v>50.06</v>
      </c>
      <c r="N201" s="615">
        <f t="shared" si="119"/>
        <v>0</v>
      </c>
      <c r="O201" s="553">
        <f t="shared" si="117"/>
        <v>0</v>
      </c>
      <c r="P201" s="558"/>
      <c r="Q201" s="553">
        <f t="shared" si="117"/>
        <v>0</v>
      </c>
      <c r="R201" s="563">
        <f t="shared" si="120"/>
        <v>4.0000000000000009</v>
      </c>
      <c r="S201" s="553">
        <f t="shared" si="117"/>
        <v>3337.44</v>
      </c>
      <c r="T201" s="563">
        <f t="shared" si="121"/>
        <v>4.0000000000000009</v>
      </c>
      <c r="U201" s="553">
        <f t="shared" si="118"/>
        <v>3337.44</v>
      </c>
      <c r="V201" s="765" t="s">
        <v>905</v>
      </c>
      <c r="Y201" s="1147">
        <v>0</v>
      </c>
    </row>
    <row r="202" spans="2:25" s="547" customFormat="1" ht="21" customHeight="1" x14ac:dyDescent="0.25">
      <c r="B202" s="559">
        <f t="shared" si="122"/>
        <v>5.0599999999999987</v>
      </c>
      <c r="C202" s="577" t="e">
        <f>+#REF!+1</f>
        <v>#REF!</v>
      </c>
      <c r="D202" s="501" t="s">
        <v>413</v>
      </c>
      <c r="E202" s="651"/>
      <c r="F202" s="643"/>
      <c r="G202" s="531" t="s">
        <v>12</v>
      </c>
      <c r="H202" s="654"/>
      <c r="I202" s="654">
        <f>+H197*1.3</f>
        <v>1656.33</v>
      </c>
      <c r="J202" s="654"/>
      <c r="K202" s="654">
        <f t="shared" si="96"/>
        <v>0</v>
      </c>
      <c r="L202" s="560">
        <f>+[193]Metrado!F196</f>
        <v>0.44</v>
      </c>
      <c r="M202" s="654">
        <f t="shared" ref="M202:M204" si="123">+ROUND($I202*L202,2)</f>
        <v>728.79</v>
      </c>
      <c r="N202" s="654"/>
      <c r="O202" s="654">
        <f t="shared" si="117"/>
        <v>0</v>
      </c>
      <c r="P202" s="654">
        <f t="shared" ref="P202:P204" si="124">+L202</f>
        <v>0.44</v>
      </c>
      <c r="Q202" s="654">
        <f t="shared" ref="Q202" si="125">+ROUND($I202*P202,2)</f>
        <v>728.79</v>
      </c>
      <c r="R202" s="654"/>
      <c r="S202" s="654">
        <f t="shared" si="117"/>
        <v>0</v>
      </c>
      <c r="T202" s="654"/>
      <c r="U202" s="654">
        <f t="shared" si="118"/>
        <v>0</v>
      </c>
      <c r="V202" s="654"/>
      <c r="Y202" s="1149">
        <v>0</v>
      </c>
    </row>
    <row r="203" spans="2:25" s="547" customFormat="1" ht="21" customHeight="1" x14ac:dyDescent="0.25">
      <c r="B203" s="559">
        <f t="shared" si="122"/>
        <v>5.0699999999999985</v>
      </c>
      <c r="C203" s="577" t="e">
        <f>+#REF!+1</f>
        <v>#REF!</v>
      </c>
      <c r="D203" s="501" t="s">
        <v>414</v>
      </c>
      <c r="E203" s="651"/>
      <c r="F203" s="643"/>
      <c r="G203" s="531" t="s">
        <v>12</v>
      </c>
      <c r="H203" s="654"/>
      <c r="I203" s="654">
        <f>+H197</f>
        <v>1274.0999999999999</v>
      </c>
      <c r="J203" s="654"/>
      <c r="K203" s="654"/>
      <c r="L203" s="560">
        <f>+[193]Metrado!F197</f>
        <v>4.3100000000000005</v>
      </c>
      <c r="M203" s="654">
        <f t="shared" si="123"/>
        <v>5491.37</v>
      </c>
      <c r="N203" s="654"/>
      <c r="O203" s="654">
        <f t="shared" si="117"/>
        <v>0</v>
      </c>
      <c r="P203" s="654">
        <f t="shared" si="124"/>
        <v>4.3100000000000005</v>
      </c>
      <c r="Q203" s="654">
        <f t="shared" ref="Q203" si="126">+ROUND($I203*P203,2)</f>
        <v>5491.37</v>
      </c>
      <c r="R203" s="654"/>
      <c r="S203" s="654">
        <f t="shared" si="117"/>
        <v>0</v>
      </c>
      <c r="T203" s="654"/>
      <c r="U203" s="654">
        <f t="shared" si="118"/>
        <v>0</v>
      </c>
      <c r="V203" s="654"/>
      <c r="Y203" s="1149">
        <v>0</v>
      </c>
    </row>
    <row r="204" spans="2:25" s="547" customFormat="1" ht="21" customHeight="1" x14ac:dyDescent="0.25">
      <c r="B204" s="559">
        <f t="shared" si="122"/>
        <v>5.0799999999999983</v>
      </c>
      <c r="C204" s="577" t="e">
        <f t="shared" ref="C204:C239" si="127">+C203+1</f>
        <v>#REF!</v>
      </c>
      <c r="D204" s="501" t="s">
        <v>415</v>
      </c>
      <c r="E204" s="651"/>
      <c r="F204" s="643"/>
      <c r="G204" s="531" t="s">
        <v>12</v>
      </c>
      <c r="H204" s="654"/>
      <c r="I204" s="654">
        <f>+H199</f>
        <v>1066.56</v>
      </c>
      <c r="J204" s="654"/>
      <c r="K204" s="654">
        <f t="shared" si="96"/>
        <v>0</v>
      </c>
      <c r="L204" s="560">
        <f>+[193]Metrado!F198</f>
        <v>5.25</v>
      </c>
      <c r="M204" s="654">
        <f t="shared" si="123"/>
        <v>5599.44</v>
      </c>
      <c r="N204" s="654"/>
      <c r="O204" s="654">
        <f t="shared" si="117"/>
        <v>0</v>
      </c>
      <c r="P204" s="654">
        <f t="shared" si="124"/>
        <v>5.25</v>
      </c>
      <c r="Q204" s="654">
        <f t="shared" ref="Q204" si="128">+ROUND($I204*P204,2)</f>
        <v>5599.44</v>
      </c>
      <c r="R204" s="654"/>
      <c r="S204" s="654">
        <f t="shared" si="117"/>
        <v>0</v>
      </c>
      <c r="T204" s="654"/>
      <c r="U204" s="654">
        <f t="shared" si="118"/>
        <v>0</v>
      </c>
      <c r="V204" s="654"/>
      <c r="Y204" s="1149">
        <v>0</v>
      </c>
    </row>
    <row r="205" spans="2:25" ht="21" customHeight="1" x14ac:dyDescent="0.25">
      <c r="B205" s="448"/>
      <c r="C205" s="480" t="e">
        <f t="shared" si="127"/>
        <v>#REF!</v>
      </c>
      <c r="D205" s="542"/>
      <c r="E205" s="538"/>
      <c r="F205" s="578"/>
      <c r="G205" s="440"/>
      <c r="H205" s="462"/>
      <c r="I205" s="462"/>
      <c r="J205" s="462"/>
      <c r="K205" s="472">
        <f>+SUM(K196:K204)</f>
        <v>13005.16</v>
      </c>
      <c r="L205" s="462"/>
      <c r="M205" s="472">
        <f>+SUM(M196:M204)</f>
        <v>16395.21</v>
      </c>
      <c r="N205" s="472"/>
      <c r="O205" s="472">
        <f>+SUM(O196:O204)</f>
        <v>0</v>
      </c>
      <c r="P205" s="472"/>
      <c r="Q205" s="472">
        <f>+SUM(Q196:Q204)</f>
        <v>11819.599999999999</v>
      </c>
      <c r="R205" s="472"/>
      <c r="S205" s="472">
        <f>+SUM(S196:S204)</f>
        <v>8429.5399999999991</v>
      </c>
      <c r="T205" s="472"/>
      <c r="U205" s="472">
        <f>+SUM(U196:U204)</f>
        <v>8429.5399999999991</v>
      </c>
      <c r="V205" s="472"/>
      <c r="Y205" s="1147">
        <v>0</v>
      </c>
    </row>
    <row r="206" spans="2:25" ht="21" customHeight="1" x14ac:dyDescent="0.25">
      <c r="B206" s="439">
        <v>6</v>
      </c>
      <c r="C206" s="480" t="e">
        <f t="shared" si="127"/>
        <v>#REF!</v>
      </c>
      <c r="D206" s="441" t="s">
        <v>33</v>
      </c>
      <c r="E206" s="474"/>
      <c r="F206" s="471"/>
      <c r="G206" s="440"/>
      <c r="H206" s="463"/>
      <c r="I206" s="463"/>
      <c r="J206" s="463"/>
      <c r="K206" s="463"/>
      <c r="L206" s="463"/>
      <c r="M206" s="463"/>
      <c r="N206" s="463"/>
      <c r="O206" s="463"/>
      <c r="P206" s="463"/>
      <c r="Q206" s="463"/>
      <c r="R206" s="463"/>
      <c r="S206" s="463"/>
      <c r="T206" s="463"/>
      <c r="U206" s="463"/>
      <c r="V206" s="463"/>
      <c r="Y206" s="1147">
        <v>0</v>
      </c>
    </row>
    <row r="207" spans="2:25" ht="21" customHeight="1" x14ac:dyDescent="0.25">
      <c r="B207" s="554">
        <f>+B206+0.01</f>
        <v>6.01</v>
      </c>
      <c r="C207" s="584" t="e">
        <f t="shared" si="127"/>
        <v>#REF!</v>
      </c>
      <c r="D207" s="495" t="s">
        <v>379</v>
      </c>
      <c r="E207" s="523"/>
      <c r="F207" s="524"/>
      <c r="G207" s="530" t="s">
        <v>431</v>
      </c>
      <c r="H207" s="586">
        <v>61.15</v>
      </c>
      <c r="I207" s="586"/>
      <c r="J207" s="586">
        <v>98.91</v>
      </c>
      <c r="K207" s="586">
        <f t="shared" ref="K207:K234" si="129">+ROUND($H207*J207,2)</f>
        <v>6048.35</v>
      </c>
      <c r="L207" s="553">
        <f>+[193]Metrado!F201</f>
        <v>111.60000000000002</v>
      </c>
      <c r="M207" s="586">
        <f t="shared" ref="M207:S211" si="130">+ROUND($H207*L207,2)</f>
        <v>6824.34</v>
      </c>
      <c r="N207" s="586">
        <f>+IF($L207-$J207&gt;=0,$L207-$J207,0)</f>
        <v>12.690000000000026</v>
      </c>
      <c r="O207" s="586">
        <f t="shared" si="130"/>
        <v>775.99</v>
      </c>
      <c r="P207" s="586"/>
      <c r="Q207" s="586">
        <f t="shared" si="130"/>
        <v>0</v>
      </c>
      <c r="R207" s="586">
        <f>+IF($L207-$J207&lt;=0,-$L207+$J207,0)</f>
        <v>0</v>
      </c>
      <c r="S207" s="586">
        <f t="shared" si="130"/>
        <v>0</v>
      </c>
      <c r="T207" s="586"/>
      <c r="U207" s="586">
        <f t="shared" ref="U207:U211" si="131">+ROUND($H207*T207,2)</f>
        <v>0</v>
      </c>
      <c r="V207" s="586"/>
      <c r="Y207" s="1147">
        <v>0</v>
      </c>
    </row>
    <row r="208" spans="2:25" ht="21" customHeight="1" x14ac:dyDescent="0.25">
      <c r="B208" s="554">
        <f t="shared" ref="B208:B211" si="132">+B207+0.01</f>
        <v>6.02</v>
      </c>
      <c r="C208" s="584" t="e">
        <f t="shared" si="127"/>
        <v>#REF!</v>
      </c>
      <c r="D208" s="495" t="s">
        <v>388</v>
      </c>
      <c r="E208" s="496"/>
      <c r="F208" s="497"/>
      <c r="G208" s="530" t="s">
        <v>431</v>
      </c>
      <c r="H208" s="586">
        <v>208.14</v>
      </c>
      <c r="I208" s="586"/>
      <c r="J208" s="586">
        <v>14.129999999999999</v>
      </c>
      <c r="K208" s="586">
        <f t="shared" si="129"/>
        <v>2941.02</v>
      </c>
      <c r="L208" s="553">
        <f>+[193]Metrado!F202</f>
        <v>6.2</v>
      </c>
      <c r="M208" s="586">
        <f t="shared" si="130"/>
        <v>1290.47</v>
      </c>
      <c r="N208" s="586">
        <f t="shared" ref="N208:N211" si="133">+IF($L208-$J208&gt;=0,$L208-$J208,0)</f>
        <v>0</v>
      </c>
      <c r="O208" s="586">
        <f t="shared" si="130"/>
        <v>0</v>
      </c>
      <c r="P208" s="586"/>
      <c r="Q208" s="586">
        <f t="shared" si="130"/>
        <v>0</v>
      </c>
      <c r="R208" s="586">
        <f t="shared" ref="R208:R211" si="134">+IF($L208-$J208&lt;=0,-$L208+$J208,0)</f>
        <v>7.9299999999999988</v>
      </c>
      <c r="S208" s="586">
        <f t="shared" si="130"/>
        <v>1650.55</v>
      </c>
      <c r="T208" s="586">
        <f>+R208</f>
        <v>7.9299999999999988</v>
      </c>
      <c r="U208" s="586">
        <f t="shared" si="131"/>
        <v>1650.55</v>
      </c>
      <c r="V208" s="553" t="s">
        <v>906</v>
      </c>
      <c r="Y208" s="1147">
        <v>0</v>
      </c>
    </row>
    <row r="209" spans="2:25" ht="21" customHeight="1" x14ac:dyDescent="0.25">
      <c r="B209" s="554">
        <f t="shared" si="132"/>
        <v>6.0299999999999994</v>
      </c>
      <c r="C209" s="576" t="e">
        <f t="shared" si="127"/>
        <v>#REF!</v>
      </c>
      <c r="D209" s="495" t="s">
        <v>416</v>
      </c>
      <c r="E209" s="523"/>
      <c r="F209" s="524"/>
      <c r="G209" s="530" t="s">
        <v>11</v>
      </c>
      <c r="H209" s="586">
        <v>49.91</v>
      </c>
      <c r="I209" s="586"/>
      <c r="J209" s="586">
        <v>69</v>
      </c>
      <c r="K209" s="586">
        <f t="shared" si="129"/>
        <v>3443.79</v>
      </c>
      <c r="L209" s="553">
        <f>+[193]Metrado!F203</f>
        <v>76</v>
      </c>
      <c r="M209" s="586">
        <f t="shared" si="130"/>
        <v>3793.16</v>
      </c>
      <c r="N209" s="586">
        <f t="shared" si="133"/>
        <v>7</v>
      </c>
      <c r="O209" s="586">
        <f t="shared" si="130"/>
        <v>349.37</v>
      </c>
      <c r="P209" s="586"/>
      <c r="Q209" s="586">
        <f t="shared" si="130"/>
        <v>0</v>
      </c>
      <c r="R209" s="586">
        <f t="shared" si="134"/>
        <v>0</v>
      </c>
      <c r="S209" s="586">
        <f t="shared" si="130"/>
        <v>0</v>
      </c>
      <c r="T209" s="586"/>
      <c r="U209" s="586">
        <f t="shared" si="131"/>
        <v>0</v>
      </c>
      <c r="V209" s="586"/>
      <c r="Y209" s="1147">
        <v>0</v>
      </c>
    </row>
    <row r="210" spans="2:25" ht="21" customHeight="1" x14ac:dyDescent="0.25">
      <c r="B210" s="554">
        <f t="shared" si="132"/>
        <v>6.0399999999999991</v>
      </c>
      <c r="C210" s="576" t="e">
        <f t="shared" si="127"/>
        <v>#REF!</v>
      </c>
      <c r="D210" s="495" t="s">
        <v>417</v>
      </c>
      <c r="E210" s="523"/>
      <c r="F210" s="524"/>
      <c r="G210" s="530" t="s">
        <v>11</v>
      </c>
      <c r="H210" s="586">
        <v>59.05</v>
      </c>
      <c r="I210" s="586"/>
      <c r="J210" s="586">
        <v>3</v>
      </c>
      <c r="K210" s="586">
        <f t="shared" si="129"/>
        <v>177.15</v>
      </c>
      <c r="L210" s="553">
        <f>+[193]Metrado!F204</f>
        <v>0</v>
      </c>
      <c r="M210" s="586">
        <f t="shared" si="130"/>
        <v>0</v>
      </c>
      <c r="N210" s="586">
        <f t="shared" si="133"/>
        <v>0</v>
      </c>
      <c r="O210" s="586">
        <f t="shared" si="130"/>
        <v>0</v>
      </c>
      <c r="P210" s="586"/>
      <c r="Q210" s="586">
        <f t="shared" si="130"/>
        <v>0</v>
      </c>
      <c r="R210" s="586">
        <f t="shared" si="134"/>
        <v>3</v>
      </c>
      <c r="S210" s="586">
        <f t="shared" si="130"/>
        <v>177.15</v>
      </c>
      <c r="T210" s="586">
        <f>+R210</f>
        <v>3</v>
      </c>
      <c r="U210" s="586">
        <f t="shared" si="131"/>
        <v>177.15</v>
      </c>
      <c r="V210" s="553" t="s">
        <v>846</v>
      </c>
      <c r="Y210" s="1147">
        <v>0</v>
      </c>
    </row>
    <row r="211" spans="2:25" ht="21" customHeight="1" x14ac:dyDescent="0.25">
      <c r="B211" s="554">
        <f t="shared" si="132"/>
        <v>6.0499999999999989</v>
      </c>
      <c r="C211" s="584" t="e">
        <f t="shared" si="127"/>
        <v>#REF!</v>
      </c>
      <c r="D211" s="495" t="s">
        <v>34</v>
      </c>
      <c r="E211" s="523"/>
      <c r="F211" s="524"/>
      <c r="G211" s="539" t="s">
        <v>431</v>
      </c>
      <c r="H211" s="605">
        <v>68.819999999999993</v>
      </c>
      <c r="I211" s="605"/>
      <c r="J211" s="605">
        <v>113.04</v>
      </c>
      <c r="K211" s="605">
        <f t="shared" si="129"/>
        <v>7779.41</v>
      </c>
      <c r="L211" s="553">
        <f>+[193]Metrado!F205</f>
        <v>117.80000000000003</v>
      </c>
      <c r="M211" s="605">
        <f t="shared" si="130"/>
        <v>8107</v>
      </c>
      <c r="N211" s="586">
        <f t="shared" si="133"/>
        <v>4.7600000000000193</v>
      </c>
      <c r="O211" s="605">
        <f t="shared" si="130"/>
        <v>327.58</v>
      </c>
      <c r="P211" s="605"/>
      <c r="Q211" s="605">
        <f t="shared" si="130"/>
        <v>0</v>
      </c>
      <c r="R211" s="586">
        <f t="shared" si="134"/>
        <v>0</v>
      </c>
      <c r="S211" s="605">
        <f t="shared" si="130"/>
        <v>0</v>
      </c>
      <c r="T211" s="605"/>
      <c r="U211" s="605">
        <f t="shared" si="131"/>
        <v>0</v>
      </c>
      <c r="V211" s="605"/>
      <c r="Y211" s="1147">
        <v>0</v>
      </c>
    </row>
    <row r="212" spans="2:25" ht="21" customHeight="1" x14ac:dyDescent="0.25">
      <c r="B212" s="598"/>
      <c r="C212" s="603" t="e">
        <f t="shared" si="127"/>
        <v>#REF!</v>
      </c>
      <c r="D212" s="542"/>
      <c r="E212" s="543"/>
      <c r="F212" s="544" t="str">
        <f>+"SUB-TOTAL   "&amp;B195&amp;":  "</f>
        <v xml:space="preserve">SUB-TOTAL   5:  </v>
      </c>
      <c r="G212" s="567"/>
      <c r="H212" s="608"/>
      <c r="I212" s="608"/>
      <c r="J212" s="608"/>
      <c r="K212" s="472">
        <f>+SUM(K207:K211)</f>
        <v>20389.72</v>
      </c>
      <c r="L212" s="608"/>
      <c r="M212" s="472">
        <f>+SUM(M207:M211)</f>
        <v>20014.97</v>
      </c>
      <c r="N212" s="608"/>
      <c r="O212" s="472">
        <f>+SUM(O207:O211)</f>
        <v>1452.94</v>
      </c>
      <c r="P212" s="608"/>
      <c r="Q212" s="472">
        <f>+SUM(Q207:Q211)</f>
        <v>0</v>
      </c>
      <c r="R212" s="608"/>
      <c r="S212" s="472">
        <f>+SUM(S207:S211)</f>
        <v>1827.7</v>
      </c>
      <c r="T212" s="608"/>
      <c r="U212" s="472">
        <f>+SUM(U207:U211)</f>
        <v>1827.7</v>
      </c>
      <c r="V212" s="608"/>
      <c r="Y212" s="1147">
        <v>0</v>
      </c>
    </row>
    <row r="213" spans="2:25" ht="21" customHeight="1" x14ac:dyDescent="0.25">
      <c r="B213" s="439">
        <v>7</v>
      </c>
      <c r="C213" s="480" t="e">
        <f t="shared" si="127"/>
        <v>#REF!</v>
      </c>
      <c r="D213" s="441" t="s">
        <v>70</v>
      </c>
      <c r="E213" s="474"/>
      <c r="F213" s="471"/>
      <c r="G213" s="440"/>
      <c r="H213" s="463"/>
      <c r="I213" s="463"/>
      <c r="J213" s="463"/>
      <c r="K213" s="463"/>
      <c r="L213" s="463"/>
      <c r="M213" s="463"/>
      <c r="N213" s="463"/>
      <c r="O213" s="463"/>
      <c r="P213" s="463"/>
      <c r="Q213" s="463"/>
      <c r="R213" s="463"/>
      <c r="S213" s="463"/>
      <c r="T213" s="463"/>
      <c r="U213" s="463"/>
      <c r="V213" s="463"/>
      <c r="Y213" s="1147">
        <v>0</v>
      </c>
    </row>
    <row r="214" spans="2:25" ht="21" customHeight="1" x14ac:dyDescent="0.25">
      <c r="B214" s="554">
        <f>+B213+0.01</f>
        <v>7.01</v>
      </c>
      <c r="C214" s="584" t="e">
        <f t="shared" si="127"/>
        <v>#REF!</v>
      </c>
      <c r="D214" s="495" t="s">
        <v>71</v>
      </c>
      <c r="E214" s="523"/>
      <c r="F214" s="524"/>
      <c r="G214" s="530" t="s">
        <v>11</v>
      </c>
      <c r="H214" s="553">
        <v>32.799999999999997</v>
      </c>
      <c r="I214" s="553"/>
      <c r="J214" s="553">
        <v>45</v>
      </c>
      <c r="K214" s="553">
        <f t="shared" si="129"/>
        <v>1476</v>
      </c>
      <c r="L214" s="553">
        <f>+[193]Metrado!F208</f>
        <v>80</v>
      </c>
      <c r="M214" s="553">
        <f t="shared" ref="M214:S215" si="135">+ROUND($H214*L214,2)</f>
        <v>2624</v>
      </c>
      <c r="N214" s="553">
        <f>+IF($L214-$J214&gt;=0,$L214-$J214,0)</f>
        <v>35</v>
      </c>
      <c r="O214" s="553">
        <f t="shared" si="135"/>
        <v>1148</v>
      </c>
      <c r="P214" s="553"/>
      <c r="Q214" s="553">
        <f t="shared" si="135"/>
        <v>0</v>
      </c>
      <c r="R214" s="553">
        <f>+IF($L214-$J214&lt;=0,-$L214+$J214,0)</f>
        <v>0</v>
      </c>
      <c r="S214" s="553">
        <f t="shared" si="135"/>
        <v>0</v>
      </c>
      <c r="T214" s="553"/>
      <c r="U214" s="553">
        <f t="shared" ref="U214:U215" si="136">+ROUND($H214*T214,2)</f>
        <v>0</v>
      </c>
      <c r="V214" s="553"/>
      <c r="Y214" s="1147">
        <v>0</v>
      </c>
    </row>
    <row r="215" spans="2:25" ht="21" customHeight="1" x14ac:dyDescent="0.25">
      <c r="B215" s="554">
        <f>+B214+0.01</f>
        <v>7.02</v>
      </c>
      <c r="C215" s="603" t="e">
        <f t="shared" si="127"/>
        <v>#REF!</v>
      </c>
      <c r="D215" s="495" t="s">
        <v>72</v>
      </c>
      <c r="E215" s="525"/>
      <c r="F215" s="499"/>
      <c r="G215" s="530" t="s">
        <v>11</v>
      </c>
      <c r="H215" s="621">
        <v>58.39</v>
      </c>
      <c r="I215" s="714"/>
      <c r="J215" s="631">
        <v>45</v>
      </c>
      <c r="K215" s="553">
        <f t="shared" si="129"/>
        <v>2627.55</v>
      </c>
      <c r="L215" s="553">
        <f>+[193]Metrado!F209</f>
        <v>80</v>
      </c>
      <c r="M215" s="553">
        <f t="shared" si="135"/>
        <v>4671.2</v>
      </c>
      <c r="N215" s="553">
        <f>+IF($L215-$J215&gt;=0,$L215-$J215,0)</f>
        <v>35</v>
      </c>
      <c r="O215" s="553">
        <f t="shared" si="135"/>
        <v>2043.65</v>
      </c>
      <c r="P215" s="621"/>
      <c r="Q215" s="553">
        <f t="shared" si="135"/>
        <v>0</v>
      </c>
      <c r="R215" s="553">
        <f>+IF($L215-$J215&lt;=0,-$L215+$J215,0)</f>
        <v>0</v>
      </c>
      <c r="S215" s="553">
        <f t="shared" si="135"/>
        <v>0</v>
      </c>
      <c r="T215" s="621"/>
      <c r="U215" s="553">
        <f t="shared" si="136"/>
        <v>0</v>
      </c>
      <c r="V215" s="621"/>
      <c r="Y215" s="1147">
        <v>0</v>
      </c>
    </row>
    <row r="216" spans="2:25" ht="21" customHeight="1" x14ac:dyDescent="0.25">
      <c r="B216" s="448"/>
      <c r="C216" s="480" t="e">
        <f t="shared" si="127"/>
        <v>#REF!</v>
      </c>
      <c r="D216" s="542"/>
      <c r="E216" s="620"/>
      <c r="F216" s="544" t="str">
        <f>+"SUB-TOTAL   "&amp;B213&amp;":  "</f>
        <v xml:space="preserve">SUB-TOTAL   7:  </v>
      </c>
      <c r="G216" s="567"/>
      <c r="H216" s="462"/>
      <c r="I216" s="462"/>
      <c r="J216" s="462"/>
      <c r="K216" s="472">
        <f>+SUM(K214:K215)</f>
        <v>4103.55</v>
      </c>
      <c r="L216" s="462"/>
      <c r="M216" s="472">
        <f>+SUM(M214:M215)</f>
        <v>7295.2</v>
      </c>
      <c r="N216" s="472"/>
      <c r="O216" s="472">
        <f>+SUM(O214:O215)</f>
        <v>3191.65</v>
      </c>
      <c r="P216" s="472"/>
      <c r="Q216" s="472">
        <f>+SUM(Q214:Q215)</f>
        <v>0</v>
      </c>
      <c r="R216" s="472"/>
      <c r="S216" s="472">
        <f>+SUM(S214:S215)</f>
        <v>0</v>
      </c>
      <c r="T216" s="472"/>
      <c r="U216" s="472">
        <f>+SUM(U214:U215)</f>
        <v>0</v>
      </c>
      <c r="V216" s="472"/>
      <c r="Y216" s="1147">
        <v>0</v>
      </c>
    </row>
    <row r="217" spans="2:25" ht="21" customHeight="1" x14ac:dyDescent="0.25">
      <c r="B217" s="439">
        <v>8</v>
      </c>
      <c r="C217" s="480" t="e">
        <f t="shared" si="127"/>
        <v>#REF!</v>
      </c>
      <c r="D217" s="441" t="s">
        <v>63</v>
      </c>
      <c r="E217" s="474"/>
      <c r="F217" s="471"/>
      <c r="G217" s="440"/>
      <c r="H217" s="463"/>
      <c r="I217" s="463"/>
      <c r="J217" s="463"/>
      <c r="K217" s="463"/>
      <c r="L217" s="463"/>
      <c r="M217" s="463"/>
      <c r="N217" s="463"/>
      <c r="O217" s="463"/>
      <c r="P217" s="463"/>
      <c r="Q217" s="463"/>
      <c r="R217" s="463"/>
      <c r="S217" s="463"/>
      <c r="T217" s="463"/>
      <c r="U217" s="463"/>
      <c r="V217" s="463"/>
      <c r="Y217" s="1147">
        <v>0</v>
      </c>
    </row>
    <row r="218" spans="2:25" ht="21" customHeight="1" x14ac:dyDescent="0.25">
      <c r="B218" s="554"/>
      <c r="C218" s="584" t="e">
        <f t="shared" si="127"/>
        <v>#REF!</v>
      </c>
      <c r="D218" s="495" t="s">
        <v>418</v>
      </c>
      <c r="E218" s="523"/>
      <c r="F218" s="524"/>
      <c r="G218" s="530" t="s">
        <v>286</v>
      </c>
      <c r="H218" s="553"/>
      <c r="I218" s="553"/>
      <c r="J218" s="553"/>
      <c r="K218" s="553">
        <f t="shared" si="129"/>
        <v>0</v>
      </c>
      <c r="L218" s="553"/>
      <c r="M218" s="553">
        <f t="shared" ref="M218:S225" si="137">+ROUND($H218*L218,2)</f>
        <v>0</v>
      </c>
      <c r="N218" s="553">
        <f>+IF($L218-$J218&gt;=0,$L218-$J218,0)</f>
        <v>0</v>
      </c>
      <c r="O218" s="553">
        <f t="shared" si="137"/>
        <v>0</v>
      </c>
      <c r="P218" s="553"/>
      <c r="Q218" s="553">
        <f t="shared" si="137"/>
        <v>0</v>
      </c>
      <c r="R218" s="553">
        <f>+IF($L218-$J218&lt;=0,-$L218+$J218,0)</f>
        <v>0</v>
      </c>
      <c r="S218" s="553">
        <f t="shared" si="137"/>
        <v>0</v>
      </c>
      <c r="T218" s="553"/>
      <c r="U218" s="553">
        <f t="shared" ref="U218:U225" si="138">+ROUND($H218*T218,2)</f>
        <v>0</v>
      </c>
      <c r="V218" s="553"/>
      <c r="Y218" s="1147">
        <v>0</v>
      </c>
    </row>
    <row r="219" spans="2:25" ht="21" customHeight="1" x14ac:dyDescent="0.25">
      <c r="B219" s="554">
        <f>+B217+0.01</f>
        <v>8.01</v>
      </c>
      <c r="C219" s="576" t="e">
        <f t="shared" si="127"/>
        <v>#REF!</v>
      </c>
      <c r="D219" s="495" t="s">
        <v>73</v>
      </c>
      <c r="E219" s="523"/>
      <c r="F219" s="524"/>
      <c r="G219" s="530" t="s">
        <v>11</v>
      </c>
      <c r="H219" s="553">
        <v>53.11</v>
      </c>
      <c r="I219" s="553"/>
      <c r="J219" s="553">
        <v>68</v>
      </c>
      <c r="K219" s="553">
        <f t="shared" si="129"/>
        <v>3611.48</v>
      </c>
      <c r="L219" s="553">
        <f>+[193]Metrado!F213</f>
        <v>132</v>
      </c>
      <c r="M219" s="553">
        <f t="shared" si="137"/>
        <v>7010.52</v>
      </c>
      <c r="N219" s="553">
        <f t="shared" ref="N219:N225" si="139">+IF($L219-$J219&gt;=0,$L219-$J219,0)</f>
        <v>64</v>
      </c>
      <c r="O219" s="553">
        <f t="shared" si="137"/>
        <v>3399.04</v>
      </c>
      <c r="P219" s="553"/>
      <c r="Q219" s="553">
        <f t="shared" si="137"/>
        <v>0</v>
      </c>
      <c r="R219" s="553">
        <f t="shared" ref="R219:R225" si="140">+IF($L219-$J219&lt;=0,-$L219+$J219,0)</f>
        <v>0</v>
      </c>
      <c r="S219" s="553">
        <f t="shared" si="137"/>
        <v>0</v>
      </c>
      <c r="T219" s="553"/>
      <c r="U219" s="553">
        <f t="shared" si="138"/>
        <v>0</v>
      </c>
      <c r="V219" s="553"/>
      <c r="Y219" s="1147">
        <v>0</v>
      </c>
    </row>
    <row r="220" spans="2:25" ht="21" customHeight="1" x14ac:dyDescent="0.25">
      <c r="B220" s="554">
        <f>+B219+0.01</f>
        <v>8.02</v>
      </c>
      <c r="C220" s="576" t="e">
        <f t="shared" si="127"/>
        <v>#REF!</v>
      </c>
      <c r="D220" s="495" t="s">
        <v>74</v>
      </c>
      <c r="E220" s="523"/>
      <c r="F220" s="524"/>
      <c r="G220" s="530" t="s">
        <v>11</v>
      </c>
      <c r="H220" s="553">
        <v>61.41</v>
      </c>
      <c r="I220" s="553"/>
      <c r="J220" s="553">
        <v>40</v>
      </c>
      <c r="K220" s="553">
        <f t="shared" si="129"/>
        <v>2456.4</v>
      </c>
      <c r="L220" s="553">
        <f>+[193]Metrado!F214</f>
        <v>42</v>
      </c>
      <c r="M220" s="553">
        <f t="shared" si="137"/>
        <v>2579.2199999999998</v>
      </c>
      <c r="N220" s="553">
        <f t="shared" si="139"/>
        <v>2</v>
      </c>
      <c r="O220" s="553">
        <f t="shared" si="137"/>
        <v>122.82</v>
      </c>
      <c r="P220" s="553"/>
      <c r="Q220" s="553">
        <f t="shared" si="137"/>
        <v>0</v>
      </c>
      <c r="R220" s="553">
        <f t="shared" si="140"/>
        <v>0</v>
      </c>
      <c r="S220" s="553">
        <f t="shared" si="137"/>
        <v>0</v>
      </c>
      <c r="T220" s="553">
        <f>+R220</f>
        <v>0</v>
      </c>
      <c r="U220" s="553">
        <f t="shared" si="138"/>
        <v>0</v>
      </c>
      <c r="V220" s="553" t="s">
        <v>866</v>
      </c>
      <c r="Y220" s="1147">
        <v>0</v>
      </c>
    </row>
    <row r="221" spans="2:25" ht="21" customHeight="1" x14ac:dyDescent="0.25">
      <c r="B221" s="554">
        <f t="shared" ref="B221:B225" si="141">+B220+0.01</f>
        <v>8.0299999999999994</v>
      </c>
      <c r="C221" s="576" t="e">
        <f t="shared" si="127"/>
        <v>#REF!</v>
      </c>
      <c r="D221" s="495" t="s">
        <v>419</v>
      </c>
      <c r="E221" s="523"/>
      <c r="F221" s="524"/>
      <c r="G221" s="530" t="s">
        <v>11</v>
      </c>
      <c r="H221" s="553">
        <v>59.13</v>
      </c>
      <c r="I221" s="553"/>
      <c r="J221" s="553">
        <v>39</v>
      </c>
      <c r="K221" s="553">
        <f t="shared" si="129"/>
        <v>2306.0700000000002</v>
      </c>
      <c r="L221" s="553">
        <f>+[193]Metrado!F215</f>
        <v>47</v>
      </c>
      <c r="M221" s="553">
        <f t="shared" si="137"/>
        <v>2779.11</v>
      </c>
      <c r="N221" s="553">
        <f t="shared" si="139"/>
        <v>8</v>
      </c>
      <c r="O221" s="553">
        <f t="shared" si="137"/>
        <v>473.04</v>
      </c>
      <c r="P221" s="553"/>
      <c r="Q221" s="553">
        <f t="shared" si="137"/>
        <v>0</v>
      </c>
      <c r="R221" s="553">
        <f t="shared" si="140"/>
        <v>0</v>
      </c>
      <c r="S221" s="553">
        <f t="shared" si="137"/>
        <v>0</v>
      </c>
      <c r="T221" s="553"/>
      <c r="U221" s="553">
        <f t="shared" si="138"/>
        <v>0</v>
      </c>
      <c r="V221" s="553"/>
      <c r="Y221" s="1147">
        <v>0</v>
      </c>
    </row>
    <row r="222" spans="2:25" ht="21" customHeight="1" x14ac:dyDescent="0.25">
      <c r="B222" s="554">
        <f t="shared" si="141"/>
        <v>8.0399999999999991</v>
      </c>
      <c r="C222" s="576" t="e">
        <f t="shared" si="127"/>
        <v>#REF!</v>
      </c>
      <c r="D222" s="495" t="s">
        <v>420</v>
      </c>
      <c r="E222" s="523"/>
      <c r="F222" s="524"/>
      <c r="G222" s="530" t="s">
        <v>11</v>
      </c>
      <c r="H222" s="553">
        <v>71.58</v>
      </c>
      <c r="I222" s="553"/>
      <c r="J222" s="553">
        <v>28</v>
      </c>
      <c r="K222" s="553">
        <f t="shared" si="129"/>
        <v>2004.24</v>
      </c>
      <c r="L222" s="553">
        <f>+[193]Metrado!F216</f>
        <v>23</v>
      </c>
      <c r="M222" s="553">
        <f t="shared" si="137"/>
        <v>1646.34</v>
      </c>
      <c r="N222" s="553">
        <f t="shared" si="139"/>
        <v>0</v>
      </c>
      <c r="O222" s="553">
        <f t="shared" si="137"/>
        <v>0</v>
      </c>
      <c r="P222" s="553"/>
      <c r="Q222" s="553">
        <f t="shared" si="137"/>
        <v>0</v>
      </c>
      <c r="R222" s="553">
        <f t="shared" si="140"/>
        <v>5</v>
      </c>
      <c r="S222" s="553">
        <f t="shared" si="137"/>
        <v>357.9</v>
      </c>
      <c r="T222" s="553">
        <f>+R222</f>
        <v>5</v>
      </c>
      <c r="U222" s="553">
        <f t="shared" si="138"/>
        <v>357.9</v>
      </c>
      <c r="V222" s="553" t="s">
        <v>847</v>
      </c>
      <c r="Y222" s="1147">
        <v>0</v>
      </c>
    </row>
    <row r="223" spans="2:25" ht="21" customHeight="1" x14ac:dyDescent="0.25">
      <c r="B223" s="554">
        <f t="shared" si="141"/>
        <v>8.0499999999999989</v>
      </c>
      <c r="C223" s="576" t="e">
        <f t="shared" si="127"/>
        <v>#REF!</v>
      </c>
      <c r="D223" s="495" t="s">
        <v>421</v>
      </c>
      <c r="E223" s="496"/>
      <c r="F223" s="497"/>
      <c r="G223" s="530" t="s">
        <v>11</v>
      </c>
      <c r="H223" s="553">
        <v>19.12</v>
      </c>
      <c r="I223" s="553"/>
      <c r="J223" s="553">
        <v>175</v>
      </c>
      <c r="K223" s="553">
        <f t="shared" si="129"/>
        <v>3346</v>
      </c>
      <c r="L223" s="553">
        <f>+[193]Metrado!F217</f>
        <v>244</v>
      </c>
      <c r="M223" s="553">
        <f t="shared" si="137"/>
        <v>4665.28</v>
      </c>
      <c r="N223" s="553">
        <f t="shared" si="139"/>
        <v>69</v>
      </c>
      <c r="O223" s="553">
        <f t="shared" si="137"/>
        <v>1319.28</v>
      </c>
      <c r="P223" s="553"/>
      <c r="Q223" s="553">
        <f t="shared" si="137"/>
        <v>0</v>
      </c>
      <c r="R223" s="553">
        <f t="shared" si="140"/>
        <v>0</v>
      </c>
      <c r="S223" s="553">
        <f t="shared" si="137"/>
        <v>0</v>
      </c>
      <c r="T223" s="553"/>
      <c r="U223" s="553">
        <f t="shared" si="138"/>
        <v>0</v>
      </c>
      <c r="V223" s="553"/>
      <c r="Y223" s="1147">
        <v>0</v>
      </c>
    </row>
    <row r="224" spans="2:25" ht="21" customHeight="1" x14ac:dyDescent="0.25">
      <c r="B224" s="554">
        <f t="shared" si="141"/>
        <v>8.0599999999999987</v>
      </c>
      <c r="C224" s="584" t="e">
        <f t="shared" si="127"/>
        <v>#REF!</v>
      </c>
      <c r="D224" s="495" t="s">
        <v>75</v>
      </c>
      <c r="E224" s="534"/>
      <c r="F224" s="535"/>
      <c r="G224" s="530" t="s">
        <v>11</v>
      </c>
      <c r="H224" s="553">
        <v>24.45</v>
      </c>
      <c r="I224" s="553"/>
      <c r="J224" s="553">
        <v>175</v>
      </c>
      <c r="K224" s="553">
        <f t="shared" si="129"/>
        <v>4278.75</v>
      </c>
      <c r="L224" s="553">
        <f>+[193]Metrado!F218</f>
        <v>244</v>
      </c>
      <c r="M224" s="553">
        <f t="shared" si="137"/>
        <v>5965.8</v>
      </c>
      <c r="N224" s="553">
        <f t="shared" si="139"/>
        <v>69</v>
      </c>
      <c r="O224" s="553">
        <f t="shared" si="137"/>
        <v>1687.05</v>
      </c>
      <c r="P224" s="553"/>
      <c r="Q224" s="553">
        <f t="shared" si="137"/>
        <v>0</v>
      </c>
      <c r="R224" s="553">
        <f t="shared" si="140"/>
        <v>0</v>
      </c>
      <c r="S224" s="553">
        <f t="shared" si="137"/>
        <v>0</v>
      </c>
      <c r="T224" s="553"/>
      <c r="U224" s="553">
        <f t="shared" si="138"/>
        <v>0</v>
      </c>
      <c r="V224" s="553"/>
      <c r="Y224" s="1147">
        <v>0</v>
      </c>
    </row>
    <row r="225" spans="2:25" s="418" customFormat="1" ht="21" customHeight="1" x14ac:dyDescent="0.25">
      <c r="B225" s="554">
        <f t="shared" si="141"/>
        <v>8.0699999999999985</v>
      </c>
      <c r="C225" s="584" t="e">
        <f t="shared" si="127"/>
        <v>#REF!</v>
      </c>
      <c r="D225" s="495" t="s">
        <v>76</v>
      </c>
      <c r="E225" s="525"/>
      <c r="F225" s="499"/>
      <c r="G225" s="532" t="s">
        <v>11</v>
      </c>
      <c r="H225" s="788">
        <v>334.65</v>
      </c>
      <c r="I225" s="715"/>
      <c r="J225" s="715">
        <v>108</v>
      </c>
      <c r="K225" s="565">
        <f t="shared" si="129"/>
        <v>36142.199999999997</v>
      </c>
      <c r="L225" s="565">
        <f>+[193]Metrado!F219</f>
        <v>174</v>
      </c>
      <c r="M225" s="565">
        <f t="shared" si="137"/>
        <v>58229.1</v>
      </c>
      <c r="N225" s="565">
        <f t="shared" si="139"/>
        <v>66</v>
      </c>
      <c r="O225" s="565">
        <f t="shared" si="137"/>
        <v>22086.9</v>
      </c>
      <c r="P225" s="714"/>
      <c r="Q225" s="565">
        <f t="shared" si="137"/>
        <v>0</v>
      </c>
      <c r="R225" s="565">
        <f t="shared" si="140"/>
        <v>0</v>
      </c>
      <c r="S225" s="565">
        <f t="shared" si="137"/>
        <v>0</v>
      </c>
      <c r="T225" s="714"/>
      <c r="U225" s="565">
        <f t="shared" si="138"/>
        <v>0</v>
      </c>
      <c r="V225" s="714"/>
      <c r="Y225" s="1147">
        <v>0</v>
      </c>
    </row>
    <row r="226" spans="2:25" ht="21" customHeight="1" x14ac:dyDescent="0.25">
      <c r="B226" s="598"/>
      <c r="C226" s="603" t="e">
        <f t="shared" si="127"/>
        <v>#REF!</v>
      </c>
      <c r="D226" s="542"/>
      <c r="E226" s="620"/>
      <c r="F226" s="544" t="str">
        <f>+"SUB-TOTAL   "&amp;B217&amp;":  "</f>
        <v xml:space="preserve">SUB-TOTAL   8:  </v>
      </c>
      <c r="G226" s="440"/>
      <c r="H226" s="463"/>
      <c r="I226" s="463"/>
      <c r="J226" s="463"/>
      <c r="K226" s="612">
        <f>+SUM(K218:K225)</f>
        <v>54145.14</v>
      </c>
      <c r="L226" s="463"/>
      <c r="M226" s="612">
        <f>+SUM(M218:M225)</f>
        <v>82875.37</v>
      </c>
      <c r="N226" s="612"/>
      <c r="O226" s="612">
        <f>+SUM(O218:O225)</f>
        <v>29088.13</v>
      </c>
      <c r="P226" s="612"/>
      <c r="Q226" s="612">
        <f>+SUM(Q218:Q225)</f>
        <v>0</v>
      </c>
      <c r="R226" s="612"/>
      <c r="S226" s="612">
        <f>+SUM(S218:S225)</f>
        <v>357.9</v>
      </c>
      <c r="T226" s="612"/>
      <c r="U226" s="612">
        <f>+SUM(U218:U225)</f>
        <v>357.9</v>
      </c>
      <c r="V226" s="612"/>
      <c r="Y226" s="1147">
        <v>0</v>
      </c>
    </row>
    <row r="227" spans="2:25" ht="21" customHeight="1" x14ac:dyDescent="0.25">
      <c r="B227" s="439">
        <f>1+B217</f>
        <v>9</v>
      </c>
      <c r="C227" s="480" t="e">
        <f t="shared" si="127"/>
        <v>#REF!</v>
      </c>
      <c r="D227" s="622" t="s">
        <v>422</v>
      </c>
      <c r="E227" s="618"/>
      <c r="F227" s="619"/>
      <c r="G227" s="440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  <c r="V227" s="463"/>
      <c r="Y227" s="1147">
        <v>0</v>
      </c>
    </row>
    <row r="228" spans="2:25" ht="21" customHeight="1" x14ac:dyDescent="0.25">
      <c r="B228" s="554">
        <f>+B227+0.01</f>
        <v>9.01</v>
      </c>
      <c r="C228" s="480" t="e">
        <f t="shared" si="127"/>
        <v>#REF!</v>
      </c>
      <c r="D228" s="495" t="s">
        <v>423</v>
      </c>
      <c r="E228" s="523"/>
      <c r="F228" s="524"/>
      <c r="G228" s="530" t="s">
        <v>11</v>
      </c>
      <c r="H228" s="586">
        <v>67.709999999999994</v>
      </c>
      <c r="I228" s="586"/>
      <c r="J228" s="586">
        <v>7</v>
      </c>
      <c r="K228" s="586">
        <f t="shared" si="129"/>
        <v>473.97</v>
      </c>
      <c r="L228" s="553">
        <f>+[193]Metrado!F222</f>
        <v>7</v>
      </c>
      <c r="M228" s="586">
        <f t="shared" ref="M228:S234" si="142">+ROUND($H228*L228,2)</f>
        <v>473.97</v>
      </c>
      <c r="N228" s="586">
        <f>+IF($L228-$J228&gt;=0,$L228-$J228,0)</f>
        <v>0</v>
      </c>
      <c r="O228" s="586">
        <f t="shared" si="142"/>
        <v>0</v>
      </c>
      <c r="P228" s="586"/>
      <c r="Q228" s="586">
        <f t="shared" si="142"/>
        <v>0</v>
      </c>
      <c r="R228" s="586">
        <f>+IF($L228-$J228&lt;=0,-$L228+$J228,0)</f>
        <v>0</v>
      </c>
      <c r="S228" s="586">
        <f t="shared" si="142"/>
        <v>0</v>
      </c>
      <c r="T228" s="586"/>
      <c r="U228" s="586">
        <f t="shared" ref="U228:U234" si="143">+ROUND($H228*T228,2)</f>
        <v>0</v>
      </c>
      <c r="V228" s="586"/>
      <c r="Y228" s="1147">
        <v>0</v>
      </c>
    </row>
    <row r="229" spans="2:25" ht="21" customHeight="1" x14ac:dyDescent="0.25">
      <c r="B229" s="554">
        <f t="shared" ref="B229:B234" si="144">+B228+0.01</f>
        <v>9.02</v>
      </c>
      <c r="C229" s="480" t="e">
        <f t="shared" si="127"/>
        <v>#REF!</v>
      </c>
      <c r="D229" s="495" t="s">
        <v>424</v>
      </c>
      <c r="E229" s="523"/>
      <c r="F229" s="524"/>
      <c r="G229" s="530" t="s">
        <v>12</v>
      </c>
      <c r="H229" s="586">
        <v>741.66</v>
      </c>
      <c r="I229" s="586"/>
      <c r="J229" s="586">
        <v>0.35</v>
      </c>
      <c r="K229" s="586">
        <f t="shared" si="129"/>
        <v>259.58</v>
      </c>
      <c r="L229" s="553">
        <f>+[193]Metrado!F223</f>
        <v>0.35</v>
      </c>
      <c r="M229" s="586">
        <f t="shared" si="142"/>
        <v>259.58</v>
      </c>
      <c r="N229" s="586">
        <f t="shared" ref="N229:N234" si="145">+IF($L229-$J229&gt;=0,$L229-$J229,0)</f>
        <v>0</v>
      </c>
      <c r="O229" s="586">
        <f t="shared" si="142"/>
        <v>0</v>
      </c>
      <c r="P229" s="586"/>
      <c r="Q229" s="586">
        <f t="shared" si="142"/>
        <v>0</v>
      </c>
      <c r="R229" s="586">
        <f t="shared" ref="R229:R234" si="146">+IF($L229-$J229&lt;=0,-$L229+$J229,0)</f>
        <v>0</v>
      </c>
      <c r="S229" s="586">
        <f t="shared" si="142"/>
        <v>0</v>
      </c>
      <c r="T229" s="586"/>
      <c r="U229" s="586">
        <f t="shared" si="143"/>
        <v>0</v>
      </c>
      <c r="V229" s="586"/>
      <c r="Y229" s="1147">
        <v>0</v>
      </c>
    </row>
    <row r="230" spans="2:25" ht="21" customHeight="1" x14ac:dyDescent="0.25">
      <c r="B230" s="554">
        <f t="shared" si="144"/>
        <v>9.0299999999999994</v>
      </c>
      <c r="C230" s="480" t="e">
        <f t="shared" si="127"/>
        <v>#REF!</v>
      </c>
      <c r="D230" s="495" t="s">
        <v>425</v>
      </c>
      <c r="E230" s="523"/>
      <c r="F230" s="524"/>
      <c r="G230" s="530" t="s">
        <v>11</v>
      </c>
      <c r="H230" s="586">
        <v>35.42</v>
      </c>
      <c r="I230" s="586"/>
      <c r="J230" s="586">
        <v>3</v>
      </c>
      <c r="K230" s="586">
        <f t="shared" si="129"/>
        <v>106.26</v>
      </c>
      <c r="L230" s="553">
        <f>+[193]Metrado!F224</f>
        <v>3</v>
      </c>
      <c r="M230" s="586">
        <f t="shared" si="142"/>
        <v>106.26</v>
      </c>
      <c r="N230" s="586">
        <f t="shared" si="145"/>
        <v>0</v>
      </c>
      <c r="O230" s="586">
        <f t="shared" si="142"/>
        <v>0</v>
      </c>
      <c r="P230" s="586"/>
      <c r="Q230" s="586">
        <f t="shared" si="142"/>
        <v>0</v>
      </c>
      <c r="R230" s="586">
        <f t="shared" si="146"/>
        <v>0</v>
      </c>
      <c r="S230" s="586">
        <f t="shared" si="142"/>
        <v>0</v>
      </c>
      <c r="T230" s="586"/>
      <c r="U230" s="586">
        <f t="shared" si="143"/>
        <v>0</v>
      </c>
      <c r="V230" s="586"/>
      <c r="Y230" s="1147">
        <v>0</v>
      </c>
    </row>
    <row r="231" spans="2:25" ht="21" customHeight="1" x14ac:dyDescent="0.25">
      <c r="B231" s="554">
        <f t="shared" si="144"/>
        <v>9.0399999999999991</v>
      </c>
      <c r="C231" s="480" t="e">
        <f t="shared" si="127"/>
        <v>#REF!</v>
      </c>
      <c r="D231" s="495" t="s">
        <v>426</v>
      </c>
      <c r="E231" s="523"/>
      <c r="F231" s="524"/>
      <c r="G231" s="530" t="s">
        <v>11</v>
      </c>
      <c r="H231" s="586">
        <v>81.180000000000007</v>
      </c>
      <c r="I231" s="586"/>
      <c r="J231" s="586">
        <v>6</v>
      </c>
      <c r="K231" s="586">
        <f t="shared" si="129"/>
        <v>487.08</v>
      </c>
      <c r="L231" s="553">
        <f>+[193]Metrado!F225</f>
        <v>6</v>
      </c>
      <c r="M231" s="586">
        <f t="shared" si="142"/>
        <v>487.08</v>
      </c>
      <c r="N231" s="586">
        <f t="shared" si="145"/>
        <v>0</v>
      </c>
      <c r="O231" s="586">
        <f t="shared" si="142"/>
        <v>0</v>
      </c>
      <c r="P231" s="586"/>
      <c r="Q231" s="586">
        <f t="shared" si="142"/>
        <v>0</v>
      </c>
      <c r="R231" s="586">
        <f t="shared" si="146"/>
        <v>0</v>
      </c>
      <c r="S231" s="586">
        <f t="shared" si="142"/>
        <v>0</v>
      </c>
      <c r="T231" s="586"/>
      <c r="U231" s="586">
        <f t="shared" si="143"/>
        <v>0</v>
      </c>
      <c r="V231" s="586"/>
      <c r="Y231" s="1147">
        <v>0</v>
      </c>
    </row>
    <row r="232" spans="2:25" ht="21" customHeight="1" x14ac:dyDescent="0.25">
      <c r="B232" s="554">
        <f t="shared" si="144"/>
        <v>9.0499999999999989</v>
      </c>
      <c r="C232" s="480" t="e">
        <f t="shared" si="127"/>
        <v>#REF!</v>
      </c>
      <c r="D232" s="495" t="s">
        <v>427</v>
      </c>
      <c r="E232" s="523"/>
      <c r="F232" s="524"/>
      <c r="G232" s="530" t="s">
        <v>18</v>
      </c>
      <c r="H232" s="586">
        <v>61.17</v>
      </c>
      <c r="I232" s="586"/>
      <c r="J232" s="586">
        <v>7</v>
      </c>
      <c r="K232" s="586">
        <f t="shared" si="129"/>
        <v>428.19</v>
      </c>
      <c r="L232" s="553">
        <f>+[193]Metrado!F226</f>
        <v>7</v>
      </c>
      <c r="M232" s="586">
        <f t="shared" si="142"/>
        <v>428.19</v>
      </c>
      <c r="N232" s="586">
        <f t="shared" si="145"/>
        <v>0</v>
      </c>
      <c r="O232" s="586">
        <f t="shared" si="142"/>
        <v>0</v>
      </c>
      <c r="P232" s="586"/>
      <c r="Q232" s="586">
        <f t="shared" si="142"/>
        <v>0</v>
      </c>
      <c r="R232" s="586">
        <f t="shared" si="146"/>
        <v>0</v>
      </c>
      <c r="S232" s="586">
        <f t="shared" si="142"/>
        <v>0</v>
      </c>
      <c r="T232" s="586"/>
      <c r="U232" s="586">
        <f t="shared" si="143"/>
        <v>0</v>
      </c>
      <c r="V232" s="586"/>
      <c r="Y232" s="1147">
        <v>0</v>
      </c>
    </row>
    <row r="233" spans="2:25" ht="21" customHeight="1" x14ac:dyDescent="0.25">
      <c r="B233" s="554">
        <f t="shared" si="144"/>
        <v>9.0599999999999987</v>
      </c>
      <c r="C233" s="480" t="e">
        <f t="shared" si="127"/>
        <v>#REF!</v>
      </c>
      <c r="D233" s="495" t="s">
        <v>428</v>
      </c>
      <c r="E233" s="523"/>
      <c r="F233" s="524"/>
      <c r="G233" s="530" t="s">
        <v>11</v>
      </c>
      <c r="H233" s="586">
        <v>18.38</v>
      </c>
      <c r="I233" s="586"/>
      <c r="J233" s="586">
        <v>3</v>
      </c>
      <c r="K233" s="586">
        <f t="shared" si="129"/>
        <v>55.14</v>
      </c>
      <c r="L233" s="553">
        <f>+[193]Metrado!F227</f>
        <v>3</v>
      </c>
      <c r="M233" s="586">
        <f t="shared" si="142"/>
        <v>55.14</v>
      </c>
      <c r="N233" s="586">
        <f t="shared" si="145"/>
        <v>0</v>
      </c>
      <c r="O233" s="586">
        <f t="shared" si="142"/>
        <v>0</v>
      </c>
      <c r="P233" s="586"/>
      <c r="Q233" s="586">
        <f t="shared" si="142"/>
        <v>0</v>
      </c>
      <c r="R233" s="586">
        <f t="shared" si="146"/>
        <v>0</v>
      </c>
      <c r="S233" s="586">
        <f t="shared" si="142"/>
        <v>0</v>
      </c>
      <c r="T233" s="586"/>
      <c r="U233" s="586">
        <f t="shared" si="143"/>
        <v>0</v>
      </c>
      <c r="V233" s="586"/>
      <c r="Y233" s="1147">
        <v>0</v>
      </c>
    </row>
    <row r="234" spans="2:25" ht="21" customHeight="1" x14ac:dyDescent="0.25">
      <c r="B234" s="554">
        <f t="shared" si="144"/>
        <v>9.0699999999999985</v>
      </c>
      <c r="C234" s="480" t="e">
        <f t="shared" si="127"/>
        <v>#REF!</v>
      </c>
      <c r="D234" s="495" t="s">
        <v>429</v>
      </c>
      <c r="E234" s="523"/>
      <c r="F234" s="524"/>
      <c r="G234" s="539" t="s">
        <v>259</v>
      </c>
      <c r="H234" s="605">
        <v>2262.12</v>
      </c>
      <c r="I234" s="605"/>
      <c r="J234" s="605">
        <v>1</v>
      </c>
      <c r="K234" s="605">
        <f t="shared" si="129"/>
        <v>2262.12</v>
      </c>
      <c r="L234" s="553">
        <f>+[193]Metrado!F228</f>
        <v>1</v>
      </c>
      <c r="M234" s="605">
        <f t="shared" si="142"/>
        <v>2262.12</v>
      </c>
      <c r="N234" s="586">
        <f t="shared" si="145"/>
        <v>0</v>
      </c>
      <c r="O234" s="605">
        <f t="shared" si="142"/>
        <v>0</v>
      </c>
      <c r="P234" s="605"/>
      <c r="Q234" s="605">
        <f t="shared" si="142"/>
        <v>0</v>
      </c>
      <c r="R234" s="586">
        <f t="shared" si="146"/>
        <v>0</v>
      </c>
      <c r="S234" s="605">
        <f t="shared" si="142"/>
        <v>0</v>
      </c>
      <c r="T234" s="605"/>
      <c r="U234" s="605">
        <f t="shared" si="143"/>
        <v>0</v>
      </c>
      <c r="V234" s="605"/>
      <c r="Y234" s="1147">
        <v>0</v>
      </c>
    </row>
    <row r="235" spans="2:25" ht="21" customHeight="1" x14ac:dyDescent="0.25">
      <c r="B235" s="448"/>
      <c r="C235" s="480" t="e">
        <f t="shared" si="127"/>
        <v>#REF!</v>
      </c>
      <c r="D235" s="542"/>
      <c r="E235" s="543"/>
      <c r="F235" s="544" t="str">
        <f>+"SUB-TOTAL   "&amp;B227&amp;":  "</f>
        <v xml:space="preserve">SUB-TOTAL   9:  </v>
      </c>
      <c r="G235" s="567"/>
      <c r="H235" s="608"/>
      <c r="I235" s="608"/>
      <c r="J235" s="608"/>
      <c r="K235" s="610">
        <f>+SUM(K228:K234)</f>
        <v>4072.34</v>
      </c>
      <c r="L235" s="608"/>
      <c r="M235" s="610">
        <f>+SUM(M228:M234)</f>
        <v>4072.34</v>
      </c>
      <c r="N235" s="608"/>
      <c r="O235" s="610">
        <f>+SUM(O228:O234)</f>
        <v>0</v>
      </c>
      <c r="P235" s="608"/>
      <c r="Q235" s="610">
        <f>+SUM(Q228:Q234)</f>
        <v>0</v>
      </c>
      <c r="R235" s="608"/>
      <c r="S235" s="610">
        <f>+SUM(S228:S234)</f>
        <v>0</v>
      </c>
      <c r="T235" s="608"/>
      <c r="U235" s="610">
        <f>+SUM(U228:U234)</f>
        <v>0</v>
      </c>
      <c r="V235" s="608"/>
      <c r="Y235" s="1147">
        <v>0</v>
      </c>
    </row>
    <row r="236" spans="2:25" ht="21" customHeight="1" x14ac:dyDescent="0.25">
      <c r="B236" s="439">
        <f>1+B227</f>
        <v>10</v>
      </c>
      <c r="C236" s="480" t="e">
        <f t="shared" si="127"/>
        <v>#REF!</v>
      </c>
      <c r="D236" s="441" t="s">
        <v>77</v>
      </c>
      <c r="E236" s="488"/>
      <c r="F236" s="461"/>
      <c r="G236" s="440"/>
      <c r="H236" s="463"/>
      <c r="I236" s="463"/>
      <c r="J236" s="463"/>
      <c r="K236" s="612"/>
      <c r="L236" s="463"/>
      <c r="M236" s="612"/>
      <c r="N236" s="612"/>
      <c r="O236" s="612"/>
      <c r="P236" s="612"/>
      <c r="Q236" s="612"/>
      <c r="R236" s="612"/>
      <c r="S236" s="612"/>
      <c r="T236" s="612"/>
      <c r="U236" s="612"/>
      <c r="V236" s="612"/>
      <c r="Y236" s="1147">
        <v>0</v>
      </c>
    </row>
    <row r="237" spans="2:25" ht="21" customHeight="1" x14ac:dyDescent="0.25">
      <c r="B237" s="554">
        <f t="shared" ref="B237:B238" si="147">+B236+0.01</f>
        <v>10.01</v>
      </c>
      <c r="C237" s="584" t="e">
        <f t="shared" si="127"/>
        <v>#REF!</v>
      </c>
      <c r="D237" s="495" t="s">
        <v>430</v>
      </c>
      <c r="E237" s="526"/>
      <c r="F237" s="507"/>
      <c r="G237" s="530" t="s">
        <v>37</v>
      </c>
      <c r="H237" s="586">
        <v>805.01</v>
      </c>
      <c r="I237" s="586"/>
      <c r="J237" s="586">
        <v>20</v>
      </c>
      <c r="K237" s="586">
        <f t="shared" ref="K237:K238" si="148">+ROUND($H237*J237,2)</f>
        <v>16100.2</v>
      </c>
      <c r="L237" s="553">
        <f>+[193]Metrado!F231</f>
        <v>18</v>
      </c>
      <c r="M237" s="586">
        <f t="shared" ref="M237:S238" si="149">+ROUND($H237*L237,2)</f>
        <v>14490.18</v>
      </c>
      <c r="N237" s="586">
        <f t="shared" ref="N237:N238" si="150">+IF($L237-$J237&gt;=0,$L237-$J237,0)</f>
        <v>0</v>
      </c>
      <c r="O237" s="586">
        <f t="shared" si="149"/>
        <v>0</v>
      </c>
      <c r="P237" s="586"/>
      <c r="Q237" s="586">
        <f t="shared" si="149"/>
        <v>0</v>
      </c>
      <c r="R237" s="586">
        <f t="shared" ref="R237:R238" si="151">+IF($L237-$J237&lt;=0,-$L237+$J237,0)</f>
        <v>2</v>
      </c>
      <c r="S237" s="586">
        <f t="shared" si="149"/>
        <v>1610.02</v>
      </c>
      <c r="T237" s="586"/>
      <c r="U237" s="586">
        <f t="shared" ref="U237:U238" si="152">+ROUND($H237*T237,2)</f>
        <v>0</v>
      </c>
      <c r="V237" s="586"/>
      <c r="Y237" s="1147">
        <v>0</v>
      </c>
    </row>
    <row r="238" spans="2:25" ht="21" customHeight="1" x14ac:dyDescent="0.25">
      <c r="B238" s="554">
        <f t="shared" si="147"/>
        <v>10.02</v>
      </c>
      <c r="C238" s="584" t="e">
        <f t="shared" si="127"/>
        <v>#REF!</v>
      </c>
      <c r="D238" s="495" t="s">
        <v>78</v>
      </c>
      <c r="E238" s="541"/>
      <c r="F238" s="508"/>
      <c r="G238" s="532" t="s">
        <v>37</v>
      </c>
      <c r="H238" s="565">
        <v>294.98</v>
      </c>
      <c r="I238" s="565"/>
      <c r="J238" s="565">
        <v>20</v>
      </c>
      <c r="K238" s="605">
        <f t="shared" si="148"/>
        <v>5899.6</v>
      </c>
      <c r="L238" s="553">
        <f>+[193]Metrado!F232</f>
        <v>18</v>
      </c>
      <c r="M238" s="605">
        <f t="shared" si="149"/>
        <v>5309.64</v>
      </c>
      <c r="N238" s="565">
        <f t="shared" si="150"/>
        <v>0</v>
      </c>
      <c r="O238" s="605">
        <f t="shared" si="149"/>
        <v>0</v>
      </c>
      <c r="P238" s="565"/>
      <c r="Q238" s="605">
        <f t="shared" si="149"/>
        <v>0</v>
      </c>
      <c r="R238" s="565">
        <f t="shared" si="151"/>
        <v>2</v>
      </c>
      <c r="S238" s="605">
        <f t="shared" si="149"/>
        <v>589.96</v>
      </c>
      <c r="T238" s="565"/>
      <c r="U238" s="605">
        <f t="shared" si="152"/>
        <v>0</v>
      </c>
      <c r="V238" s="565"/>
      <c r="Y238" s="1147">
        <v>0</v>
      </c>
    </row>
    <row r="239" spans="2:25" ht="21" customHeight="1" x14ac:dyDescent="0.25">
      <c r="B239" s="464"/>
      <c r="C239" s="484" t="e">
        <f t="shared" si="127"/>
        <v>#REF!</v>
      </c>
      <c r="D239" s="465"/>
      <c r="E239" s="447"/>
      <c r="F239" s="550" t="str">
        <f>+"SUB-TOTAL   "&amp;B227&amp;":  "</f>
        <v xml:space="preserve">SUB-TOTAL   9:  </v>
      </c>
      <c r="G239" s="478"/>
      <c r="H239" s="438"/>
      <c r="I239" s="438"/>
      <c r="J239" s="438"/>
      <c r="K239" s="610">
        <f>+SUM(K237:K238)</f>
        <v>21999.800000000003</v>
      </c>
      <c r="L239" s="438"/>
      <c r="M239" s="610">
        <f>+SUM(M237:M238)</f>
        <v>19799.82</v>
      </c>
      <c r="N239" s="438"/>
      <c r="O239" s="610">
        <f>+SUM(O237:O238)</f>
        <v>0</v>
      </c>
      <c r="P239" s="438"/>
      <c r="Q239" s="610">
        <f>+SUM(Q237:Q238)</f>
        <v>0</v>
      </c>
      <c r="R239" s="438"/>
      <c r="S239" s="610">
        <f>+SUM(S237:S238)</f>
        <v>2199.98</v>
      </c>
      <c r="T239" s="438"/>
      <c r="U239" s="610">
        <f>+SUM(U237:U238)</f>
        <v>0</v>
      </c>
      <c r="V239" s="438"/>
    </row>
    <row r="240" spans="2:25" s="630" customFormat="1" ht="54" customHeight="1" x14ac:dyDescent="0.3">
      <c r="B240" s="623"/>
      <c r="C240" s="624" t="e">
        <f>+C238+1</f>
        <v>#REF!</v>
      </c>
      <c r="D240" s="625" t="s">
        <v>432</v>
      </c>
      <c r="E240" s="626"/>
      <c r="F240" s="627"/>
      <c r="G240" s="628"/>
      <c r="H240" s="629"/>
      <c r="I240" s="629"/>
      <c r="J240" s="629"/>
      <c r="K240" s="629">
        <f>+K156+K168+K176+K194+K205+K212+K216+K226+K235+K239</f>
        <v>273560.14</v>
      </c>
      <c r="L240" s="629"/>
      <c r="M240" s="629">
        <f>+M156+M168+M176+M194+M205+M212+M216+M226+M235+M239</f>
        <v>323016.92000000004</v>
      </c>
      <c r="N240" s="629"/>
      <c r="O240" s="629">
        <f>+O156+O168+O176+O194+O205+O212+O216+O226+O235+O239</f>
        <v>56606.16</v>
      </c>
      <c r="P240" s="629"/>
      <c r="Q240" s="629">
        <f>+Q156+Q168+Q176+Q194+Q205+Q212+Q216+Q226+Q235+Q239</f>
        <v>20757.419999999998</v>
      </c>
      <c r="R240" s="629"/>
      <c r="S240" s="629">
        <f>+S156+S168+S176+S194+S205+S212+S216+S226+S235+S239</f>
        <v>27906.79</v>
      </c>
      <c r="T240" s="629"/>
      <c r="U240" s="629">
        <f>+U156+U168+U176+U194+U205+U212+U216+U226+U235+U239</f>
        <v>25189.23</v>
      </c>
      <c r="V240" s="629"/>
    </row>
    <row r="241" spans="2:26" ht="21" customHeight="1" x14ac:dyDescent="0.25">
      <c r="B241" s="437" t="s">
        <v>90</v>
      </c>
      <c r="C241" s="479"/>
      <c r="D241" s="489" t="s">
        <v>91</v>
      </c>
      <c r="E241" s="490"/>
      <c r="F241" s="491"/>
      <c r="G241" s="529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1"/>
      <c r="S241" s="551"/>
      <c r="T241" s="551"/>
      <c r="U241" s="551"/>
      <c r="V241" s="551"/>
      <c r="W241" s="417"/>
      <c r="X241" s="417"/>
      <c r="Y241" s="417"/>
      <c r="Z241" s="417"/>
    </row>
    <row r="242" spans="2:26" ht="21" customHeight="1" x14ac:dyDescent="0.25">
      <c r="B242" s="552">
        <v>1</v>
      </c>
      <c r="C242" s="480">
        <v>3</v>
      </c>
      <c r="D242" s="492" t="s">
        <v>306</v>
      </c>
      <c r="E242" s="493"/>
      <c r="F242" s="494"/>
      <c r="G242" s="530"/>
      <c r="H242" s="553"/>
      <c r="I242" s="553"/>
      <c r="J242" s="553"/>
      <c r="K242" s="553"/>
      <c r="L242" s="553"/>
      <c r="M242" s="553"/>
      <c r="N242" s="657"/>
      <c r="O242" s="553"/>
      <c r="P242" s="553"/>
      <c r="Q242" s="553"/>
      <c r="R242" s="553"/>
      <c r="S242" s="553"/>
      <c r="T242" s="553"/>
      <c r="U242" s="553"/>
      <c r="V242" s="553"/>
      <c r="W242" s="417"/>
      <c r="X242" s="417"/>
      <c r="Y242" s="417"/>
      <c r="Z242" s="417"/>
    </row>
    <row r="243" spans="2:26" ht="21" customHeight="1" x14ac:dyDescent="0.25">
      <c r="B243" s="554">
        <f>+B242+0.01</f>
        <v>1.01</v>
      </c>
      <c r="C243" s="480">
        <f>+C242+1</f>
        <v>4</v>
      </c>
      <c r="D243" s="495" t="s">
        <v>42</v>
      </c>
      <c r="E243" s="496"/>
      <c r="F243" s="497"/>
      <c r="G243" s="530" t="s">
        <v>11</v>
      </c>
      <c r="H243" s="553">
        <v>132.13</v>
      </c>
      <c r="I243" s="553"/>
      <c r="J243" s="553">
        <v>153</v>
      </c>
      <c r="K243" s="553">
        <f>+ROUND($H243*J243,2)</f>
        <v>20215.89</v>
      </c>
      <c r="L243" s="553">
        <f>+L18</f>
        <v>141</v>
      </c>
      <c r="M243" s="553">
        <f>+ROUND($H243*L243,2)</f>
        <v>18630.330000000002</v>
      </c>
      <c r="N243" s="553">
        <f>+IF($L243-$J243&gt;=0,$L243-$J243,0)</f>
        <v>0</v>
      </c>
      <c r="O243" s="553">
        <f>+ROUND($H243*N243,2)</f>
        <v>0</v>
      </c>
      <c r="P243" s="553"/>
      <c r="Q243" s="553">
        <f>+ROUND($H243*P243,2)</f>
        <v>0</v>
      </c>
      <c r="R243" s="553">
        <f>+IF($L243-$J243&lt;=0,-$L243+$J243,0)</f>
        <v>12</v>
      </c>
      <c r="S243" s="553">
        <f>+ROUND($H243*R243,2)</f>
        <v>1585.56</v>
      </c>
      <c r="T243" s="553">
        <f>+R243</f>
        <v>12</v>
      </c>
      <c r="U243" s="553">
        <f>+ROUND($H243*T243,2)</f>
        <v>1585.56</v>
      </c>
      <c r="V243" s="553" t="s">
        <v>889</v>
      </c>
      <c r="W243" s="1157">
        <f>+(L243+L244)/40</f>
        <v>6.0250000000000004</v>
      </c>
      <c r="X243" s="1157">
        <f>40*H243</f>
        <v>5285.2</v>
      </c>
      <c r="Y243" s="1157">
        <f>+W243*X243</f>
        <v>31843.33</v>
      </c>
      <c r="Z243" s="417"/>
    </row>
    <row r="244" spans="2:26" ht="21" customHeight="1" x14ac:dyDescent="0.25">
      <c r="B244" s="554">
        <f t="shared" ref="B244" si="153">+B243+0.01</f>
        <v>1.02</v>
      </c>
      <c r="C244" s="480">
        <f t="shared" ref="C244:C305" si="154">+C243+1</f>
        <v>5</v>
      </c>
      <c r="D244" s="495" t="s">
        <v>307</v>
      </c>
      <c r="E244" s="496"/>
      <c r="F244" s="497"/>
      <c r="G244" s="532" t="s">
        <v>11</v>
      </c>
      <c r="H244" s="565">
        <v>136.68</v>
      </c>
      <c r="I244" s="565"/>
      <c r="J244" s="565">
        <v>79</v>
      </c>
      <c r="K244" s="565">
        <f t="shared" ref="K244" si="155">+ROUND($H244*J244,2)</f>
        <v>10797.72</v>
      </c>
      <c r="L244" s="553">
        <f>+L19</f>
        <v>100</v>
      </c>
      <c r="M244" s="565">
        <f t="shared" ref="M244" si="156">+ROUND($H244*L244,2)</f>
        <v>13668</v>
      </c>
      <c r="N244" s="565">
        <f>+IF($L244-$J244&gt;=0,$L244-$J244,0)</f>
        <v>21</v>
      </c>
      <c r="O244" s="565">
        <f t="shared" ref="O244" si="157">+ROUND($H244*N244,2)</f>
        <v>2870.28</v>
      </c>
      <c r="P244" s="565"/>
      <c r="Q244" s="565">
        <f t="shared" ref="Q244" si="158">+ROUND($H244*P244,2)</f>
        <v>0</v>
      </c>
      <c r="R244" s="565">
        <f>+IF($L244-$J244&lt;=0,-$L244+$J244,0)</f>
        <v>0</v>
      </c>
      <c r="S244" s="565">
        <f t="shared" ref="S244" si="159">+ROUND($H244*R244,2)</f>
        <v>0</v>
      </c>
      <c r="T244" s="565"/>
      <c r="U244" s="565">
        <f t="shared" ref="U244" si="160">+ROUND($H244*T244,2)</f>
        <v>0</v>
      </c>
      <c r="V244" s="565"/>
      <c r="W244" s="417"/>
      <c r="X244" s="417"/>
      <c r="Y244" s="417"/>
      <c r="Z244" s="417"/>
    </row>
    <row r="245" spans="2:26" ht="21" customHeight="1" x14ac:dyDescent="0.25">
      <c r="B245" s="448"/>
      <c r="C245" s="480">
        <f t="shared" si="154"/>
        <v>6</v>
      </c>
      <c r="D245" s="542"/>
      <c r="E245" s="571"/>
      <c r="F245" s="544" t="str">
        <f>+"SUB-TOTAL   "&amp;B242&amp;":  "</f>
        <v xml:space="preserve">SUB-TOTAL   1:  </v>
      </c>
      <c r="G245" s="567"/>
      <c r="H245" s="449"/>
      <c r="I245" s="449"/>
      <c r="J245" s="449"/>
      <c r="K245" s="450">
        <f>+SUM(K243:K244)</f>
        <v>31013.61</v>
      </c>
      <c r="L245" s="449"/>
      <c r="M245" s="450">
        <f>+SUM(M243:M244)</f>
        <v>32298.33</v>
      </c>
      <c r="N245" s="450"/>
      <c r="O245" s="450">
        <f>+SUM(O243:O244)</f>
        <v>2870.28</v>
      </c>
      <c r="P245" s="450"/>
      <c r="Q245" s="450">
        <f>+SUM(Q243:Q244)</f>
        <v>0</v>
      </c>
      <c r="R245" s="451"/>
      <c r="S245" s="450">
        <f>+SUM(S243:S244)</f>
        <v>1585.56</v>
      </c>
      <c r="T245" s="451"/>
      <c r="U245" s="450">
        <f>+SUM(U243:U244)</f>
        <v>1585.56</v>
      </c>
      <c r="V245" s="451"/>
      <c r="W245" s="660">
        <f>+K245-M245+O245+Q245-S245</f>
        <v>0</v>
      </c>
    </row>
    <row r="246" spans="2:26" ht="21" customHeight="1" x14ac:dyDescent="0.25">
      <c r="B246" s="452">
        <f>1+B242</f>
        <v>2</v>
      </c>
      <c r="C246" s="481">
        <f t="shared" si="154"/>
        <v>7</v>
      </c>
      <c r="D246" s="568" t="s">
        <v>296</v>
      </c>
      <c r="E246" s="569"/>
      <c r="F246" s="570"/>
      <c r="G246" s="549"/>
      <c r="H246" s="438"/>
      <c r="I246" s="438"/>
      <c r="J246" s="438"/>
      <c r="K246" s="454"/>
      <c r="L246" s="438"/>
      <c r="M246" s="454"/>
      <c r="N246" s="454"/>
      <c r="O246" s="454"/>
      <c r="P246" s="454"/>
      <c r="Q246" s="454"/>
      <c r="R246" s="438"/>
      <c r="S246" s="454"/>
      <c r="T246" s="438"/>
      <c r="U246" s="454"/>
      <c r="V246" s="438"/>
    </row>
    <row r="247" spans="2:26" ht="21" customHeight="1" x14ac:dyDescent="0.25">
      <c r="B247" s="554">
        <f>+B246+0.01</f>
        <v>2.0099999999999998</v>
      </c>
      <c r="C247" s="480">
        <f t="shared" si="154"/>
        <v>8</v>
      </c>
      <c r="D247" s="495" t="s">
        <v>308</v>
      </c>
      <c r="E247" s="496"/>
      <c r="F247" s="497"/>
      <c r="G247" s="532" t="s">
        <v>11</v>
      </c>
      <c r="H247" s="565">
        <v>93.17</v>
      </c>
      <c r="I247" s="565"/>
      <c r="J247" s="565">
        <v>9</v>
      </c>
      <c r="K247" s="566">
        <f t="shared" ref="K247" si="161">+ROUND($H247*J247,2)</f>
        <v>838.53</v>
      </c>
      <c r="L247" s="553">
        <f>+L22</f>
        <v>0</v>
      </c>
      <c r="M247" s="566">
        <f t="shared" ref="M247" si="162">+ROUND($H247*L247,2)</f>
        <v>0</v>
      </c>
      <c r="N247" s="566">
        <f>+IF($L247-$J247&gt;=0,$L247-$J247,0)</f>
        <v>0</v>
      </c>
      <c r="O247" s="566">
        <f t="shared" ref="O247" si="163">+ROUND($H247*N247,2)</f>
        <v>0</v>
      </c>
      <c r="P247" s="566"/>
      <c r="Q247" s="566">
        <f t="shared" ref="Q247" si="164">+ROUND($H247*P247,2)</f>
        <v>0</v>
      </c>
      <c r="R247" s="565">
        <f>+IF($L247-$J247&lt;=0,-$L247+$J247,0)</f>
        <v>9</v>
      </c>
      <c r="S247" s="566">
        <f t="shared" ref="S247" si="165">+ROUND($H247*R247,2)</f>
        <v>838.53</v>
      </c>
      <c r="T247" s="565">
        <f>+R247</f>
        <v>9</v>
      </c>
      <c r="U247" s="566">
        <f t="shared" ref="U247" si="166">+ROUND($H247*T247,2)</f>
        <v>838.53</v>
      </c>
      <c r="V247" s="565" t="s">
        <v>890</v>
      </c>
    </row>
    <row r="248" spans="2:26" ht="21" customHeight="1" x14ac:dyDescent="0.25">
      <c r="B248" s="455"/>
      <c r="C248" s="480">
        <f t="shared" si="154"/>
        <v>9</v>
      </c>
      <c r="D248" s="542"/>
      <c r="E248" s="571"/>
      <c r="F248" s="544" t="str">
        <f>+"SUB-TOTAL   "&amp;B246&amp;":  "</f>
        <v xml:space="preserve">SUB-TOTAL   2:  </v>
      </c>
      <c r="G248" s="539"/>
      <c r="H248" s="449"/>
      <c r="I248" s="449"/>
      <c r="J248" s="449"/>
      <c r="K248" s="450">
        <f>+SUM(K247)</f>
        <v>838.53</v>
      </c>
      <c r="L248" s="449"/>
      <c r="M248" s="450">
        <f>+SUM(M247)</f>
        <v>0</v>
      </c>
      <c r="N248" s="450"/>
      <c r="O248" s="450">
        <f>+SUM(O247)</f>
        <v>0</v>
      </c>
      <c r="P248" s="450"/>
      <c r="Q248" s="450">
        <f>+SUM(Q247)</f>
        <v>0</v>
      </c>
      <c r="R248" s="451"/>
      <c r="S248" s="450">
        <f>+SUM(S247)</f>
        <v>838.53</v>
      </c>
      <c r="T248" s="451"/>
      <c r="U248" s="450">
        <f>+SUM(U247)</f>
        <v>838.53</v>
      </c>
      <c r="V248" s="451"/>
      <c r="W248" s="660">
        <f>+K248-M248+O248+Q248-S248</f>
        <v>0</v>
      </c>
    </row>
    <row r="249" spans="2:26" ht="21" customHeight="1" x14ac:dyDescent="0.25">
      <c r="B249" s="452" t="s">
        <v>303</v>
      </c>
      <c r="C249" s="481">
        <f t="shared" si="154"/>
        <v>10</v>
      </c>
      <c r="D249" s="568" t="s">
        <v>309</v>
      </c>
      <c r="E249" s="569"/>
      <c r="F249" s="570"/>
      <c r="G249" s="549"/>
      <c r="H249" s="438"/>
      <c r="I249" s="438"/>
      <c r="J249" s="438"/>
      <c r="K249" s="454"/>
      <c r="L249" s="438"/>
      <c r="M249" s="454"/>
      <c r="N249" s="454"/>
      <c r="O249" s="454"/>
      <c r="P249" s="454"/>
      <c r="Q249" s="454"/>
      <c r="R249" s="438"/>
      <c r="S249" s="454"/>
      <c r="T249" s="438"/>
      <c r="U249" s="454"/>
      <c r="V249" s="438"/>
    </row>
    <row r="250" spans="2:26" s="547" customFormat="1" ht="21" customHeight="1" x14ac:dyDescent="0.25">
      <c r="B250" s="559" t="s">
        <v>304</v>
      </c>
      <c r="C250" s="573">
        <f t="shared" si="154"/>
        <v>11</v>
      </c>
      <c r="D250" s="501" t="s">
        <v>310</v>
      </c>
      <c r="E250" s="545"/>
      <c r="F250" s="546"/>
      <c r="G250" s="531" t="s">
        <v>11</v>
      </c>
      <c r="H250" s="560"/>
      <c r="I250" s="560">
        <f>+H247*0.8</f>
        <v>74.536000000000001</v>
      </c>
      <c r="J250" s="560"/>
      <c r="K250" s="561">
        <f t="shared" ref="K250:K251" si="167">+ROUND($H250*J250,2)</f>
        <v>0</v>
      </c>
      <c r="L250" s="560">
        <f>+L25</f>
        <v>14</v>
      </c>
      <c r="M250" s="561">
        <f>+ROUND($I250*L250,2)</f>
        <v>1043.5</v>
      </c>
      <c r="N250" s="561"/>
      <c r="O250" s="561">
        <f>+ROUND($H250*N250,2)</f>
        <v>0</v>
      </c>
      <c r="P250" s="561">
        <f>+L250</f>
        <v>14</v>
      </c>
      <c r="Q250" s="561">
        <f>+ROUND($I250*P250,2)</f>
        <v>1043.5</v>
      </c>
      <c r="R250" s="560"/>
      <c r="S250" s="561">
        <f>+ROUND($H250*R250,2)</f>
        <v>0</v>
      </c>
      <c r="T250" s="560"/>
      <c r="U250" s="561">
        <f>+ROUND($H250*T250,2)</f>
        <v>0</v>
      </c>
      <c r="V250" s="560"/>
    </row>
    <row r="251" spans="2:26" s="547" customFormat="1" ht="21" customHeight="1" x14ac:dyDescent="0.25">
      <c r="B251" s="559" t="s">
        <v>305</v>
      </c>
      <c r="C251" s="575">
        <f t="shared" si="154"/>
        <v>12</v>
      </c>
      <c r="D251" s="501" t="s">
        <v>311</v>
      </c>
      <c r="E251" s="545"/>
      <c r="F251" s="546"/>
      <c r="G251" s="564" t="s">
        <v>11</v>
      </c>
      <c r="H251" s="633"/>
      <c r="I251" s="633">
        <f>+I250</f>
        <v>74.536000000000001</v>
      </c>
      <c r="J251" s="633"/>
      <c r="K251" s="634">
        <f t="shared" si="167"/>
        <v>0</v>
      </c>
      <c r="L251" s="633">
        <f>+L26</f>
        <v>16</v>
      </c>
      <c r="M251" s="634">
        <f>+ROUND($I251*L251,2)</f>
        <v>1192.58</v>
      </c>
      <c r="N251" s="634"/>
      <c r="O251" s="634">
        <f>+ROUND($H251*N251,2)</f>
        <v>0</v>
      </c>
      <c r="P251" s="634">
        <f>+L251</f>
        <v>16</v>
      </c>
      <c r="Q251" s="634">
        <f>+ROUND($I251*P251,2)</f>
        <v>1192.58</v>
      </c>
      <c r="R251" s="633"/>
      <c r="S251" s="634">
        <f>+ROUND($H251*R251,2)</f>
        <v>0</v>
      </c>
      <c r="T251" s="633"/>
      <c r="U251" s="634">
        <f>+ROUND($H251*T251,2)</f>
        <v>0</v>
      </c>
      <c r="V251" s="633"/>
    </row>
    <row r="252" spans="2:26" ht="21" customHeight="1" x14ac:dyDescent="0.25">
      <c r="B252" s="456"/>
      <c r="C252" s="466">
        <f t="shared" si="154"/>
        <v>13</v>
      </c>
      <c r="D252" s="537"/>
      <c r="E252" s="538"/>
      <c r="F252" s="533" t="str">
        <f>+"SUB-TOTAL   "&amp;B249&amp;":  "</f>
        <v xml:space="preserve">SUB-TOTAL   2.00A:  </v>
      </c>
      <c r="G252" s="440"/>
      <c r="H252" s="438"/>
      <c r="I252" s="438"/>
      <c r="J252" s="438"/>
      <c r="K252" s="450">
        <f>+SUM(K250:K251)</f>
        <v>0</v>
      </c>
      <c r="L252" s="438"/>
      <c r="M252" s="450">
        <f>+SUM(M250:M251)</f>
        <v>2236.08</v>
      </c>
      <c r="N252" s="454"/>
      <c r="O252" s="450">
        <f>+SUM(O250:O251)</f>
        <v>0</v>
      </c>
      <c r="P252" s="454"/>
      <c r="Q252" s="450">
        <f>+SUM(Q250:Q251)</f>
        <v>2236.08</v>
      </c>
      <c r="R252" s="438"/>
      <c r="S252" s="450">
        <f>+SUM(S250:S251)</f>
        <v>0</v>
      </c>
      <c r="T252" s="438"/>
      <c r="U252" s="450">
        <f>+SUM(U250:U251)</f>
        <v>0</v>
      </c>
      <c r="V252" s="438"/>
    </row>
    <row r="253" spans="2:26" ht="21" customHeight="1" x14ac:dyDescent="0.25">
      <c r="B253" s="452">
        <f>+B246+1</f>
        <v>3</v>
      </c>
      <c r="C253" s="481">
        <f t="shared" si="154"/>
        <v>14</v>
      </c>
      <c r="D253" s="453" t="s">
        <v>43</v>
      </c>
      <c r="E253" s="445"/>
      <c r="F253" s="446"/>
      <c r="G253" s="527"/>
      <c r="H253" s="438"/>
      <c r="I253" s="438"/>
      <c r="J253" s="438"/>
      <c r="K253" s="454"/>
      <c r="L253" s="438"/>
      <c r="M253" s="454"/>
      <c r="N253" s="454"/>
      <c r="O253" s="454"/>
      <c r="P253" s="454"/>
      <c r="Q253" s="454"/>
      <c r="R253" s="438"/>
      <c r="S253" s="454"/>
      <c r="T253" s="438"/>
      <c r="U253" s="454"/>
      <c r="V253" s="438"/>
    </row>
    <row r="254" spans="2:26" ht="21" customHeight="1" x14ac:dyDescent="0.25">
      <c r="B254" s="562">
        <f>+B253+0.01</f>
        <v>3.01</v>
      </c>
      <c r="C254" s="576">
        <f t="shared" si="154"/>
        <v>15</v>
      </c>
      <c r="D254" s="502" t="s">
        <v>312</v>
      </c>
      <c r="E254" s="496"/>
      <c r="F254" s="497"/>
      <c r="G254" s="530" t="s">
        <v>12</v>
      </c>
      <c r="H254" s="553">
        <v>86.41</v>
      </c>
      <c r="I254" s="553"/>
      <c r="J254" s="553">
        <v>1.46</v>
      </c>
      <c r="K254" s="558">
        <f t="shared" ref="K254:K261" si="168">+ROUND($H254*J254,2)</f>
        <v>126.16</v>
      </c>
      <c r="L254" s="553">
        <f t="shared" ref="L254:L261" si="169">+L29</f>
        <v>0.53</v>
      </c>
      <c r="M254" s="558">
        <f t="shared" ref="M254:M258" si="170">+ROUND($H254*L254,2)</f>
        <v>45.8</v>
      </c>
      <c r="N254" s="558">
        <f>+IF($L254-$J254&gt;=0,$L254-$J254,0)</f>
        <v>0</v>
      </c>
      <c r="O254" s="558">
        <f t="shared" ref="O254:O261" si="171">+ROUND($H254*N254,2)</f>
        <v>0</v>
      </c>
      <c r="P254" s="558"/>
      <c r="Q254" s="558">
        <f t="shared" ref="Q254:Q258" si="172">+ROUND($H254*P254,2)</f>
        <v>0</v>
      </c>
      <c r="R254" s="553">
        <f>+IF($L254-$J254&lt;=0,-$L254+$J254,0)</f>
        <v>0.92999999999999994</v>
      </c>
      <c r="S254" s="558">
        <f t="shared" ref="S254:S261" si="173">+ROUND($H254*R254,2)</f>
        <v>80.36</v>
      </c>
      <c r="T254" s="553">
        <f>+R254</f>
        <v>0.92999999999999994</v>
      </c>
      <c r="U254" s="558">
        <f t="shared" ref="U254:U261" si="174">+ROUND($H254*T254,2)</f>
        <v>80.36</v>
      </c>
      <c r="V254" s="765" t="s">
        <v>891</v>
      </c>
    </row>
    <row r="255" spans="2:26" ht="21" customHeight="1" x14ac:dyDescent="0.25">
      <c r="B255" s="562">
        <f t="shared" ref="B255:B261" si="175">+B254+0.01</f>
        <v>3.0199999999999996</v>
      </c>
      <c r="C255" s="576">
        <f t="shared" si="154"/>
        <v>16</v>
      </c>
      <c r="D255" s="502" t="s">
        <v>313</v>
      </c>
      <c r="E255" s="496"/>
      <c r="F255" s="497"/>
      <c r="G255" s="530" t="s">
        <v>12</v>
      </c>
      <c r="H255" s="553">
        <v>79.37</v>
      </c>
      <c r="I255" s="553"/>
      <c r="J255" s="553">
        <v>0.05</v>
      </c>
      <c r="K255" s="558">
        <f t="shared" si="168"/>
        <v>3.97</v>
      </c>
      <c r="L255" s="553">
        <f t="shared" si="169"/>
        <v>0</v>
      </c>
      <c r="M255" s="558">
        <f t="shared" si="170"/>
        <v>0</v>
      </c>
      <c r="N255" s="558">
        <f t="shared" ref="N255:N258" si="176">+IF($L255-$J255&gt;=0,$L255-$J255,0)</f>
        <v>0</v>
      </c>
      <c r="O255" s="558">
        <f t="shared" si="171"/>
        <v>0</v>
      </c>
      <c r="P255" s="558"/>
      <c r="Q255" s="558">
        <f t="shared" si="172"/>
        <v>0</v>
      </c>
      <c r="R255" s="553">
        <f t="shared" ref="R255:R258" si="177">+IF($L255-$J255&lt;=0,-$L255+$J255,0)</f>
        <v>0.05</v>
      </c>
      <c r="S255" s="558">
        <f t="shared" si="173"/>
        <v>3.97</v>
      </c>
      <c r="T255" s="553">
        <f t="shared" ref="T255:T258" si="178">+R255</f>
        <v>0.05</v>
      </c>
      <c r="U255" s="558">
        <f t="shared" si="174"/>
        <v>3.97</v>
      </c>
      <c r="V255" s="765" t="s">
        <v>891</v>
      </c>
    </row>
    <row r="256" spans="2:26" ht="21" customHeight="1" x14ac:dyDescent="0.25">
      <c r="B256" s="562">
        <f t="shared" si="175"/>
        <v>3.0299999999999994</v>
      </c>
      <c r="C256" s="576">
        <f t="shared" si="154"/>
        <v>17</v>
      </c>
      <c r="D256" s="502" t="s">
        <v>314</v>
      </c>
      <c r="E256" s="496"/>
      <c r="F256" s="497"/>
      <c r="G256" s="530" t="s">
        <v>12</v>
      </c>
      <c r="H256" s="553">
        <v>104.03</v>
      </c>
      <c r="I256" s="553"/>
      <c r="J256" s="553">
        <v>7.08</v>
      </c>
      <c r="K256" s="558">
        <f t="shared" si="168"/>
        <v>736.53</v>
      </c>
      <c r="L256" s="553">
        <f t="shared" si="169"/>
        <v>3.61</v>
      </c>
      <c r="M256" s="558">
        <f t="shared" si="170"/>
        <v>375.55</v>
      </c>
      <c r="N256" s="558">
        <f t="shared" si="176"/>
        <v>0</v>
      </c>
      <c r="O256" s="558">
        <f t="shared" si="171"/>
        <v>0</v>
      </c>
      <c r="P256" s="558"/>
      <c r="Q256" s="558">
        <f t="shared" si="172"/>
        <v>0</v>
      </c>
      <c r="R256" s="553">
        <f t="shared" si="177"/>
        <v>3.47</v>
      </c>
      <c r="S256" s="558">
        <f t="shared" si="173"/>
        <v>360.98</v>
      </c>
      <c r="T256" s="553">
        <f t="shared" si="178"/>
        <v>3.47</v>
      </c>
      <c r="U256" s="558">
        <f t="shared" si="174"/>
        <v>360.98</v>
      </c>
      <c r="V256" s="765" t="s">
        <v>891</v>
      </c>
    </row>
    <row r="257" spans="2:22" ht="21" customHeight="1" x14ac:dyDescent="0.25">
      <c r="B257" s="562">
        <f t="shared" si="175"/>
        <v>3.0399999999999991</v>
      </c>
      <c r="C257" s="576">
        <f t="shared" si="154"/>
        <v>18</v>
      </c>
      <c r="D257" s="502" t="s">
        <v>315</v>
      </c>
      <c r="E257" s="498"/>
      <c r="F257" s="499"/>
      <c r="G257" s="530" t="s">
        <v>12</v>
      </c>
      <c r="H257" s="553">
        <v>68.78</v>
      </c>
      <c r="I257" s="553"/>
      <c r="J257" s="553">
        <v>0.18</v>
      </c>
      <c r="K257" s="558">
        <f t="shared" si="168"/>
        <v>12.38</v>
      </c>
      <c r="L257" s="553">
        <f t="shared" si="169"/>
        <v>0</v>
      </c>
      <c r="M257" s="558">
        <f t="shared" si="170"/>
        <v>0</v>
      </c>
      <c r="N257" s="558">
        <f t="shared" si="176"/>
        <v>0</v>
      </c>
      <c r="O257" s="558">
        <f t="shared" si="171"/>
        <v>0</v>
      </c>
      <c r="P257" s="556"/>
      <c r="Q257" s="558">
        <f t="shared" si="172"/>
        <v>0</v>
      </c>
      <c r="R257" s="553">
        <f t="shared" si="177"/>
        <v>0.18</v>
      </c>
      <c r="S257" s="558">
        <f t="shared" si="173"/>
        <v>12.38</v>
      </c>
      <c r="T257" s="553">
        <f t="shared" si="178"/>
        <v>0.18</v>
      </c>
      <c r="U257" s="558">
        <f t="shared" si="174"/>
        <v>12.38</v>
      </c>
      <c r="V257" s="765" t="s">
        <v>891</v>
      </c>
    </row>
    <row r="258" spans="2:22" ht="21" customHeight="1" x14ac:dyDescent="0.25">
      <c r="B258" s="562">
        <f t="shared" si="175"/>
        <v>3.0499999999999989</v>
      </c>
      <c r="C258" s="576">
        <f t="shared" si="154"/>
        <v>19</v>
      </c>
      <c r="D258" s="502" t="s">
        <v>316</v>
      </c>
      <c r="E258" s="500"/>
      <c r="F258" s="494"/>
      <c r="G258" s="530" t="s">
        <v>12</v>
      </c>
      <c r="H258" s="553">
        <v>38.799999999999997</v>
      </c>
      <c r="I258" s="553"/>
      <c r="J258" s="553">
        <v>4.0600000000000005</v>
      </c>
      <c r="K258" s="558">
        <f t="shared" si="168"/>
        <v>157.53</v>
      </c>
      <c r="L258" s="553">
        <f t="shared" si="169"/>
        <v>0.06</v>
      </c>
      <c r="M258" s="558">
        <f t="shared" si="170"/>
        <v>2.33</v>
      </c>
      <c r="N258" s="558">
        <f t="shared" si="176"/>
        <v>0</v>
      </c>
      <c r="O258" s="558">
        <f t="shared" si="171"/>
        <v>0</v>
      </c>
      <c r="P258" s="558"/>
      <c r="Q258" s="558">
        <f t="shared" si="172"/>
        <v>0</v>
      </c>
      <c r="R258" s="553">
        <f t="shared" si="177"/>
        <v>4.0000000000000009</v>
      </c>
      <c r="S258" s="558">
        <f t="shared" si="173"/>
        <v>155.19999999999999</v>
      </c>
      <c r="T258" s="553">
        <f t="shared" si="178"/>
        <v>4.0000000000000009</v>
      </c>
      <c r="U258" s="558">
        <f t="shared" si="174"/>
        <v>155.19999999999999</v>
      </c>
      <c r="V258" s="765" t="s">
        <v>891</v>
      </c>
    </row>
    <row r="259" spans="2:22" s="547" customFormat="1" ht="21" customHeight="1" x14ac:dyDescent="0.25">
      <c r="B259" s="559">
        <f t="shared" si="175"/>
        <v>3.0599999999999987</v>
      </c>
      <c r="C259" s="577" t="e">
        <f>+#REF!+1</f>
        <v>#REF!</v>
      </c>
      <c r="D259" s="501" t="s">
        <v>317</v>
      </c>
      <c r="E259" s="545"/>
      <c r="F259" s="546"/>
      <c r="G259" s="531" t="s">
        <v>12</v>
      </c>
      <c r="H259" s="560"/>
      <c r="I259" s="560">
        <f>+H254*1.3</f>
        <v>112.333</v>
      </c>
      <c r="J259" s="560"/>
      <c r="K259" s="561">
        <f t="shared" si="168"/>
        <v>0</v>
      </c>
      <c r="L259" s="560">
        <f t="shared" si="169"/>
        <v>0.44</v>
      </c>
      <c r="M259" s="561">
        <f t="shared" ref="M259" si="179">+ROUND($I259*L259,2)</f>
        <v>49.43</v>
      </c>
      <c r="N259" s="561"/>
      <c r="O259" s="561">
        <f t="shared" si="171"/>
        <v>0</v>
      </c>
      <c r="P259" s="561">
        <f t="shared" ref="P259:P261" si="180">+L259</f>
        <v>0.44</v>
      </c>
      <c r="Q259" s="561">
        <f t="shared" ref="Q259:Q261" si="181">+ROUND($I259*P259,2)</f>
        <v>49.43</v>
      </c>
      <c r="R259" s="560"/>
      <c r="S259" s="561">
        <f t="shared" si="173"/>
        <v>0</v>
      </c>
      <c r="T259" s="560"/>
      <c r="U259" s="561">
        <f t="shared" si="174"/>
        <v>0</v>
      </c>
      <c r="V259" s="560"/>
    </row>
    <row r="260" spans="2:22" s="547" customFormat="1" ht="21" customHeight="1" x14ac:dyDescent="0.25">
      <c r="B260" s="559">
        <f t="shared" si="175"/>
        <v>3.0699999999999985</v>
      </c>
      <c r="C260" s="577" t="e">
        <f>+#REF!+1</f>
        <v>#REF!</v>
      </c>
      <c r="D260" s="501" t="s">
        <v>318</v>
      </c>
      <c r="E260" s="545"/>
      <c r="F260" s="546"/>
      <c r="G260" s="531" t="s">
        <v>12</v>
      </c>
      <c r="H260" s="560"/>
      <c r="I260" s="560">
        <f>+H254</f>
        <v>86.41</v>
      </c>
      <c r="J260" s="560"/>
      <c r="K260" s="561">
        <f t="shared" si="168"/>
        <v>0</v>
      </c>
      <c r="L260" s="560">
        <f t="shared" si="169"/>
        <v>4.3100000000000005</v>
      </c>
      <c r="M260" s="561">
        <f t="shared" ref="M260" si="182">+ROUND($I260*L260,2)</f>
        <v>372.43</v>
      </c>
      <c r="N260" s="561"/>
      <c r="O260" s="561">
        <f t="shared" si="171"/>
        <v>0</v>
      </c>
      <c r="P260" s="561">
        <f t="shared" si="180"/>
        <v>4.3100000000000005</v>
      </c>
      <c r="Q260" s="561">
        <f t="shared" si="181"/>
        <v>372.43</v>
      </c>
      <c r="R260" s="560"/>
      <c r="S260" s="561">
        <f t="shared" si="173"/>
        <v>0</v>
      </c>
      <c r="T260" s="560"/>
      <c r="U260" s="561">
        <f t="shared" si="174"/>
        <v>0</v>
      </c>
      <c r="V260" s="560"/>
    </row>
    <row r="261" spans="2:22" s="547" customFormat="1" ht="21" customHeight="1" x14ac:dyDescent="0.25">
      <c r="B261" s="559">
        <f t="shared" si="175"/>
        <v>3.0799999999999983</v>
      </c>
      <c r="C261" s="575" t="e">
        <f t="shared" si="154"/>
        <v>#REF!</v>
      </c>
      <c r="D261" s="501" t="s">
        <v>319</v>
      </c>
      <c r="E261" s="635"/>
      <c r="F261" s="636"/>
      <c r="G261" s="564" t="s">
        <v>12</v>
      </c>
      <c r="H261" s="633"/>
      <c r="I261" s="633">
        <f>+H256</f>
        <v>104.03</v>
      </c>
      <c r="J261" s="633"/>
      <c r="K261" s="561">
        <f t="shared" si="168"/>
        <v>0</v>
      </c>
      <c r="L261" s="633">
        <f t="shared" si="169"/>
        <v>5.25</v>
      </c>
      <c r="M261" s="561">
        <f t="shared" ref="M261" si="183">+ROUND($I261*L261,2)</f>
        <v>546.16</v>
      </c>
      <c r="N261" s="634"/>
      <c r="O261" s="561">
        <f t="shared" si="171"/>
        <v>0</v>
      </c>
      <c r="P261" s="634">
        <f t="shared" si="180"/>
        <v>5.25</v>
      </c>
      <c r="Q261" s="561">
        <f t="shared" si="181"/>
        <v>546.16</v>
      </c>
      <c r="R261" s="637"/>
      <c r="S261" s="561">
        <f t="shared" si="173"/>
        <v>0</v>
      </c>
      <c r="T261" s="637"/>
      <c r="U261" s="561">
        <f t="shared" si="174"/>
        <v>0</v>
      </c>
      <c r="V261" s="637"/>
    </row>
    <row r="262" spans="2:22" ht="21" customHeight="1" x14ac:dyDescent="0.25">
      <c r="B262" s="456"/>
      <c r="C262" s="483" t="e">
        <f t="shared" si="154"/>
        <v>#REF!</v>
      </c>
      <c r="D262" s="537"/>
      <c r="E262" s="580"/>
      <c r="F262" s="533" t="str">
        <f>+"SUB-TOTAL   "&amp;B253&amp;":  "</f>
        <v xml:space="preserve">SUB-TOTAL   3:  </v>
      </c>
      <c r="G262" s="440"/>
      <c r="H262" s="438"/>
      <c r="I262" s="438"/>
      <c r="J262" s="438"/>
      <c r="K262" s="450">
        <f>+SUM(K254:K261)</f>
        <v>1036.57</v>
      </c>
      <c r="L262" s="438"/>
      <c r="M262" s="450">
        <f>+SUM(M254:M261)</f>
        <v>1391.6999999999998</v>
      </c>
      <c r="N262" s="438"/>
      <c r="O262" s="450">
        <f>+SUM(O254:O261)</f>
        <v>0</v>
      </c>
      <c r="P262" s="438"/>
      <c r="Q262" s="450">
        <f>+SUM(Q254:Q261)</f>
        <v>968.02</v>
      </c>
      <c r="R262" s="438"/>
      <c r="S262" s="450">
        <f>+SUM(S254:S261)</f>
        <v>612.89</v>
      </c>
      <c r="T262" s="438"/>
      <c r="U262" s="450">
        <f>+SUM(U254:U261)</f>
        <v>612.89</v>
      </c>
      <c r="V262" s="438"/>
    </row>
    <row r="263" spans="2:22" ht="21" customHeight="1" x14ac:dyDescent="0.25">
      <c r="B263" s="452">
        <f>+B253+1</f>
        <v>4</v>
      </c>
      <c r="C263" s="481" t="e">
        <f t="shared" si="154"/>
        <v>#REF!</v>
      </c>
      <c r="D263" s="453" t="s">
        <v>44</v>
      </c>
      <c r="E263" s="445"/>
      <c r="F263" s="446"/>
      <c r="G263" s="527"/>
      <c r="H263" s="438"/>
      <c r="I263" s="438"/>
      <c r="J263" s="438"/>
      <c r="K263" s="438"/>
      <c r="L263" s="438"/>
      <c r="M263" s="438"/>
      <c r="N263" s="438"/>
      <c r="O263" s="438"/>
      <c r="P263" s="438"/>
      <c r="Q263" s="438"/>
      <c r="R263" s="438"/>
      <c r="S263" s="438"/>
      <c r="T263" s="438"/>
      <c r="U263" s="438"/>
      <c r="V263" s="438"/>
    </row>
    <row r="264" spans="2:22" ht="21" customHeight="1" x14ac:dyDescent="0.25">
      <c r="B264" s="562">
        <f t="shared" ref="B264:B275" si="184">+B263+0.01</f>
        <v>4.01</v>
      </c>
      <c r="C264" s="576" t="e">
        <f t="shared" si="154"/>
        <v>#REF!</v>
      </c>
      <c r="D264" s="502" t="s">
        <v>320</v>
      </c>
      <c r="E264" s="496"/>
      <c r="F264" s="497"/>
      <c r="G264" s="530" t="s">
        <v>11</v>
      </c>
      <c r="H264" s="553">
        <v>0.12</v>
      </c>
      <c r="I264" s="553"/>
      <c r="J264" s="553">
        <v>163</v>
      </c>
      <c r="K264" s="553">
        <f t="shared" ref="K264:K275" si="185">+ROUND($H264*J264,2)</f>
        <v>19.559999999999999</v>
      </c>
      <c r="L264" s="553">
        <f t="shared" ref="L264:L275" si="186">+L39</f>
        <v>182</v>
      </c>
      <c r="M264" s="553">
        <f t="shared" ref="M264:M272" si="187">+ROUND($H264*L264,2)</f>
        <v>21.84</v>
      </c>
      <c r="N264" s="553">
        <f>+IF($L264-$J264&gt;=0,$L264-$J264,0)</f>
        <v>19</v>
      </c>
      <c r="O264" s="553">
        <f t="shared" ref="O264:O275" si="188">+ROUND($H264*N264,2)</f>
        <v>2.2799999999999998</v>
      </c>
      <c r="P264" s="553"/>
      <c r="Q264" s="553">
        <f t="shared" ref="Q264:Q272" si="189">+ROUND($H264*P264,2)</f>
        <v>0</v>
      </c>
      <c r="R264" s="553">
        <f>+IF($L264-$J264&lt;=0,-$L264+$J264,0)</f>
        <v>0</v>
      </c>
      <c r="S264" s="553">
        <f t="shared" ref="S264:S275" si="190">+ROUND($H264*R264,2)</f>
        <v>0</v>
      </c>
      <c r="T264" s="553"/>
      <c r="U264" s="553">
        <f t="shared" ref="U264:U275" si="191">+ROUND($H264*T264,2)</f>
        <v>0</v>
      </c>
      <c r="V264" s="553"/>
    </row>
    <row r="265" spans="2:22" ht="21" customHeight="1" x14ac:dyDescent="0.25">
      <c r="B265" s="562">
        <f t="shared" si="184"/>
        <v>4.0199999999999996</v>
      </c>
      <c r="C265" s="576" t="e">
        <f t="shared" si="154"/>
        <v>#REF!</v>
      </c>
      <c r="D265" s="502" t="s">
        <v>321</v>
      </c>
      <c r="E265" s="496"/>
      <c r="F265" s="497"/>
      <c r="G265" s="530" t="s">
        <v>11</v>
      </c>
      <c r="H265" s="553">
        <v>0.06</v>
      </c>
      <c r="I265" s="553"/>
      <c r="J265" s="553">
        <v>218</v>
      </c>
      <c r="K265" s="553">
        <f t="shared" si="185"/>
        <v>13.08</v>
      </c>
      <c r="L265" s="553">
        <f t="shared" si="186"/>
        <v>287</v>
      </c>
      <c r="M265" s="553">
        <f t="shared" si="187"/>
        <v>17.22</v>
      </c>
      <c r="N265" s="553">
        <f t="shared" ref="N265:N272" si="192">+IF($L265-$J265&gt;=0,$L265-$J265,0)</f>
        <v>69</v>
      </c>
      <c r="O265" s="553">
        <f t="shared" si="188"/>
        <v>4.1399999999999997</v>
      </c>
      <c r="P265" s="553"/>
      <c r="Q265" s="553">
        <f t="shared" si="189"/>
        <v>0</v>
      </c>
      <c r="R265" s="553">
        <f t="shared" ref="R265:R272" si="193">+IF($L265-$J265&lt;=0,-$L265+$J265,0)</f>
        <v>0</v>
      </c>
      <c r="S265" s="553">
        <f t="shared" si="190"/>
        <v>0</v>
      </c>
      <c r="T265" s="553"/>
      <c r="U265" s="553">
        <f t="shared" si="191"/>
        <v>0</v>
      </c>
      <c r="V265" s="553"/>
    </row>
    <row r="266" spans="2:22" ht="21" customHeight="1" x14ac:dyDescent="0.25">
      <c r="B266" s="562">
        <f t="shared" si="184"/>
        <v>4.0299999999999994</v>
      </c>
      <c r="C266" s="576" t="e">
        <f t="shared" si="154"/>
        <v>#REF!</v>
      </c>
      <c r="D266" s="502" t="s">
        <v>322</v>
      </c>
      <c r="E266" s="496"/>
      <c r="F266" s="497"/>
      <c r="G266" s="530" t="s">
        <v>11</v>
      </c>
      <c r="H266" s="553">
        <v>0.02</v>
      </c>
      <c r="I266" s="553"/>
      <c r="J266" s="553">
        <v>2</v>
      </c>
      <c r="K266" s="553">
        <f t="shared" si="185"/>
        <v>0.04</v>
      </c>
      <c r="L266" s="553">
        <f t="shared" si="186"/>
        <v>0</v>
      </c>
      <c r="M266" s="553">
        <f t="shared" si="187"/>
        <v>0</v>
      </c>
      <c r="N266" s="553">
        <f t="shared" si="192"/>
        <v>0</v>
      </c>
      <c r="O266" s="553">
        <f t="shared" si="188"/>
        <v>0</v>
      </c>
      <c r="P266" s="553"/>
      <c r="Q266" s="553">
        <f t="shared" si="189"/>
        <v>0</v>
      </c>
      <c r="R266" s="553">
        <f t="shared" si="193"/>
        <v>2</v>
      </c>
      <c r="S266" s="553">
        <f t="shared" si="190"/>
        <v>0.04</v>
      </c>
      <c r="T266" s="553">
        <f>+R266</f>
        <v>2</v>
      </c>
      <c r="U266" s="553">
        <f t="shared" si="191"/>
        <v>0.04</v>
      </c>
      <c r="V266" s="553" t="s">
        <v>892</v>
      </c>
    </row>
    <row r="267" spans="2:22" ht="21" customHeight="1" x14ac:dyDescent="0.25">
      <c r="B267" s="562">
        <f t="shared" si="184"/>
        <v>4.0399999999999991</v>
      </c>
      <c r="C267" s="576" t="e">
        <f t="shared" si="154"/>
        <v>#REF!</v>
      </c>
      <c r="D267" s="502" t="s">
        <v>45</v>
      </c>
      <c r="E267" s="496"/>
      <c r="F267" s="497"/>
      <c r="G267" s="530" t="s">
        <v>11</v>
      </c>
      <c r="H267" s="553">
        <v>0.03</v>
      </c>
      <c r="I267" s="553"/>
      <c r="J267" s="553">
        <v>4</v>
      </c>
      <c r="K267" s="553">
        <f t="shared" si="185"/>
        <v>0.12</v>
      </c>
      <c r="L267" s="553">
        <f t="shared" si="186"/>
        <v>27</v>
      </c>
      <c r="M267" s="553">
        <f t="shared" si="187"/>
        <v>0.81</v>
      </c>
      <c r="N267" s="553">
        <f t="shared" si="192"/>
        <v>23</v>
      </c>
      <c r="O267" s="553">
        <f t="shared" si="188"/>
        <v>0.69</v>
      </c>
      <c r="P267" s="553"/>
      <c r="Q267" s="553">
        <f t="shared" si="189"/>
        <v>0</v>
      </c>
      <c r="R267" s="553">
        <f t="shared" si="193"/>
        <v>0</v>
      </c>
      <c r="S267" s="553">
        <f t="shared" si="190"/>
        <v>0</v>
      </c>
      <c r="T267" s="553"/>
      <c r="U267" s="553">
        <f t="shared" si="191"/>
        <v>0</v>
      </c>
      <c r="V267" s="553"/>
    </row>
    <row r="268" spans="2:22" ht="21" customHeight="1" x14ac:dyDescent="0.25">
      <c r="B268" s="562">
        <f t="shared" si="184"/>
        <v>4.0499999999999989</v>
      </c>
      <c r="C268" s="576" t="e">
        <f t="shared" si="154"/>
        <v>#REF!</v>
      </c>
      <c r="D268" s="502" t="s">
        <v>323</v>
      </c>
      <c r="E268" s="496"/>
      <c r="F268" s="497"/>
      <c r="G268" s="530" t="s">
        <v>11</v>
      </c>
      <c r="H268" s="553">
        <v>0.02</v>
      </c>
      <c r="I268" s="553"/>
      <c r="J268" s="553">
        <v>26</v>
      </c>
      <c r="K268" s="553">
        <f t="shared" si="185"/>
        <v>0.52</v>
      </c>
      <c r="L268" s="553">
        <f t="shared" si="186"/>
        <v>12</v>
      </c>
      <c r="M268" s="553">
        <f t="shared" si="187"/>
        <v>0.24</v>
      </c>
      <c r="N268" s="553">
        <f t="shared" si="192"/>
        <v>0</v>
      </c>
      <c r="O268" s="553">
        <f t="shared" si="188"/>
        <v>0</v>
      </c>
      <c r="P268" s="553"/>
      <c r="Q268" s="553">
        <f t="shared" si="189"/>
        <v>0</v>
      </c>
      <c r="R268" s="553">
        <f t="shared" si="193"/>
        <v>14</v>
      </c>
      <c r="S268" s="553">
        <f t="shared" si="190"/>
        <v>0.28000000000000003</v>
      </c>
      <c r="T268" s="553">
        <f>+R268</f>
        <v>14</v>
      </c>
      <c r="U268" s="553">
        <f t="shared" si="191"/>
        <v>0.28000000000000003</v>
      </c>
      <c r="V268" s="553" t="s">
        <v>892</v>
      </c>
    </row>
    <row r="269" spans="2:22" ht="21" customHeight="1" x14ac:dyDescent="0.25">
      <c r="B269" s="562">
        <f t="shared" si="184"/>
        <v>4.0599999999999987</v>
      </c>
      <c r="C269" s="576" t="e">
        <f t="shared" si="154"/>
        <v>#REF!</v>
      </c>
      <c r="D269" s="502" t="s">
        <v>324</v>
      </c>
      <c r="E269" s="498"/>
      <c r="F269" s="499"/>
      <c r="G269" s="530" t="s">
        <v>11</v>
      </c>
      <c r="H269" s="553">
        <v>0.02</v>
      </c>
      <c r="I269" s="553"/>
      <c r="J269" s="553">
        <v>52</v>
      </c>
      <c r="K269" s="553">
        <f t="shared" si="185"/>
        <v>1.04</v>
      </c>
      <c r="L269" s="553">
        <f t="shared" si="186"/>
        <v>232</v>
      </c>
      <c r="M269" s="553">
        <f t="shared" si="187"/>
        <v>4.6399999999999997</v>
      </c>
      <c r="N269" s="553">
        <f t="shared" si="192"/>
        <v>180</v>
      </c>
      <c r="O269" s="553">
        <f t="shared" si="188"/>
        <v>3.6</v>
      </c>
      <c r="P269" s="557"/>
      <c r="Q269" s="553">
        <f t="shared" si="189"/>
        <v>0</v>
      </c>
      <c r="R269" s="553">
        <f t="shared" si="193"/>
        <v>0</v>
      </c>
      <c r="S269" s="553">
        <f t="shared" si="190"/>
        <v>0</v>
      </c>
      <c r="T269" s="557"/>
      <c r="U269" s="553">
        <f t="shared" si="191"/>
        <v>0</v>
      </c>
      <c r="V269" s="557"/>
    </row>
    <row r="270" spans="2:22" ht="21" customHeight="1" x14ac:dyDescent="0.25">
      <c r="B270" s="562">
        <f t="shared" si="184"/>
        <v>4.0699999999999985</v>
      </c>
      <c r="C270" s="576" t="e">
        <f t="shared" si="154"/>
        <v>#REF!</v>
      </c>
      <c r="D270" s="502" t="s">
        <v>325</v>
      </c>
      <c r="E270" s="500"/>
      <c r="F270" s="494"/>
      <c r="G270" s="530" t="s">
        <v>11</v>
      </c>
      <c r="H270" s="553">
        <v>0.01</v>
      </c>
      <c r="I270" s="553"/>
      <c r="J270" s="553">
        <v>1838</v>
      </c>
      <c r="K270" s="553">
        <f t="shared" si="185"/>
        <v>18.38</v>
      </c>
      <c r="L270" s="553">
        <f t="shared" si="186"/>
        <v>2278</v>
      </c>
      <c r="M270" s="553">
        <f t="shared" si="187"/>
        <v>22.78</v>
      </c>
      <c r="N270" s="553">
        <f t="shared" si="192"/>
        <v>440</v>
      </c>
      <c r="O270" s="553">
        <f t="shared" si="188"/>
        <v>4.4000000000000004</v>
      </c>
      <c r="P270" s="553"/>
      <c r="Q270" s="553">
        <f t="shared" si="189"/>
        <v>0</v>
      </c>
      <c r="R270" s="553">
        <f t="shared" si="193"/>
        <v>0</v>
      </c>
      <c r="S270" s="553">
        <f t="shared" si="190"/>
        <v>0</v>
      </c>
      <c r="T270" s="553"/>
      <c r="U270" s="553">
        <f t="shared" si="191"/>
        <v>0</v>
      </c>
      <c r="V270" s="553"/>
    </row>
    <row r="271" spans="2:22" ht="21" customHeight="1" x14ac:dyDescent="0.25">
      <c r="B271" s="562">
        <f t="shared" si="184"/>
        <v>4.0799999999999983</v>
      </c>
      <c r="C271" s="576" t="e">
        <f t="shared" si="154"/>
        <v>#REF!</v>
      </c>
      <c r="D271" s="502" t="s">
        <v>326</v>
      </c>
      <c r="E271" s="496"/>
      <c r="F271" s="497"/>
      <c r="G271" s="530" t="s">
        <v>13</v>
      </c>
      <c r="H271" s="553">
        <v>0.01</v>
      </c>
      <c r="I271" s="553"/>
      <c r="J271" s="553">
        <v>51.3</v>
      </c>
      <c r="K271" s="553">
        <f t="shared" si="185"/>
        <v>0.51</v>
      </c>
      <c r="L271" s="553">
        <f t="shared" si="186"/>
        <v>61</v>
      </c>
      <c r="M271" s="553">
        <f t="shared" si="187"/>
        <v>0.61</v>
      </c>
      <c r="N271" s="553">
        <f t="shared" si="192"/>
        <v>9.7000000000000028</v>
      </c>
      <c r="O271" s="553">
        <f t="shared" si="188"/>
        <v>0.1</v>
      </c>
      <c r="P271" s="553"/>
      <c r="Q271" s="553">
        <f t="shared" si="189"/>
        <v>0</v>
      </c>
      <c r="R271" s="553">
        <f t="shared" si="193"/>
        <v>0</v>
      </c>
      <c r="S271" s="553">
        <f t="shared" si="190"/>
        <v>0</v>
      </c>
      <c r="T271" s="553"/>
      <c r="U271" s="553">
        <f t="shared" si="191"/>
        <v>0</v>
      </c>
      <c r="V271" s="553"/>
    </row>
    <row r="272" spans="2:22" ht="21" customHeight="1" x14ac:dyDescent="0.25">
      <c r="B272" s="562">
        <f t="shared" si="184"/>
        <v>4.0899999999999981</v>
      </c>
      <c r="C272" s="576" t="e">
        <f t="shared" si="154"/>
        <v>#REF!</v>
      </c>
      <c r="D272" s="502" t="s">
        <v>46</v>
      </c>
      <c r="E272" s="496"/>
      <c r="F272" s="497"/>
      <c r="G272" s="530" t="s">
        <v>13</v>
      </c>
      <c r="H272" s="553">
        <v>0.01</v>
      </c>
      <c r="I272" s="553"/>
      <c r="J272" s="553">
        <v>19</v>
      </c>
      <c r="K272" s="553">
        <f t="shared" si="185"/>
        <v>0.19</v>
      </c>
      <c r="L272" s="553">
        <f t="shared" si="186"/>
        <v>183</v>
      </c>
      <c r="M272" s="553">
        <f t="shared" si="187"/>
        <v>1.83</v>
      </c>
      <c r="N272" s="553">
        <f t="shared" si="192"/>
        <v>164</v>
      </c>
      <c r="O272" s="553">
        <f t="shared" si="188"/>
        <v>1.64</v>
      </c>
      <c r="P272" s="553"/>
      <c r="Q272" s="553">
        <f t="shared" si="189"/>
        <v>0</v>
      </c>
      <c r="R272" s="553">
        <f t="shared" si="193"/>
        <v>0</v>
      </c>
      <c r="S272" s="553">
        <f t="shared" si="190"/>
        <v>0</v>
      </c>
      <c r="T272" s="553"/>
      <c r="U272" s="553">
        <f t="shared" si="191"/>
        <v>0</v>
      </c>
      <c r="V272" s="553"/>
    </row>
    <row r="273" spans="2:22" s="547" customFormat="1" ht="21" customHeight="1" x14ac:dyDescent="0.25">
      <c r="B273" s="559">
        <f t="shared" si="184"/>
        <v>4.0999999999999979</v>
      </c>
      <c r="C273" s="577" t="e">
        <f t="shared" si="154"/>
        <v>#REF!</v>
      </c>
      <c r="D273" s="501" t="s">
        <v>327</v>
      </c>
      <c r="E273" s="545"/>
      <c r="F273" s="546"/>
      <c r="G273" s="531" t="s">
        <v>11</v>
      </c>
      <c r="H273" s="560"/>
      <c r="I273" s="560">
        <v>0.88</v>
      </c>
      <c r="J273" s="560"/>
      <c r="K273" s="560">
        <f t="shared" si="185"/>
        <v>0</v>
      </c>
      <c r="L273" s="560">
        <f t="shared" si="186"/>
        <v>9</v>
      </c>
      <c r="M273" s="560">
        <f>+ROUND($I273*L273,2)</f>
        <v>7.92</v>
      </c>
      <c r="N273" s="560"/>
      <c r="O273" s="560">
        <f t="shared" si="188"/>
        <v>0</v>
      </c>
      <c r="P273" s="560">
        <f>+L273</f>
        <v>9</v>
      </c>
      <c r="Q273" s="560">
        <f>+ROUND($I273*P273,2)</f>
        <v>7.92</v>
      </c>
      <c r="R273" s="560"/>
      <c r="S273" s="560">
        <f t="shared" si="190"/>
        <v>0</v>
      </c>
      <c r="T273" s="560"/>
      <c r="U273" s="560">
        <f t="shared" si="191"/>
        <v>0</v>
      </c>
      <c r="V273" s="560"/>
    </row>
    <row r="274" spans="2:22" s="547" customFormat="1" ht="21" customHeight="1" x14ac:dyDescent="0.25">
      <c r="B274" s="559">
        <f t="shared" si="184"/>
        <v>4.1099999999999977</v>
      </c>
      <c r="C274" s="577" t="e">
        <f t="shared" si="154"/>
        <v>#REF!</v>
      </c>
      <c r="D274" s="501" t="s">
        <v>328</v>
      </c>
      <c r="E274" s="545"/>
      <c r="F274" s="546"/>
      <c r="G274" s="531" t="s">
        <v>13</v>
      </c>
      <c r="H274" s="560"/>
      <c r="I274" s="771">
        <v>2.5000000000000001E-2</v>
      </c>
      <c r="J274" s="560"/>
      <c r="K274" s="560">
        <f t="shared" si="185"/>
        <v>0</v>
      </c>
      <c r="L274" s="560">
        <f t="shared" si="186"/>
        <v>9</v>
      </c>
      <c r="M274" s="560">
        <f t="shared" ref="M274" si="194">+ROUND($I274*L274,2)</f>
        <v>0.23</v>
      </c>
      <c r="N274" s="560"/>
      <c r="O274" s="560">
        <f t="shared" si="188"/>
        <v>0</v>
      </c>
      <c r="P274" s="560">
        <f t="shared" ref="P274:P275" si="195">+L274</f>
        <v>9</v>
      </c>
      <c r="Q274" s="560">
        <f t="shared" ref="Q274:Q275" si="196">+ROUND($I274*P274,2)</f>
        <v>0.23</v>
      </c>
      <c r="R274" s="560"/>
      <c r="S274" s="560">
        <f t="shared" si="190"/>
        <v>0</v>
      </c>
      <c r="T274" s="560"/>
      <c r="U274" s="560">
        <f t="shared" si="191"/>
        <v>0</v>
      </c>
      <c r="V274" s="560"/>
    </row>
    <row r="275" spans="2:22" s="547" customFormat="1" ht="21" customHeight="1" x14ac:dyDescent="0.25">
      <c r="B275" s="559">
        <f t="shared" si="184"/>
        <v>4.1199999999999974</v>
      </c>
      <c r="C275" s="575" t="e">
        <f t="shared" si="154"/>
        <v>#REF!</v>
      </c>
      <c r="D275" s="501" t="s">
        <v>329</v>
      </c>
      <c r="E275" s="545"/>
      <c r="F275" s="546"/>
      <c r="G275" s="564" t="s">
        <v>11</v>
      </c>
      <c r="H275" s="633"/>
      <c r="I275" s="633">
        <v>1.69</v>
      </c>
      <c r="J275" s="633"/>
      <c r="K275" s="560">
        <f t="shared" si="185"/>
        <v>0</v>
      </c>
      <c r="L275" s="633">
        <f t="shared" si="186"/>
        <v>9</v>
      </c>
      <c r="M275" s="560">
        <f t="shared" ref="M275" si="197">+ROUND($I275*L275,2)</f>
        <v>15.21</v>
      </c>
      <c r="N275" s="633"/>
      <c r="O275" s="560">
        <f t="shared" si="188"/>
        <v>0</v>
      </c>
      <c r="P275" s="633">
        <f t="shared" si="195"/>
        <v>9</v>
      </c>
      <c r="Q275" s="560">
        <f t="shared" si="196"/>
        <v>15.21</v>
      </c>
      <c r="R275" s="633"/>
      <c r="S275" s="560">
        <f t="shared" si="190"/>
        <v>0</v>
      </c>
      <c r="T275" s="633"/>
      <c r="U275" s="560">
        <f t="shared" si="191"/>
        <v>0</v>
      </c>
      <c r="V275" s="633"/>
    </row>
    <row r="276" spans="2:22" ht="21" customHeight="1" x14ac:dyDescent="0.25">
      <c r="B276" s="456"/>
      <c r="C276" s="483" t="e">
        <f t="shared" si="154"/>
        <v>#REF!</v>
      </c>
      <c r="D276" s="537"/>
      <c r="E276" s="538"/>
      <c r="F276" s="544" t="str">
        <f>+"SUB-TOTAL   "&amp;B263&amp;":  "</f>
        <v xml:space="preserve">SUB-TOTAL   4:  </v>
      </c>
      <c r="G276" s="440"/>
      <c r="H276" s="438"/>
      <c r="I276" s="438"/>
      <c r="J276" s="438"/>
      <c r="K276" s="450">
        <f>+SUM(K264:K275)</f>
        <v>53.439999999999991</v>
      </c>
      <c r="L276" s="438"/>
      <c r="M276" s="450">
        <f>+SUM(M264:M275)</f>
        <v>93.330000000000013</v>
      </c>
      <c r="N276" s="438"/>
      <c r="O276" s="450">
        <f>+SUM(O264:O275)</f>
        <v>16.849999999999998</v>
      </c>
      <c r="P276" s="438"/>
      <c r="Q276" s="450">
        <f>+SUM(Q264:Q275)</f>
        <v>23.36</v>
      </c>
      <c r="R276" s="438"/>
      <c r="S276" s="450">
        <f>+SUM(S264:S275)</f>
        <v>0.32</v>
      </c>
      <c r="T276" s="438"/>
      <c r="U276" s="450">
        <f>+SUM(U264:U275)</f>
        <v>0.32</v>
      </c>
      <c r="V276" s="438"/>
    </row>
    <row r="277" spans="2:22" ht="21" customHeight="1" x14ac:dyDescent="0.25">
      <c r="B277" s="452">
        <f>+B263+1</f>
        <v>5</v>
      </c>
      <c r="C277" s="483" t="e">
        <f t="shared" si="154"/>
        <v>#REF!</v>
      </c>
      <c r="D277" s="453" t="s">
        <v>47</v>
      </c>
      <c r="E277" s="445"/>
      <c r="F277" s="446"/>
      <c r="G277" s="440"/>
      <c r="H277" s="438"/>
      <c r="I277" s="438"/>
      <c r="J277" s="438"/>
      <c r="K277" s="438"/>
      <c r="L277" s="438"/>
      <c r="M277" s="438"/>
      <c r="N277" s="438"/>
      <c r="O277" s="438"/>
      <c r="P277" s="438"/>
      <c r="Q277" s="438"/>
      <c r="R277" s="438"/>
      <c r="S277" s="438"/>
      <c r="T277" s="438"/>
      <c r="U277" s="438"/>
      <c r="V277" s="438"/>
    </row>
    <row r="278" spans="2:22" ht="21" customHeight="1" x14ac:dyDescent="0.25">
      <c r="B278" s="562">
        <f t="shared" ref="B278:B281" si="198">+B277+0.01</f>
        <v>5.01</v>
      </c>
      <c r="C278" s="581" t="e">
        <f t="shared" si="154"/>
        <v>#REF!</v>
      </c>
      <c r="D278" s="502" t="s">
        <v>330</v>
      </c>
      <c r="E278" s="496"/>
      <c r="F278" s="497"/>
      <c r="G278" s="530" t="s">
        <v>13</v>
      </c>
      <c r="H278" s="553">
        <v>0.12</v>
      </c>
      <c r="I278" s="553"/>
      <c r="J278" s="553">
        <v>1.2</v>
      </c>
      <c r="K278" s="553">
        <f t="shared" ref="K278:K281" si="199">+ROUND($H278*J278,2)</f>
        <v>0.14000000000000001</v>
      </c>
      <c r="L278" s="553">
        <f>+L53</f>
        <v>18</v>
      </c>
      <c r="M278" s="553">
        <f t="shared" ref="M278:M281" si="200">+ROUND($H278*L278,2)</f>
        <v>2.16</v>
      </c>
      <c r="N278" s="553">
        <f>+IF($L278-$J278&gt;=0,$L278-$J278,0)</f>
        <v>16.8</v>
      </c>
      <c r="O278" s="553">
        <f t="shared" ref="O278:O281" si="201">+ROUND($H278*N278,2)</f>
        <v>2.02</v>
      </c>
      <c r="P278" s="553"/>
      <c r="Q278" s="553">
        <f t="shared" ref="Q278:Q281" si="202">+ROUND($H278*P278,2)</f>
        <v>0</v>
      </c>
      <c r="R278" s="553">
        <f>+IF($L278-$J278&lt;=0,-$L278+$J278,0)</f>
        <v>0</v>
      </c>
      <c r="S278" s="553">
        <f t="shared" ref="S278:S281" si="203">+ROUND($H278*R278,2)</f>
        <v>0</v>
      </c>
      <c r="T278" s="553"/>
      <c r="U278" s="553">
        <f t="shared" ref="U278:U281" si="204">+ROUND($H278*T278,2)</f>
        <v>0</v>
      </c>
      <c r="V278" s="553"/>
    </row>
    <row r="279" spans="2:22" ht="21" customHeight="1" x14ac:dyDescent="0.25">
      <c r="B279" s="562">
        <f t="shared" si="198"/>
        <v>5.0199999999999996</v>
      </c>
      <c r="C279" s="576" t="e">
        <f t="shared" si="154"/>
        <v>#REF!</v>
      </c>
      <c r="D279" s="502" t="s">
        <v>48</v>
      </c>
      <c r="E279" s="496"/>
      <c r="F279" s="497"/>
      <c r="G279" s="530" t="s">
        <v>13</v>
      </c>
      <c r="H279" s="553">
        <v>0.1</v>
      </c>
      <c r="I279" s="553"/>
      <c r="J279" s="553">
        <v>111.5</v>
      </c>
      <c r="K279" s="553">
        <f t="shared" si="199"/>
        <v>11.15</v>
      </c>
      <c r="L279" s="553">
        <f>+L54</f>
        <v>160</v>
      </c>
      <c r="M279" s="553">
        <f t="shared" si="200"/>
        <v>16</v>
      </c>
      <c r="N279" s="553">
        <f>+IF($L279-$J279&gt;=0,$L279-$J279,0)</f>
        <v>48.5</v>
      </c>
      <c r="O279" s="553">
        <f t="shared" si="201"/>
        <v>4.8499999999999996</v>
      </c>
      <c r="P279" s="553"/>
      <c r="Q279" s="553">
        <f t="shared" si="202"/>
        <v>0</v>
      </c>
      <c r="R279" s="553">
        <f t="shared" ref="R279:R281" si="205">+IF($L279-$J279&lt;=0,-$L279+$J279,0)</f>
        <v>0</v>
      </c>
      <c r="S279" s="553">
        <f t="shared" si="203"/>
        <v>0</v>
      </c>
      <c r="T279" s="553"/>
      <c r="U279" s="553">
        <f t="shared" si="204"/>
        <v>0</v>
      </c>
      <c r="V279" s="553"/>
    </row>
    <row r="280" spans="2:22" ht="21" customHeight="1" x14ac:dyDescent="0.25">
      <c r="B280" s="562">
        <f t="shared" si="198"/>
        <v>5.0299999999999994</v>
      </c>
      <c r="C280" s="576" t="e">
        <f t="shared" si="154"/>
        <v>#REF!</v>
      </c>
      <c r="D280" s="502" t="s">
        <v>49</v>
      </c>
      <c r="E280" s="496"/>
      <c r="F280" s="497"/>
      <c r="G280" s="530" t="s">
        <v>13</v>
      </c>
      <c r="H280" s="553">
        <v>0.12</v>
      </c>
      <c r="I280" s="553"/>
      <c r="J280" s="553">
        <v>3985</v>
      </c>
      <c r="K280" s="553">
        <f t="shared" si="199"/>
        <v>478.2</v>
      </c>
      <c r="L280" s="553">
        <f>+L55</f>
        <v>7465</v>
      </c>
      <c r="M280" s="553">
        <f t="shared" si="200"/>
        <v>895.8</v>
      </c>
      <c r="N280" s="553">
        <f>+IF($L280-$J280&gt;=0,$L280-$J280,0)</f>
        <v>3480</v>
      </c>
      <c r="O280" s="553">
        <f t="shared" si="201"/>
        <v>417.6</v>
      </c>
      <c r="P280" s="553"/>
      <c r="Q280" s="553">
        <f t="shared" si="202"/>
        <v>0</v>
      </c>
      <c r="R280" s="553">
        <f t="shared" si="205"/>
        <v>0</v>
      </c>
      <c r="S280" s="553">
        <f t="shared" si="203"/>
        <v>0</v>
      </c>
      <c r="T280" s="553"/>
      <c r="U280" s="553">
        <f t="shared" si="204"/>
        <v>0</v>
      </c>
      <c r="V280" s="553"/>
    </row>
    <row r="281" spans="2:22" ht="21" customHeight="1" x14ac:dyDescent="0.25">
      <c r="B281" s="582">
        <f t="shared" si="198"/>
        <v>5.0399999999999991</v>
      </c>
      <c r="C281" s="583" t="e">
        <f t="shared" si="154"/>
        <v>#REF!</v>
      </c>
      <c r="D281" s="502" t="s">
        <v>14</v>
      </c>
      <c r="E281" s="496"/>
      <c r="F281" s="497"/>
      <c r="G281" s="539" t="s">
        <v>13</v>
      </c>
      <c r="H281" s="565">
        <v>0.84</v>
      </c>
      <c r="I281" s="565"/>
      <c r="J281" s="565">
        <v>925.5</v>
      </c>
      <c r="K281" s="565">
        <f t="shared" si="199"/>
        <v>777.42</v>
      </c>
      <c r="L281" s="565">
        <f>+L56</f>
        <v>912</v>
      </c>
      <c r="M281" s="565">
        <f t="shared" si="200"/>
        <v>766.08</v>
      </c>
      <c r="N281" s="565">
        <f>+IF($L281-$J281&gt;=0,$L281-$J281,0)</f>
        <v>0</v>
      </c>
      <c r="O281" s="565">
        <f t="shared" si="201"/>
        <v>0</v>
      </c>
      <c r="P281" s="565"/>
      <c r="Q281" s="565">
        <f t="shared" si="202"/>
        <v>0</v>
      </c>
      <c r="R281" s="565">
        <f t="shared" si="205"/>
        <v>13.5</v>
      </c>
      <c r="S281" s="565">
        <f t="shared" si="203"/>
        <v>11.34</v>
      </c>
      <c r="T281" s="565"/>
      <c r="U281" s="565">
        <f t="shared" si="204"/>
        <v>0</v>
      </c>
      <c r="V281" s="565"/>
    </row>
    <row r="282" spans="2:22" ht="21" customHeight="1" x14ac:dyDescent="0.25">
      <c r="B282" s="456"/>
      <c r="C282" s="466" t="e">
        <f t="shared" si="154"/>
        <v>#REF!</v>
      </c>
      <c r="D282" s="537"/>
      <c r="E282" s="538"/>
      <c r="F282" s="533" t="str">
        <f>+"SUB-TOTAL   "&amp;B277&amp;":  "</f>
        <v xml:space="preserve">SUB-TOTAL   5:  </v>
      </c>
      <c r="G282" s="567"/>
      <c r="H282" s="438"/>
      <c r="I282" s="438"/>
      <c r="J282" s="438"/>
      <c r="K282" s="536">
        <f>+SUM(K278:K281)</f>
        <v>1266.9099999999999</v>
      </c>
      <c r="L282" s="438"/>
      <c r="M282" s="536">
        <f>+SUM(M278:M281)</f>
        <v>1680.04</v>
      </c>
      <c r="N282" s="536"/>
      <c r="O282" s="536">
        <f>+SUM(O278:O281)</f>
        <v>424.47</v>
      </c>
      <c r="P282" s="536"/>
      <c r="Q282" s="536">
        <f>+SUM(Q278:Q281)</f>
        <v>0</v>
      </c>
      <c r="R282" s="536"/>
      <c r="S282" s="536">
        <f>+SUM(S278:S281)</f>
        <v>11.34</v>
      </c>
      <c r="T282" s="536"/>
      <c r="U282" s="536">
        <f>+SUM(U278:U281)</f>
        <v>0</v>
      </c>
      <c r="V282" s="536"/>
    </row>
    <row r="283" spans="2:22" ht="21" customHeight="1" x14ac:dyDescent="0.25">
      <c r="B283" s="452">
        <f>+B277+1</f>
        <v>6</v>
      </c>
      <c r="C283" s="466" t="e">
        <f t="shared" si="154"/>
        <v>#REF!</v>
      </c>
      <c r="D283" s="453" t="s">
        <v>50</v>
      </c>
      <c r="E283" s="460"/>
      <c r="F283" s="461"/>
      <c r="G283" s="440"/>
      <c r="H283" s="438"/>
      <c r="I283" s="438"/>
      <c r="J283" s="438"/>
      <c r="K283" s="536"/>
      <c r="L283" s="438"/>
      <c r="M283" s="536"/>
      <c r="N283" s="536"/>
      <c r="O283" s="536"/>
      <c r="P283" s="536"/>
      <c r="Q283" s="536"/>
      <c r="R283" s="536"/>
      <c r="S283" s="536"/>
      <c r="T283" s="536"/>
      <c r="U283" s="536"/>
      <c r="V283" s="536"/>
    </row>
    <row r="284" spans="2:22" ht="21" customHeight="1" x14ac:dyDescent="0.25">
      <c r="B284" s="554">
        <f t="shared" ref="B284:B291" si="206">+B283+0.01</f>
        <v>6.01</v>
      </c>
      <c r="C284" s="584" t="e">
        <f t="shared" si="154"/>
        <v>#REF!</v>
      </c>
      <c r="D284" s="495" t="s">
        <v>331</v>
      </c>
      <c r="E284" s="500"/>
      <c r="F284" s="494"/>
      <c r="G284" s="530" t="s">
        <v>11</v>
      </c>
      <c r="H284" s="553">
        <v>3.76</v>
      </c>
      <c r="I284" s="553"/>
      <c r="J284" s="553">
        <v>2</v>
      </c>
      <c r="K284" s="553">
        <f t="shared" ref="K284:K291" si="207">+ROUND($H284*J284,2)</f>
        <v>7.52</v>
      </c>
      <c r="L284" s="553">
        <f t="shared" ref="L284:L291" si="208">+L59</f>
        <v>0</v>
      </c>
      <c r="M284" s="553">
        <f t="shared" ref="M284:M290" si="209">+ROUND($H284*L284,2)</f>
        <v>0</v>
      </c>
      <c r="N284" s="553">
        <f>+IF($L284-$J284&gt;=0,$L284-$J284,0)</f>
        <v>0</v>
      </c>
      <c r="O284" s="553">
        <f t="shared" ref="O284:O291" si="210">+ROUND($H284*N284,2)</f>
        <v>0</v>
      </c>
      <c r="P284" s="553"/>
      <c r="Q284" s="553">
        <f t="shared" ref="Q284:Q290" si="211">+ROUND($H284*P284,2)</f>
        <v>0</v>
      </c>
      <c r="R284" s="553">
        <f>+IF($L284-$J284&lt;=0,-$L284+$J284,0)</f>
        <v>2</v>
      </c>
      <c r="S284" s="553">
        <f t="shared" ref="S284:S291" si="212">+ROUND($H284*R284,2)</f>
        <v>7.52</v>
      </c>
      <c r="T284" s="553">
        <f>+R284</f>
        <v>2</v>
      </c>
      <c r="U284" s="553">
        <f t="shared" ref="U284:U291" si="213">+ROUND($H284*T284,2)</f>
        <v>7.52</v>
      </c>
      <c r="V284" s="553" t="s">
        <v>893</v>
      </c>
    </row>
    <row r="285" spans="2:22" ht="21" customHeight="1" x14ac:dyDescent="0.25">
      <c r="B285" s="554">
        <f t="shared" si="206"/>
        <v>6.02</v>
      </c>
      <c r="C285" s="584" t="e">
        <f t="shared" si="154"/>
        <v>#REF!</v>
      </c>
      <c r="D285" s="495" t="s">
        <v>51</v>
      </c>
      <c r="E285" s="496"/>
      <c r="F285" s="497"/>
      <c r="G285" s="530" t="s">
        <v>11</v>
      </c>
      <c r="H285" s="553">
        <v>3.76</v>
      </c>
      <c r="I285" s="553"/>
      <c r="J285" s="553">
        <v>43</v>
      </c>
      <c r="K285" s="553">
        <f t="shared" si="207"/>
        <v>161.68</v>
      </c>
      <c r="L285" s="553">
        <f t="shared" si="208"/>
        <v>80</v>
      </c>
      <c r="M285" s="553">
        <f t="shared" si="209"/>
        <v>300.8</v>
      </c>
      <c r="N285" s="553">
        <f t="shared" ref="N285:N290" si="214">+IF($L285-$J285&gt;=0,$L285-$J285,0)</f>
        <v>37</v>
      </c>
      <c r="O285" s="553">
        <f t="shared" si="210"/>
        <v>139.12</v>
      </c>
      <c r="P285" s="553"/>
      <c r="Q285" s="553">
        <f t="shared" si="211"/>
        <v>0</v>
      </c>
      <c r="R285" s="553">
        <f t="shared" ref="R285:R290" si="215">+IF($L285-$J285&lt;=0,-$L285+$J285,0)</f>
        <v>0</v>
      </c>
      <c r="S285" s="553">
        <f t="shared" si="212"/>
        <v>0</v>
      </c>
      <c r="T285" s="553"/>
      <c r="U285" s="553">
        <f t="shared" si="213"/>
        <v>0</v>
      </c>
      <c r="V285" s="553"/>
    </row>
    <row r="286" spans="2:22" ht="21" customHeight="1" x14ac:dyDescent="0.25">
      <c r="B286" s="554">
        <f t="shared" si="206"/>
        <v>6.0299999999999994</v>
      </c>
      <c r="C286" s="584" t="e">
        <f t="shared" si="154"/>
        <v>#REF!</v>
      </c>
      <c r="D286" s="495" t="s">
        <v>52</v>
      </c>
      <c r="E286" s="496"/>
      <c r="F286" s="497"/>
      <c r="G286" s="530" t="s">
        <v>11</v>
      </c>
      <c r="H286" s="553">
        <v>1.5</v>
      </c>
      <c r="I286" s="553"/>
      <c r="J286" s="553">
        <v>45</v>
      </c>
      <c r="K286" s="553">
        <f t="shared" si="207"/>
        <v>67.5</v>
      </c>
      <c r="L286" s="553">
        <f t="shared" si="208"/>
        <v>0</v>
      </c>
      <c r="M286" s="553">
        <f t="shared" si="209"/>
        <v>0</v>
      </c>
      <c r="N286" s="553">
        <f t="shared" si="214"/>
        <v>0</v>
      </c>
      <c r="O286" s="553">
        <f t="shared" si="210"/>
        <v>0</v>
      </c>
      <c r="P286" s="553"/>
      <c r="Q286" s="553">
        <f t="shared" si="211"/>
        <v>0</v>
      </c>
      <c r="R286" s="553">
        <f t="shared" si="215"/>
        <v>45</v>
      </c>
      <c r="S286" s="553">
        <f t="shared" si="212"/>
        <v>67.5</v>
      </c>
      <c r="T286" s="553">
        <f>+R286</f>
        <v>45</v>
      </c>
      <c r="U286" s="553">
        <f t="shared" si="213"/>
        <v>67.5</v>
      </c>
      <c r="V286" s="553" t="s">
        <v>894</v>
      </c>
    </row>
    <row r="287" spans="2:22" ht="21" customHeight="1" x14ac:dyDescent="0.25">
      <c r="B287" s="554">
        <f t="shared" si="206"/>
        <v>6.0399999999999991</v>
      </c>
      <c r="C287" s="584" t="e">
        <f t="shared" si="154"/>
        <v>#REF!</v>
      </c>
      <c r="D287" s="495" t="s">
        <v>53</v>
      </c>
      <c r="E287" s="496"/>
      <c r="F287" s="497"/>
      <c r="G287" s="530" t="s">
        <v>11</v>
      </c>
      <c r="H287" s="553">
        <v>0.26</v>
      </c>
      <c r="I287" s="553"/>
      <c r="J287" s="553">
        <v>45</v>
      </c>
      <c r="K287" s="553">
        <f t="shared" si="207"/>
        <v>11.7</v>
      </c>
      <c r="L287" s="553">
        <f t="shared" si="208"/>
        <v>0</v>
      </c>
      <c r="M287" s="553">
        <f t="shared" si="209"/>
        <v>0</v>
      </c>
      <c r="N287" s="553">
        <f t="shared" si="214"/>
        <v>0</v>
      </c>
      <c r="O287" s="553">
        <f t="shared" si="210"/>
        <v>0</v>
      </c>
      <c r="P287" s="553"/>
      <c r="Q287" s="553">
        <f t="shared" si="211"/>
        <v>0</v>
      </c>
      <c r="R287" s="553">
        <f t="shared" si="215"/>
        <v>45</v>
      </c>
      <c r="S287" s="553">
        <f t="shared" si="212"/>
        <v>11.7</v>
      </c>
      <c r="T287" s="553">
        <f>+R287</f>
        <v>45</v>
      </c>
      <c r="U287" s="553">
        <f t="shared" si="213"/>
        <v>11.7</v>
      </c>
      <c r="V287" s="553" t="s">
        <v>894</v>
      </c>
    </row>
    <row r="288" spans="2:22" ht="21" customHeight="1" x14ac:dyDescent="0.25">
      <c r="B288" s="562">
        <f t="shared" si="206"/>
        <v>6.0499999999999989</v>
      </c>
      <c r="C288" s="576" t="e">
        <f t="shared" si="154"/>
        <v>#REF!</v>
      </c>
      <c r="D288" s="502" t="s">
        <v>332</v>
      </c>
      <c r="E288" s="496"/>
      <c r="F288" s="497"/>
      <c r="G288" s="530" t="s">
        <v>11</v>
      </c>
      <c r="H288" s="553">
        <v>0.04</v>
      </c>
      <c r="I288" s="553"/>
      <c r="J288" s="553">
        <v>45</v>
      </c>
      <c r="K288" s="553">
        <f t="shared" si="207"/>
        <v>1.8</v>
      </c>
      <c r="L288" s="553">
        <f t="shared" si="208"/>
        <v>80</v>
      </c>
      <c r="M288" s="553">
        <f t="shared" si="209"/>
        <v>3.2</v>
      </c>
      <c r="N288" s="553">
        <f t="shared" si="214"/>
        <v>35</v>
      </c>
      <c r="O288" s="553">
        <f t="shared" si="210"/>
        <v>1.4</v>
      </c>
      <c r="P288" s="553"/>
      <c r="Q288" s="553">
        <f t="shared" si="211"/>
        <v>0</v>
      </c>
      <c r="R288" s="553">
        <f t="shared" si="215"/>
        <v>0</v>
      </c>
      <c r="S288" s="553">
        <f t="shared" si="212"/>
        <v>0</v>
      </c>
      <c r="T288" s="553"/>
      <c r="U288" s="553">
        <f t="shared" si="213"/>
        <v>0</v>
      </c>
      <c r="V288" s="553"/>
    </row>
    <row r="289" spans="2:22" ht="21" customHeight="1" x14ac:dyDescent="0.25">
      <c r="B289" s="562">
        <f t="shared" si="206"/>
        <v>6.0599999999999987</v>
      </c>
      <c r="C289" s="576" t="e">
        <f t="shared" si="154"/>
        <v>#REF!</v>
      </c>
      <c r="D289" s="495" t="s">
        <v>45</v>
      </c>
      <c r="E289" s="496"/>
      <c r="F289" s="497"/>
      <c r="G289" s="530" t="s">
        <v>11</v>
      </c>
      <c r="H289" s="553">
        <v>0.03</v>
      </c>
      <c r="I289" s="553"/>
      <c r="J289" s="553">
        <v>45</v>
      </c>
      <c r="K289" s="553">
        <f t="shared" si="207"/>
        <v>1.35</v>
      </c>
      <c r="L289" s="553">
        <f t="shared" si="208"/>
        <v>143</v>
      </c>
      <c r="M289" s="553">
        <f t="shared" si="209"/>
        <v>4.29</v>
      </c>
      <c r="N289" s="553">
        <f t="shared" si="214"/>
        <v>98</v>
      </c>
      <c r="O289" s="553">
        <f t="shared" si="210"/>
        <v>2.94</v>
      </c>
      <c r="P289" s="553"/>
      <c r="Q289" s="553">
        <f t="shared" si="211"/>
        <v>0</v>
      </c>
      <c r="R289" s="553">
        <f t="shared" si="215"/>
        <v>0</v>
      </c>
      <c r="S289" s="553">
        <f t="shared" si="212"/>
        <v>0</v>
      </c>
      <c r="T289" s="553"/>
      <c r="U289" s="553">
        <f t="shared" si="213"/>
        <v>0</v>
      </c>
      <c r="V289" s="553"/>
    </row>
    <row r="290" spans="2:22" ht="21" customHeight="1" x14ac:dyDescent="0.25">
      <c r="B290" s="562">
        <f t="shared" si="206"/>
        <v>6.0699999999999985</v>
      </c>
      <c r="C290" s="576" t="e">
        <f t="shared" si="154"/>
        <v>#REF!</v>
      </c>
      <c r="D290" s="502" t="s">
        <v>322</v>
      </c>
      <c r="E290" s="496"/>
      <c r="F290" s="497"/>
      <c r="G290" s="530" t="s">
        <v>11</v>
      </c>
      <c r="H290" s="553">
        <v>0.02</v>
      </c>
      <c r="I290" s="553"/>
      <c r="J290" s="553">
        <v>45</v>
      </c>
      <c r="K290" s="553">
        <f t="shared" si="207"/>
        <v>0.9</v>
      </c>
      <c r="L290" s="553">
        <f t="shared" si="208"/>
        <v>17</v>
      </c>
      <c r="M290" s="553">
        <f t="shared" si="209"/>
        <v>0.34</v>
      </c>
      <c r="N290" s="553">
        <f t="shared" si="214"/>
        <v>0</v>
      </c>
      <c r="O290" s="553">
        <f t="shared" si="210"/>
        <v>0</v>
      </c>
      <c r="P290" s="553"/>
      <c r="Q290" s="553">
        <f t="shared" si="211"/>
        <v>0</v>
      </c>
      <c r="R290" s="553">
        <f t="shared" si="215"/>
        <v>28</v>
      </c>
      <c r="S290" s="553">
        <f t="shared" si="212"/>
        <v>0.56000000000000005</v>
      </c>
      <c r="T290" s="553">
        <f>+R290</f>
        <v>28</v>
      </c>
      <c r="U290" s="553">
        <f t="shared" si="213"/>
        <v>0.56000000000000005</v>
      </c>
      <c r="V290" s="553" t="s">
        <v>895</v>
      </c>
    </row>
    <row r="291" spans="2:22" s="547" customFormat="1" ht="21" customHeight="1" x14ac:dyDescent="0.25">
      <c r="B291" s="559">
        <f t="shared" si="206"/>
        <v>6.0799999999999983</v>
      </c>
      <c r="C291" s="575" t="e">
        <f t="shared" si="154"/>
        <v>#REF!</v>
      </c>
      <c r="D291" s="501" t="s">
        <v>333</v>
      </c>
      <c r="E291" s="638"/>
      <c r="F291" s="639"/>
      <c r="G291" s="564" t="s">
        <v>11</v>
      </c>
      <c r="H291" s="640"/>
      <c r="I291" s="640">
        <f>+H286+H287</f>
        <v>1.76</v>
      </c>
      <c r="J291" s="640"/>
      <c r="K291" s="640">
        <f t="shared" si="207"/>
        <v>0</v>
      </c>
      <c r="L291" s="560">
        <f t="shared" si="208"/>
        <v>80</v>
      </c>
      <c r="M291" s="640">
        <f>+ROUND($I291*L291,2)</f>
        <v>140.80000000000001</v>
      </c>
      <c r="N291" s="560"/>
      <c r="O291" s="560">
        <f t="shared" si="210"/>
        <v>0</v>
      </c>
      <c r="P291" s="640">
        <f>+L291</f>
        <v>80</v>
      </c>
      <c r="Q291" s="640">
        <f>+ROUND($I291*P291,2)</f>
        <v>140.80000000000001</v>
      </c>
      <c r="R291" s="640"/>
      <c r="S291" s="560">
        <f t="shared" si="212"/>
        <v>0</v>
      </c>
      <c r="T291" s="640"/>
      <c r="U291" s="560">
        <f t="shared" si="213"/>
        <v>0</v>
      </c>
      <c r="V291" s="640"/>
    </row>
    <row r="292" spans="2:22" ht="21" customHeight="1" x14ac:dyDescent="0.25">
      <c r="B292" s="456"/>
      <c r="C292" s="466" t="e">
        <f t="shared" si="154"/>
        <v>#REF!</v>
      </c>
      <c r="D292" s="537"/>
      <c r="E292" s="538"/>
      <c r="F292" s="533" t="str">
        <f>+"SUB-TOTAL   "&amp;B283&amp;":  "</f>
        <v xml:space="preserve">SUB-TOTAL   6:  </v>
      </c>
      <c r="G292" s="440"/>
      <c r="H292" s="449"/>
      <c r="I292" s="449"/>
      <c r="J292" s="449"/>
      <c r="K292" s="451">
        <f>+SUM(K284:K291)</f>
        <v>252.45000000000002</v>
      </c>
      <c r="L292" s="449"/>
      <c r="M292" s="451">
        <f>+SUM(M284:M291)</f>
        <v>449.43</v>
      </c>
      <c r="N292" s="451"/>
      <c r="O292" s="451">
        <f>+SUM(O284:O291)</f>
        <v>143.46</v>
      </c>
      <c r="P292" s="451"/>
      <c r="Q292" s="451">
        <f>+SUM(Q284:Q291)</f>
        <v>140.80000000000001</v>
      </c>
      <c r="R292" s="451"/>
      <c r="S292" s="451">
        <f>+SUM(S284:S291)</f>
        <v>87.28</v>
      </c>
      <c r="T292" s="451"/>
      <c r="U292" s="451">
        <f>+SUM(U284:U291)</f>
        <v>87.28</v>
      </c>
      <c r="V292" s="451"/>
    </row>
    <row r="293" spans="2:22" ht="21" customHeight="1" x14ac:dyDescent="0.25">
      <c r="B293" s="452">
        <f>+B283+1</f>
        <v>7</v>
      </c>
      <c r="C293" s="466" t="e">
        <f t="shared" si="154"/>
        <v>#REF!</v>
      </c>
      <c r="D293" s="453" t="s">
        <v>20</v>
      </c>
      <c r="E293" s="445"/>
      <c r="F293" s="446"/>
      <c r="G293" s="440"/>
      <c r="H293" s="438"/>
      <c r="I293" s="438"/>
      <c r="J293" s="438"/>
      <c r="K293" s="438"/>
      <c r="L293" s="438"/>
      <c r="M293" s="438"/>
      <c r="N293" s="438"/>
      <c r="O293" s="438"/>
      <c r="P293" s="438"/>
      <c r="Q293" s="438"/>
      <c r="R293" s="438"/>
      <c r="S293" s="438"/>
      <c r="T293" s="438"/>
      <c r="U293" s="438"/>
      <c r="V293" s="438"/>
    </row>
    <row r="294" spans="2:22" ht="21" customHeight="1" x14ac:dyDescent="0.25">
      <c r="B294" s="562">
        <f t="shared" ref="B294:B307" si="216">+B293+0.01</f>
        <v>7.01</v>
      </c>
      <c r="C294" s="576" t="e">
        <f t="shared" si="154"/>
        <v>#REF!</v>
      </c>
      <c r="D294" s="502" t="s">
        <v>54</v>
      </c>
      <c r="E294" s="496"/>
      <c r="F294" s="497"/>
      <c r="G294" s="530" t="s">
        <v>13</v>
      </c>
      <c r="H294" s="553">
        <v>0.57999999999999996</v>
      </c>
      <c r="I294" s="553"/>
      <c r="J294" s="553">
        <v>1076</v>
      </c>
      <c r="K294" s="553">
        <f t="shared" ref="K294:K307" si="217">+ROUND($H294*J294,2)</f>
        <v>624.08000000000004</v>
      </c>
      <c r="L294" s="553">
        <f t="shared" ref="L294:L307" si="218">+L69</f>
        <v>0</v>
      </c>
      <c r="M294" s="553">
        <f t="shared" ref="M294:M305" si="219">+ROUND($H294*L294,2)</f>
        <v>0</v>
      </c>
      <c r="N294" s="553">
        <f>+IF($L294-$J294&gt;=0,$L294-$J294,0)</f>
        <v>0</v>
      </c>
      <c r="O294" s="553">
        <f t="shared" ref="O294:O307" si="220">+ROUND($H294*N294,2)</f>
        <v>0</v>
      </c>
      <c r="P294" s="553"/>
      <c r="Q294" s="553">
        <f t="shared" ref="Q294:Q305" si="221">+ROUND($H294*P294,2)</f>
        <v>0</v>
      </c>
      <c r="R294" s="553">
        <f>+IF($L294-$J294&lt;=0,-$L294+$J294,0)</f>
        <v>1076</v>
      </c>
      <c r="S294" s="553">
        <f t="shared" ref="S294:S307" si="222">+ROUND($H294*R294,2)</f>
        <v>624.08000000000004</v>
      </c>
      <c r="T294" s="553"/>
      <c r="U294" s="553">
        <f t="shared" ref="U294:U307" si="223">+ROUND($H294*T294,2)</f>
        <v>0</v>
      </c>
      <c r="V294" s="553"/>
    </row>
    <row r="295" spans="2:22" ht="21" customHeight="1" x14ac:dyDescent="0.25">
      <c r="B295" s="562">
        <f t="shared" si="216"/>
        <v>7.02</v>
      </c>
      <c r="C295" s="576" t="e">
        <f t="shared" si="154"/>
        <v>#REF!</v>
      </c>
      <c r="D295" s="502" t="s">
        <v>334</v>
      </c>
      <c r="E295" s="496"/>
      <c r="F295" s="497"/>
      <c r="G295" s="530" t="s">
        <v>11</v>
      </c>
      <c r="H295" s="553">
        <v>0.36</v>
      </c>
      <c r="I295" s="553"/>
      <c r="J295" s="553">
        <v>106</v>
      </c>
      <c r="K295" s="553">
        <f t="shared" si="217"/>
        <v>38.159999999999997</v>
      </c>
      <c r="L295" s="553">
        <f t="shared" si="218"/>
        <v>117</v>
      </c>
      <c r="M295" s="553">
        <f t="shared" si="219"/>
        <v>42.12</v>
      </c>
      <c r="N295" s="553">
        <f t="shared" ref="N295:N305" si="224">+IF($L295-$J295&gt;=0,$L295-$J295,0)</f>
        <v>11</v>
      </c>
      <c r="O295" s="553">
        <f t="shared" si="220"/>
        <v>3.96</v>
      </c>
      <c r="P295" s="553"/>
      <c r="Q295" s="553">
        <f t="shared" si="221"/>
        <v>0</v>
      </c>
      <c r="R295" s="553">
        <f t="shared" ref="R295:R305" si="225">+IF($L295-$J295&lt;=0,-$L295+$J295,0)</f>
        <v>0</v>
      </c>
      <c r="S295" s="553">
        <f t="shared" si="222"/>
        <v>0</v>
      </c>
      <c r="T295" s="553"/>
      <c r="U295" s="553">
        <f t="shared" si="223"/>
        <v>0</v>
      </c>
      <c r="V295" s="553"/>
    </row>
    <row r="296" spans="2:22" ht="21" customHeight="1" x14ac:dyDescent="0.25">
      <c r="B296" s="562">
        <f t="shared" si="216"/>
        <v>7.0299999999999994</v>
      </c>
      <c r="C296" s="576" t="e">
        <f t="shared" si="154"/>
        <v>#REF!</v>
      </c>
      <c r="D296" s="502" t="s">
        <v>55</v>
      </c>
      <c r="E296" s="498"/>
      <c r="F296" s="499"/>
      <c r="G296" s="530" t="s">
        <v>11</v>
      </c>
      <c r="H296" s="553">
        <v>0.38</v>
      </c>
      <c r="I296" s="553"/>
      <c r="J296" s="553">
        <v>3</v>
      </c>
      <c r="K296" s="553">
        <f t="shared" si="217"/>
        <v>1.1399999999999999</v>
      </c>
      <c r="L296" s="553">
        <f t="shared" si="218"/>
        <v>3</v>
      </c>
      <c r="M296" s="553">
        <f t="shared" si="219"/>
        <v>1.1399999999999999</v>
      </c>
      <c r="N296" s="553">
        <f t="shared" si="224"/>
        <v>0</v>
      </c>
      <c r="O296" s="553">
        <f t="shared" si="220"/>
        <v>0</v>
      </c>
      <c r="P296" s="557"/>
      <c r="Q296" s="553">
        <f t="shared" si="221"/>
        <v>0</v>
      </c>
      <c r="R296" s="553">
        <f t="shared" si="225"/>
        <v>0</v>
      </c>
      <c r="S296" s="553">
        <f t="shared" si="222"/>
        <v>0</v>
      </c>
      <c r="T296" s="557"/>
      <c r="U296" s="553">
        <f t="shared" si="223"/>
        <v>0</v>
      </c>
      <c r="V296" s="557"/>
    </row>
    <row r="297" spans="2:22" ht="21" customHeight="1" x14ac:dyDescent="0.25">
      <c r="B297" s="562">
        <f t="shared" si="216"/>
        <v>7.0399999999999991</v>
      </c>
      <c r="C297" s="576" t="e">
        <f t="shared" si="154"/>
        <v>#REF!</v>
      </c>
      <c r="D297" s="502" t="s">
        <v>21</v>
      </c>
      <c r="E297" s="500"/>
      <c r="F297" s="494"/>
      <c r="G297" s="530" t="s">
        <v>11</v>
      </c>
      <c r="H297" s="553">
        <v>2.37</v>
      </c>
      <c r="I297" s="553"/>
      <c r="J297" s="553">
        <v>109</v>
      </c>
      <c r="K297" s="553">
        <f t="shared" si="217"/>
        <v>258.33</v>
      </c>
      <c r="L297" s="553">
        <f t="shared" si="218"/>
        <v>120</v>
      </c>
      <c r="M297" s="553">
        <f t="shared" si="219"/>
        <v>284.39999999999998</v>
      </c>
      <c r="N297" s="553">
        <f t="shared" si="224"/>
        <v>11</v>
      </c>
      <c r="O297" s="553">
        <f t="shared" si="220"/>
        <v>26.07</v>
      </c>
      <c r="P297" s="553"/>
      <c r="Q297" s="553">
        <f t="shared" si="221"/>
        <v>0</v>
      </c>
      <c r="R297" s="553">
        <f t="shared" si="225"/>
        <v>0</v>
      </c>
      <c r="S297" s="553">
        <f t="shared" si="222"/>
        <v>0</v>
      </c>
      <c r="T297" s="553"/>
      <c r="U297" s="553">
        <f t="shared" si="223"/>
        <v>0</v>
      </c>
      <c r="V297" s="553"/>
    </row>
    <row r="298" spans="2:22" ht="21" customHeight="1" x14ac:dyDescent="0.25">
      <c r="B298" s="562">
        <f t="shared" si="216"/>
        <v>7.0499999999999989</v>
      </c>
      <c r="C298" s="576" t="e">
        <f t="shared" si="154"/>
        <v>#REF!</v>
      </c>
      <c r="D298" s="502" t="s">
        <v>24</v>
      </c>
      <c r="E298" s="496"/>
      <c r="F298" s="497"/>
      <c r="G298" s="530" t="s">
        <v>11</v>
      </c>
      <c r="H298" s="553">
        <v>0.2</v>
      </c>
      <c r="I298" s="553"/>
      <c r="J298" s="553">
        <v>109</v>
      </c>
      <c r="K298" s="553">
        <f t="shared" si="217"/>
        <v>21.8</v>
      </c>
      <c r="L298" s="553">
        <f t="shared" si="218"/>
        <v>120</v>
      </c>
      <c r="M298" s="553">
        <f t="shared" si="219"/>
        <v>24</v>
      </c>
      <c r="N298" s="553">
        <f t="shared" si="224"/>
        <v>11</v>
      </c>
      <c r="O298" s="553">
        <f t="shared" si="220"/>
        <v>2.2000000000000002</v>
      </c>
      <c r="P298" s="553"/>
      <c r="Q298" s="553">
        <f t="shared" si="221"/>
        <v>0</v>
      </c>
      <c r="R298" s="553">
        <f t="shared" si="225"/>
        <v>0</v>
      </c>
      <c r="S298" s="553">
        <f t="shared" si="222"/>
        <v>0</v>
      </c>
      <c r="T298" s="553"/>
      <c r="U298" s="553">
        <f t="shared" si="223"/>
        <v>0</v>
      </c>
      <c r="V298" s="553"/>
    </row>
    <row r="299" spans="2:22" ht="21" customHeight="1" x14ac:dyDescent="0.25">
      <c r="B299" s="562">
        <f t="shared" si="216"/>
        <v>7.0599999999999987</v>
      </c>
      <c r="C299" s="576" t="e">
        <f t="shared" si="154"/>
        <v>#REF!</v>
      </c>
      <c r="D299" s="502" t="s">
        <v>22</v>
      </c>
      <c r="E299" s="496"/>
      <c r="F299" s="497"/>
      <c r="G299" s="530" t="s">
        <v>11</v>
      </c>
      <c r="H299" s="553">
        <v>0.85</v>
      </c>
      <c r="I299" s="553"/>
      <c r="J299" s="553">
        <v>218</v>
      </c>
      <c r="K299" s="553">
        <f t="shared" si="217"/>
        <v>185.3</v>
      </c>
      <c r="L299" s="553">
        <f t="shared" si="218"/>
        <v>240</v>
      </c>
      <c r="M299" s="553">
        <f t="shared" si="219"/>
        <v>204</v>
      </c>
      <c r="N299" s="553">
        <f t="shared" si="224"/>
        <v>22</v>
      </c>
      <c r="O299" s="553">
        <f t="shared" si="220"/>
        <v>18.7</v>
      </c>
      <c r="P299" s="553"/>
      <c r="Q299" s="553">
        <f t="shared" si="221"/>
        <v>0</v>
      </c>
      <c r="R299" s="553">
        <f t="shared" si="225"/>
        <v>0</v>
      </c>
      <c r="S299" s="553">
        <f t="shared" si="222"/>
        <v>0</v>
      </c>
      <c r="T299" s="553"/>
      <c r="U299" s="553">
        <f t="shared" si="223"/>
        <v>0</v>
      </c>
      <c r="V299" s="553"/>
    </row>
    <row r="300" spans="2:22" ht="21" customHeight="1" x14ac:dyDescent="0.25">
      <c r="B300" s="562">
        <f t="shared" si="216"/>
        <v>7.0699999999999985</v>
      </c>
      <c r="C300" s="576" t="e">
        <f t="shared" si="154"/>
        <v>#REF!</v>
      </c>
      <c r="D300" s="502" t="s">
        <v>335</v>
      </c>
      <c r="E300" s="496"/>
      <c r="F300" s="497"/>
      <c r="G300" s="530" t="s">
        <v>11</v>
      </c>
      <c r="H300" s="553">
        <v>0.09</v>
      </c>
      <c r="I300" s="553"/>
      <c r="J300" s="553">
        <v>218</v>
      </c>
      <c r="K300" s="553">
        <f t="shared" si="217"/>
        <v>19.62</v>
      </c>
      <c r="L300" s="553">
        <f t="shared" si="218"/>
        <v>240</v>
      </c>
      <c r="M300" s="553">
        <f t="shared" si="219"/>
        <v>21.6</v>
      </c>
      <c r="N300" s="553">
        <f t="shared" si="224"/>
        <v>22</v>
      </c>
      <c r="O300" s="553">
        <f t="shared" si="220"/>
        <v>1.98</v>
      </c>
      <c r="P300" s="553"/>
      <c r="Q300" s="553">
        <f t="shared" si="221"/>
        <v>0</v>
      </c>
      <c r="R300" s="553">
        <f t="shared" si="225"/>
        <v>0</v>
      </c>
      <c r="S300" s="553">
        <f t="shared" si="222"/>
        <v>0</v>
      </c>
      <c r="T300" s="553"/>
      <c r="U300" s="553">
        <f t="shared" si="223"/>
        <v>0</v>
      </c>
      <c r="V300" s="553"/>
    </row>
    <row r="301" spans="2:22" ht="21" customHeight="1" x14ac:dyDescent="0.25">
      <c r="B301" s="562">
        <f t="shared" si="216"/>
        <v>7.0799999999999983</v>
      </c>
      <c r="C301" s="576" t="e">
        <f t="shared" si="154"/>
        <v>#REF!</v>
      </c>
      <c r="D301" s="502" t="s">
        <v>39</v>
      </c>
      <c r="E301" s="496"/>
      <c r="F301" s="497"/>
      <c r="G301" s="530" t="s">
        <v>11</v>
      </c>
      <c r="H301" s="553">
        <v>1.59</v>
      </c>
      <c r="I301" s="553"/>
      <c r="J301" s="553">
        <v>14</v>
      </c>
      <c r="K301" s="553">
        <f t="shared" si="217"/>
        <v>22.26</v>
      </c>
      <c r="L301" s="553">
        <f t="shared" si="218"/>
        <v>27</v>
      </c>
      <c r="M301" s="553">
        <f t="shared" si="219"/>
        <v>42.93</v>
      </c>
      <c r="N301" s="553">
        <f t="shared" si="224"/>
        <v>13</v>
      </c>
      <c r="O301" s="553">
        <f t="shared" si="220"/>
        <v>20.67</v>
      </c>
      <c r="P301" s="553"/>
      <c r="Q301" s="553">
        <f t="shared" si="221"/>
        <v>0</v>
      </c>
      <c r="R301" s="553">
        <f t="shared" si="225"/>
        <v>0</v>
      </c>
      <c r="S301" s="553">
        <f t="shared" si="222"/>
        <v>0</v>
      </c>
      <c r="T301" s="553"/>
      <c r="U301" s="553">
        <f t="shared" si="223"/>
        <v>0</v>
      </c>
      <c r="V301" s="553"/>
    </row>
    <row r="302" spans="2:22" ht="21" customHeight="1" x14ac:dyDescent="0.25">
      <c r="B302" s="562">
        <f t="shared" si="216"/>
        <v>7.0899999999999981</v>
      </c>
      <c r="C302" s="576" t="e">
        <f t="shared" si="154"/>
        <v>#REF!</v>
      </c>
      <c r="D302" s="502" t="s">
        <v>23</v>
      </c>
      <c r="E302" s="496"/>
      <c r="F302" s="497"/>
      <c r="G302" s="530" t="s">
        <v>13</v>
      </c>
      <c r="H302" s="553">
        <v>0.02</v>
      </c>
      <c r="I302" s="553"/>
      <c r="J302" s="553">
        <v>327</v>
      </c>
      <c r="K302" s="553">
        <f t="shared" si="217"/>
        <v>6.54</v>
      </c>
      <c r="L302" s="553">
        <f t="shared" si="218"/>
        <v>360</v>
      </c>
      <c r="M302" s="553">
        <f t="shared" si="219"/>
        <v>7.2</v>
      </c>
      <c r="N302" s="553">
        <f t="shared" si="224"/>
        <v>33</v>
      </c>
      <c r="O302" s="553">
        <f t="shared" si="220"/>
        <v>0.66</v>
      </c>
      <c r="P302" s="553"/>
      <c r="Q302" s="553">
        <f t="shared" si="221"/>
        <v>0</v>
      </c>
      <c r="R302" s="553">
        <f t="shared" si="225"/>
        <v>0</v>
      </c>
      <c r="S302" s="553">
        <f t="shared" si="222"/>
        <v>0</v>
      </c>
      <c r="T302" s="553"/>
      <c r="U302" s="553">
        <f t="shared" si="223"/>
        <v>0</v>
      </c>
      <c r="V302" s="553"/>
    </row>
    <row r="303" spans="2:22" ht="21" customHeight="1" x14ac:dyDescent="0.25">
      <c r="B303" s="562">
        <f t="shared" si="216"/>
        <v>7.0999999999999979</v>
      </c>
      <c r="C303" s="576" t="e">
        <f t="shared" si="154"/>
        <v>#REF!</v>
      </c>
      <c r="D303" s="502" t="s">
        <v>56</v>
      </c>
      <c r="E303" s="496"/>
      <c r="F303" s="497"/>
      <c r="G303" s="530" t="s">
        <v>11</v>
      </c>
      <c r="H303" s="553">
        <v>23.88</v>
      </c>
      <c r="I303" s="553"/>
      <c r="J303" s="553">
        <v>109</v>
      </c>
      <c r="K303" s="553">
        <f t="shared" si="217"/>
        <v>2602.92</v>
      </c>
      <c r="L303" s="553">
        <f t="shared" si="218"/>
        <v>120</v>
      </c>
      <c r="M303" s="553">
        <f t="shared" si="219"/>
        <v>2865.6</v>
      </c>
      <c r="N303" s="553">
        <f t="shared" si="224"/>
        <v>11</v>
      </c>
      <c r="O303" s="553">
        <f t="shared" si="220"/>
        <v>262.68</v>
      </c>
      <c r="P303" s="553"/>
      <c r="Q303" s="553">
        <f t="shared" si="221"/>
        <v>0</v>
      </c>
      <c r="R303" s="553">
        <f t="shared" si="225"/>
        <v>0</v>
      </c>
      <c r="S303" s="553">
        <f t="shared" si="222"/>
        <v>0</v>
      </c>
      <c r="T303" s="553"/>
      <c r="U303" s="553">
        <f t="shared" si="223"/>
        <v>0</v>
      </c>
      <c r="V303" s="553"/>
    </row>
    <row r="304" spans="2:22" ht="21" customHeight="1" x14ac:dyDescent="0.25">
      <c r="B304" s="562">
        <f t="shared" si="216"/>
        <v>7.1099999999999977</v>
      </c>
      <c r="C304" s="576" t="e">
        <f t="shared" si="154"/>
        <v>#REF!</v>
      </c>
      <c r="D304" s="502" t="s">
        <v>322</v>
      </c>
      <c r="E304" s="496"/>
      <c r="F304" s="497"/>
      <c r="G304" s="530" t="s">
        <v>11</v>
      </c>
      <c r="H304" s="553">
        <v>0.02</v>
      </c>
      <c r="I304" s="553"/>
      <c r="J304" s="553">
        <v>109</v>
      </c>
      <c r="K304" s="553">
        <f t="shared" si="217"/>
        <v>2.1800000000000002</v>
      </c>
      <c r="L304" s="553">
        <f t="shared" si="218"/>
        <v>120</v>
      </c>
      <c r="M304" s="553">
        <f t="shared" si="219"/>
        <v>2.4</v>
      </c>
      <c r="N304" s="553">
        <f t="shared" si="224"/>
        <v>11</v>
      </c>
      <c r="O304" s="553">
        <f t="shared" si="220"/>
        <v>0.22</v>
      </c>
      <c r="P304" s="553"/>
      <c r="Q304" s="553">
        <f t="shared" si="221"/>
        <v>0</v>
      </c>
      <c r="R304" s="553">
        <f t="shared" si="225"/>
        <v>0</v>
      </c>
      <c r="S304" s="553">
        <f t="shared" si="222"/>
        <v>0</v>
      </c>
      <c r="T304" s="553"/>
      <c r="U304" s="553">
        <f t="shared" si="223"/>
        <v>0</v>
      </c>
      <c r="V304" s="553"/>
    </row>
    <row r="305" spans="1:22" s="459" customFormat="1" ht="21" customHeight="1" x14ac:dyDescent="0.25">
      <c r="B305" s="554">
        <f t="shared" si="216"/>
        <v>7.1199999999999974</v>
      </c>
      <c r="C305" s="584" t="e">
        <f t="shared" si="154"/>
        <v>#REF!</v>
      </c>
      <c r="D305" s="495" t="s">
        <v>57</v>
      </c>
      <c r="E305" s="534"/>
      <c r="F305" s="535"/>
      <c r="G305" s="530" t="s">
        <v>11</v>
      </c>
      <c r="H305" s="553">
        <v>0.12</v>
      </c>
      <c r="I305" s="553"/>
      <c r="J305" s="553">
        <v>109</v>
      </c>
      <c r="K305" s="553">
        <f t="shared" si="217"/>
        <v>13.08</v>
      </c>
      <c r="L305" s="553">
        <f t="shared" si="218"/>
        <v>120</v>
      </c>
      <c r="M305" s="553">
        <f t="shared" si="219"/>
        <v>14.4</v>
      </c>
      <c r="N305" s="553">
        <f t="shared" si="224"/>
        <v>11</v>
      </c>
      <c r="O305" s="553">
        <f t="shared" si="220"/>
        <v>1.32</v>
      </c>
      <c r="P305" s="553"/>
      <c r="Q305" s="553">
        <f t="shared" si="221"/>
        <v>0</v>
      </c>
      <c r="R305" s="553">
        <f t="shared" si="225"/>
        <v>0</v>
      </c>
      <c r="S305" s="553">
        <f t="shared" si="222"/>
        <v>0</v>
      </c>
      <c r="T305" s="557"/>
      <c r="U305" s="553">
        <f t="shared" si="223"/>
        <v>0</v>
      </c>
      <c r="V305" s="557"/>
    </row>
    <row r="306" spans="1:22" s="547" customFormat="1" ht="21" customHeight="1" x14ac:dyDescent="0.25">
      <c r="B306" s="559">
        <f t="shared" si="216"/>
        <v>7.1299999999999972</v>
      </c>
      <c r="C306" s="577" t="e">
        <f t="shared" ref="C306:C352" si="226">+C305+1</f>
        <v>#REF!</v>
      </c>
      <c r="D306" s="501" t="s">
        <v>1018</v>
      </c>
      <c r="E306" s="635"/>
      <c r="F306" s="636"/>
      <c r="G306" s="564" t="s">
        <v>13</v>
      </c>
      <c r="H306" s="560"/>
      <c r="I306" s="560">
        <f>+H294</f>
        <v>0.57999999999999996</v>
      </c>
      <c r="J306" s="560"/>
      <c r="K306" s="560">
        <f t="shared" si="217"/>
        <v>0</v>
      </c>
      <c r="L306" s="560">
        <f t="shared" si="218"/>
        <v>1173</v>
      </c>
      <c r="M306" s="560">
        <f>+ROUND($I306*L306,2)</f>
        <v>680.34</v>
      </c>
      <c r="N306" s="560"/>
      <c r="O306" s="560">
        <f t="shared" si="220"/>
        <v>0</v>
      </c>
      <c r="P306" s="658">
        <f>+L306</f>
        <v>1173</v>
      </c>
      <c r="Q306" s="560">
        <f>+ROUND($I306*P306,2)</f>
        <v>680.34</v>
      </c>
      <c r="R306" s="641"/>
      <c r="S306" s="560">
        <f t="shared" si="222"/>
        <v>0</v>
      </c>
      <c r="T306" s="641"/>
      <c r="U306" s="560">
        <f t="shared" si="223"/>
        <v>0</v>
      </c>
      <c r="V306" s="641"/>
    </row>
    <row r="307" spans="1:22" s="547" customFormat="1" ht="21" hidden="1" customHeight="1" x14ac:dyDescent="0.25">
      <c r="B307" s="559">
        <f t="shared" si="216"/>
        <v>7.139999999999997</v>
      </c>
      <c r="C307" s="575" t="e">
        <f t="shared" si="226"/>
        <v>#REF!</v>
      </c>
      <c r="D307" s="501" t="s">
        <v>336</v>
      </c>
      <c r="E307" s="642"/>
      <c r="F307" s="643"/>
      <c r="G307" s="766" t="s">
        <v>11</v>
      </c>
      <c r="H307" s="640"/>
      <c r="I307" s="640"/>
      <c r="J307" s="633"/>
      <c r="K307" s="633">
        <f t="shared" si="217"/>
        <v>0</v>
      </c>
      <c r="L307" s="560">
        <f t="shared" si="218"/>
        <v>0</v>
      </c>
      <c r="M307" s="560">
        <f>+ROUND($I307*L307,2)</f>
        <v>0</v>
      </c>
      <c r="N307" s="560"/>
      <c r="O307" s="560">
        <f t="shared" si="220"/>
        <v>0</v>
      </c>
      <c r="P307" s="633">
        <f>+L307</f>
        <v>0</v>
      </c>
      <c r="Q307" s="560">
        <f>+ROUND($I307*P307,2)</f>
        <v>0</v>
      </c>
      <c r="R307" s="633"/>
      <c r="S307" s="560">
        <f t="shared" si="222"/>
        <v>0</v>
      </c>
      <c r="T307" s="633"/>
      <c r="U307" s="560">
        <f t="shared" si="223"/>
        <v>0</v>
      </c>
      <c r="V307" s="633"/>
    </row>
    <row r="308" spans="1:22" ht="21" customHeight="1" x14ac:dyDescent="0.25">
      <c r="B308" s="456"/>
      <c r="C308" s="482" t="e">
        <f t="shared" si="226"/>
        <v>#REF!</v>
      </c>
      <c r="D308" s="537"/>
      <c r="E308" s="538"/>
      <c r="F308" s="533" t="str">
        <f>+"SUB-TOTAL   "&amp;B293&amp;":  "</f>
        <v xml:space="preserve">SUB-TOTAL   7:  </v>
      </c>
      <c r="G308" s="440"/>
      <c r="H308" s="449"/>
      <c r="I308" s="449"/>
      <c r="J308" s="449"/>
      <c r="K308" s="451">
        <f>+SUM(K294:K307)</f>
        <v>3795.4099999999994</v>
      </c>
      <c r="L308" s="449"/>
      <c r="M308" s="451">
        <f>+SUM(M294:M307)</f>
        <v>4190.13</v>
      </c>
      <c r="N308" s="451"/>
      <c r="O308" s="451">
        <f>+SUM(O294:O307)</f>
        <v>338.46000000000004</v>
      </c>
      <c r="P308" s="451"/>
      <c r="Q308" s="451">
        <f>+SUM(Q294:Q307)</f>
        <v>680.34</v>
      </c>
      <c r="R308" s="451"/>
      <c r="S308" s="451">
        <f>+SUM(S294:S307)</f>
        <v>624.08000000000004</v>
      </c>
      <c r="T308" s="451"/>
      <c r="U308" s="451">
        <f>+SUM(U294:U307)</f>
        <v>0</v>
      </c>
      <c r="V308" s="451"/>
    </row>
    <row r="309" spans="1:22" ht="21" customHeight="1" x14ac:dyDescent="0.25">
      <c r="B309" s="452">
        <f>+B293+1</f>
        <v>8</v>
      </c>
      <c r="C309" s="482" t="e">
        <f t="shared" si="226"/>
        <v>#REF!</v>
      </c>
      <c r="D309" s="453" t="s">
        <v>58</v>
      </c>
      <c r="E309" s="445"/>
      <c r="F309" s="446"/>
      <c r="G309" s="440"/>
      <c r="H309" s="438"/>
      <c r="I309" s="438"/>
      <c r="J309" s="438"/>
      <c r="K309" s="438"/>
      <c r="L309" s="438"/>
      <c r="M309" s="438"/>
      <c r="N309" s="438"/>
      <c r="O309" s="438"/>
      <c r="P309" s="438"/>
      <c r="Q309" s="438"/>
      <c r="R309" s="438"/>
      <c r="S309" s="438"/>
      <c r="T309" s="438"/>
      <c r="U309" s="438"/>
      <c r="V309" s="457"/>
    </row>
    <row r="310" spans="1:22" ht="21" customHeight="1" x14ac:dyDescent="0.25">
      <c r="B310" s="562">
        <f>+B309+0.01</f>
        <v>8.01</v>
      </c>
      <c r="C310" s="576" t="e">
        <f t="shared" si="226"/>
        <v>#REF!</v>
      </c>
      <c r="D310" s="502" t="s">
        <v>59</v>
      </c>
      <c r="E310" s="496"/>
      <c r="F310" s="497"/>
      <c r="G310" s="530" t="s">
        <v>11</v>
      </c>
      <c r="H310" s="553">
        <v>0.5</v>
      </c>
      <c r="I310" s="553"/>
      <c r="J310" s="553">
        <v>141</v>
      </c>
      <c r="K310" s="553">
        <f t="shared" ref="K310:K325" si="227">+ROUND($H310*J310,2)</f>
        <v>70.5</v>
      </c>
      <c r="L310" s="553">
        <f t="shared" ref="L310:L325" si="228">+L85</f>
        <v>160</v>
      </c>
      <c r="M310" s="553">
        <f t="shared" ref="M310:M323" si="229">+ROUND($H310*L310,2)</f>
        <v>80</v>
      </c>
      <c r="N310" s="553">
        <f>+IF($L310-$J310&gt;=0,$L310-$J310,0)</f>
        <v>19</v>
      </c>
      <c r="O310" s="553">
        <f t="shared" ref="O310:O325" si="230">+ROUND($H310*N310,2)</f>
        <v>9.5</v>
      </c>
      <c r="P310" s="553"/>
      <c r="Q310" s="553">
        <f t="shared" ref="Q310:Q323" si="231">+ROUND($H310*P310,2)</f>
        <v>0</v>
      </c>
      <c r="R310" s="553">
        <f>+IF($L310-$J310&lt;=0,-$L310+$J310,0)</f>
        <v>0</v>
      </c>
      <c r="S310" s="553">
        <f t="shared" ref="S310:S325" si="232">+ROUND($H310*R310,2)</f>
        <v>0</v>
      </c>
      <c r="T310" s="553"/>
      <c r="U310" s="553">
        <f t="shared" ref="U310:U325" si="233">+ROUND($H310*T310,2)</f>
        <v>0</v>
      </c>
      <c r="V310" s="553"/>
    </row>
    <row r="311" spans="1:22" ht="21" customHeight="1" x14ac:dyDescent="0.25">
      <c r="B311" s="562">
        <f t="shared" ref="B311:B325" si="234">+B310+0.01</f>
        <v>8.02</v>
      </c>
      <c r="C311" s="576" t="e">
        <f t="shared" si="226"/>
        <v>#REF!</v>
      </c>
      <c r="D311" s="502" t="s">
        <v>337</v>
      </c>
      <c r="E311" s="496"/>
      <c r="F311" s="497"/>
      <c r="G311" s="530" t="s">
        <v>11</v>
      </c>
      <c r="H311" s="553">
        <v>0.54</v>
      </c>
      <c r="I311" s="553"/>
      <c r="J311" s="553">
        <v>22</v>
      </c>
      <c r="K311" s="553">
        <f t="shared" si="227"/>
        <v>11.88</v>
      </c>
      <c r="L311" s="553">
        <f t="shared" si="228"/>
        <v>22</v>
      </c>
      <c r="M311" s="553">
        <f t="shared" si="229"/>
        <v>11.88</v>
      </c>
      <c r="N311" s="553">
        <f t="shared" ref="N311:N323" si="235">+IF($L311-$J311&gt;=0,$L311-$J311,0)</f>
        <v>0</v>
      </c>
      <c r="O311" s="553">
        <f t="shared" si="230"/>
        <v>0</v>
      </c>
      <c r="P311" s="553"/>
      <c r="Q311" s="553">
        <f t="shared" si="231"/>
        <v>0</v>
      </c>
      <c r="R311" s="553">
        <f t="shared" ref="R311:R323" si="236">+IF($L311-$J311&lt;=0,-$L311+$J311,0)</f>
        <v>0</v>
      </c>
      <c r="S311" s="553">
        <f t="shared" si="232"/>
        <v>0</v>
      </c>
      <c r="T311" s="553"/>
      <c r="U311" s="553">
        <f t="shared" si="233"/>
        <v>0</v>
      </c>
      <c r="V311" s="553"/>
    </row>
    <row r="312" spans="1:22" ht="21" customHeight="1" x14ac:dyDescent="0.25">
      <c r="B312" s="562">
        <f t="shared" si="234"/>
        <v>8.0299999999999994</v>
      </c>
      <c r="C312" s="576" t="e">
        <f t="shared" si="226"/>
        <v>#REF!</v>
      </c>
      <c r="D312" s="502" t="s">
        <v>338</v>
      </c>
      <c r="E312" s="503"/>
      <c r="F312" s="504"/>
      <c r="G312" s="530" t="s">
        <v>11</v>
      </c>
      <c r="H312" s="553">
        <v>0.32</v>
      </c>
      <c r="I312" s="553"/>
      <c r="J312" s="553">
        <v>248</v>
      </c>
      <c r="K312" s="553">
        <f t="shared" si="227"/>
        <v>79.36</v>
      </c>
      <c r="L312" s="553">
        <f t="shared" si="228"/>
        <v>126</v>
      </c>
      <c r="M312" s="553">
        <f t="shared" si="229"/>
        <v>40.32</v>
      </c>
      <c r="N312" s="553">
        <f t="shared" si="235"/>
        <v>0</v>
      </c>
      <c r="O312" s="553">
        <f t="shared" si="230"/>
        <v>0</v>
      </c>
      <c r="P312" s="563"/>
      <c r="Q312" s="553">
        <f t="shared" si="231"/>
        <v>0</v>
      </c>
      <c r="R312" s="553">
        <f t="shared" si="236"/>
        <v>122</v>
      </c>
      <c r="S312" s="553">
        <f t="shared" si="232"/>
        <v>39.04</v>
      </c>
      <c r="T312" s="563"/>
      <c r="U312" s="553">
        <f t="shared" si="233"/>
        <v>0</v>
      </c>
      <c r="V312" s="563"/>
    </row>
    <row r="313" spans="1:22" s="458" customFormat="1" ht="21" customHeight="1" x14ac:dyDescent="0.25">
      <c r="A313" s="414"/>
      <c r="B313" s="562">
        <f t="shared" si="234"/>
        <v>8.0399999999999991</v>
      </c>
      <c r="C313" s="576" t="e">
        <f t="shared" si="226"/>
        <v>#REF!</v>
      </c>
      <c r="D313" s="502" t="s">
        <v>339</v>
      </c>
      <c r="E313" s="503"/>
      <c r="F313" s="504"/>
      <c r="G313" s="530" t="s">
        <v>11</v>
      </c>
      <c r="H313" s="553">
        <v>0.32</v>
      </c>
      <c r="I313" s="553"/>
      <c r="J313" s="553">
        <v>50</v>
      </c>
      <c r="K313" s="553">
        <f t="shared" si="227"/>
        <v>16</v>
      </c>
      <c r="L313" s="553">
        <f t="shared" si="228"/>
        <v>16</v>
      </c>
      <c r="M313" s="553">
        <f t="shared" si="229"/>
        <v>5.12</v>
      </c>
      <c r="N313" s="553">
        <f t="shared" si="235"/>
        <v>0</v>
      </c>
      <c r="O313" s="553">
        <f t="shared" si="230"/>
        <v>0</v>
      </c>
      <c r="P313" s="563"/>
      <c r="Q313" s="553">
        <f t="shared" si="231"/>
        <v>0</v>
      </c>
      <c r="R313" s="553">
        <f t="shared" si="236"/>
        <v>34</v>
      </c>
      <c r="S313" s="553">
        <f t="shared" si="232"/>
        <v>10.88</v>
      </c>
      <c r="T313" s="563"/>
      <c r="U313" s="553">
        <f t="shared" si="233"/>
        <v>0</v>
      </c>
      <c r="V313" s="563"/>
    </row>
    <row r="314" spans="1:22" ht="21" customHeight="1" x14ac:dyDescent="0.25">
      <c r="B314" s="562">
        <f t="shared" si="234"/>
        <v>8.0499999999999989</v>
      </c>
      <c r="C314" s="576" t="e">
        <f t="shared" si="226"/>
        <v>#REF!</v>
      </c>
      <c r="D314" s="502" t="s">
        <v>15</v>
      </c>
      <c r="E314" s="503"/>
      <c r="F314" s="504"/>
      <c r="G314" s="530" t="s">
        <v>11</v>
      </c>
      <c r="H314" s="553">
        <v>0.45</v>
      </c>
      <c r="I314" s="553"/>
      <c r="J314" s="553">
        <v>127</v>
      </c>
      <c r="K314" s="553">
        <f t="shared" si="227"/>
        <v>57.15</v>
      </c>
      <c r="L314" s="553">
        <f t="shared" si="228"/>
        <v>158</v>
      </c>
      <c r="M314" s="553">
        <f t="shared" si="229"/>
        <v>71.099999999999994</v>
      </c>
      <c r="N314" s="553">
        <f t="shared" si="235"/>
        <v>31</v>
      </c>
      <c r="O314" s="553">
        <f t="shared" si="230"/>
        <v>13.95</v>
      </c>
      <c r="P314" s="563"/>
      <c r="Q314" s="553">
        <f t="shared" si="231"/>
        <v>0</v>
      </c>
      <c r="R314" s="553">
        <f t="shared" si="236"/>
        <v>0</v>
      </c>
      <c r="S314" s="553">
        <f t="shared" si="232"/>
        <v>0</v>
      </c>
      <c r="T314" s="563"/>
      <c r="U314" s="553">
        <f t="shared" si="233"/>
        <v>0</v>
      </c>
      <c r="V314" s="563"/>
    </row>
    <row r="315" spans="1:22" ht="21" customHeight="1" x14ac:dyDescent="0.25">
      <c r="B315" s="562">
        <f t="shared" si="234"/>
        <v>8.0599999999999987</v>
      </c>
      <c r="C315" s="576" t="e">
        <f t="shared" si="226"/>
        <v>#REF!</v>
      </c>
      <c r="D315" s="502" t="s">
        <v>60</v>
      </c>
      <c r="E315" s="503"/>
      <c r="F315" s="504"/>
      <c r="G315" s="530" t="s">
        <v>11</v>
      </c>
      <c r="H315" s="553">
        <v>0.54</v>
      </c>
      <c r="I315" s="553"/>
      <c r="J315" s="553">
        <v>33</v>
      </c>
      <c r="K315" s="553">
        <f t="shared" si="227"/>
        <v>17.82</v>
      </c>
      <c r="L315" s="553">
        <f t="shared" si="228"/>
        <v>38</v>
      </c>
      <c r="M315" s="553">
        <f t="shared" si="229"/>
        <v>20.52</v>
      </c>
      <c r="N315" s="553">
        <f t="shared" si="235"/>
        <v>5</v>
      </c>
      <c r="O315" s="553">
        <f t="shared" si="230"/>
        <v>2.7</v>
      </c>
      <c r="P315" s="563"/>
      <c r="Q315" s="553">
        <f t="shared" si="231"/>
        <v>0</v>
      </c>
      <c r="R315" s="553">
        <f t="shared" si="236"/>
        <v>0</v>
      </c>
      <c r="S315" s="553">
        <f t="shared" si="232"/>
        <v>0</v>
      </c>
      <c r="T315" s="563"/>
      <c r="U315" s="553">
        <f t="shared" si="233"/>
        <v>0</v>
      </c>
      <c r="V315" s="563"/>
    </row>
    <row r="316" spans="1:22" ht="21" customHeight="1" x14ac:dyDescent="0.25">
      <c r="B316" s="562">
        <f t="shared" si="234"/>
        <v>8.0699999999999985</v>
      </c>
      <c r="C316" s="576" t="e">
        <f t="shared" si="226"/>
        <v>#REF!</v>
      </c>
      <c r="D316" s="502" t="s">
        <v>16</v>
      </c>
      <c r="E316" s="496"/>
      <c r="F316" s="497"/>
      <c r="G316" s="530" t="s">
        <v>11</v>
      </c>
      <c r="H316" s="553">
        <v>0.48</v>
      </c>
      <c r="I316" s="553"/>
      <c r="J316" s="553">
        <v>58</v>
      </c>
      <c r="K316" s="553">
        <f t="shared" si="227"/>
        <v>27.84</v>
      </c>
      <c r="L316" s="553">
        <f t="shared" si="228"/>
        <v>100</v>
      </c>
      <c r="M316" s="553">
        <f t="shared" si="229"/>
        <v>48</v>
      </c>
      <c r="N316" s="553">
        <f t="shared" si="235"/>
        <v>42</v>
      </c>
      <c r="O316" s="553">
        <f t="shared" si="230"/>
        <v>20.16</v>
      </c>
      <c r="P316" s="553"/>
      <c r="Q316" s="553">
        <f t="shared" si="231"/>
        <v>0</v>
      </c>
      <c r="R316" s="553">
        <f t="shared" si="236"/>
        <v>0</v>
      </c>
      <c r="S316" s="553">
        <f t="shared" si="232"/>
        <v>0</v>
      </c>
      <c r="T316" s="553"/>
      <c r="U316" s="553">
        <f t="shared" si="233"/>
        <v>0</v>
      </c>
      <c r="V316" s="553"/>
    </row>
    <row r="317" spans="1:22" ht="21" customHeight="1" x14ac:dyDescent="0.25">
      <c r="B317" s="554">
        <f t="shared" si="234"/>
        <v>8.0799999999999983</v>
      </c>
      <c r="C317" s="584" t="e">
        <f t="shared" si="226"/>
        <v>#REF!</v>
      </c>
      <c r="D317" s="495" t="s">
        <v>19</v>
      </c>
      <c r="E317" s="534"/>
      <c r="F317" s="535"/>
      <c r="G317" s="530" t="s">
        <v>13</v>
      </c>
      <c r="H317" s="553">
        <v>0.45</v>
      </c>
      <c r="I317" s="553"/>
      <c r="J317" s="553">
        <v>2</v>
      </c>
      <c r="K317" s="553">
        <f t="shared" si="227"/>
        <v>0.9</v>
      </c>
      <c r="L317" s="553">
        <f t="shared" si="228"/>
        <v>9</v>
      </c>
      <c r="M317" s="553">
        <f t="shared" si="229"/>
        <v>4.05</v>
      </c>
      <c r="N317" s="553">
        <f t="shared" si="235"/>
        <v>7</v>
      </c>
      <c r="O317" s="553">
        <f t="shared" si="230"/>
        <v>3.15</v>
      </c>
      <c r="P317" s="553"/>
      <c r="Q317" s="553">
        <f t="shared" si="231"/>
        <v>0</v>
      </c>
      <c r="R317" s="553">
        <f t="shared" si="236"/>
        <v>0</v>
      </c>
      <c r="S317" s="553">
        <f t="shared" si="232"/>
        <v>0</v>
      </c>
      <c r="T317" s="557"/>
      <c r="U317" s="553">
        <f t="shared" si="233"/>
        <v>0</v>
      </c>
      <c r="V317" s="557"/>
    </row>
    <row r="318" spans="1:22" ht="21" customHeight="1" x14ac:dyDescent="0.25">
      <c r="B318" s="562">
        <f t="shared" si="234"/>
        <v>8.0899999999999981</v>
      </c>
      <c r="C318" s="576" t="e">
        <f t="shared" si="226"/>
        <v>#REF!</v>
      </c>
      <c r="D318" s="505" t="s">
        <v>340</v>
      </c>
      <c r="E318" s="498"/>
      <c r="F318" s="499"/>
      <c r="G318" s="530" t="s">
        <v>11</v>
      </c>
      <c r="H318" s="553">
        <v>7.0000000000000007E-2</v>
      </c>
      <c r="I318" s="553"/>
      <c r="J318" s="553">
        <v>296</v>
      </c>
      <c r="K318" s="553">
        <f t="shared" si="227"/>
        <v>20.72</v>
      </c>
      <c r="L318" s="553">
        <f t="shared" si="228"/>
        <v>80</v>
      </c>
      <c r="M318" s="553">
        <f t="shared" si="229"/>
        <v>5.6</v>
      </c>
      <c r="N318" s="553">
        <f t="shared" si="235"/>
        <v>0</v>
      </c>
      <c r="O318" s="553">
        <f t="shared" si="230"/>
        <v>0</v>
      </c>
      <c r="P318" s="557"/>
      <c r="Q318" s="553">
        <f t="shared" si="231"/>
        <v>0</v>
      </c>
      <c r="R318" s="553">
        <f t="shared" si="236"/>
        <v>216</v>
      </c>
      <c r="S318" s="553">
        <f t="shared" si="232"/>
        <v>15.12</v>
      </c>
      <c r="T318" s="553">
        <f>+N319</f>
        <v>97</v>
      </c>
      <c r="U318" s="553">
        <f t="shared" si="233"/>
        <v>6.79</v>
      </c>
      <c r="V318" s="553" t="s">
        <v>896</v>
      </c>
    </row>
    <row r="319" spans="1:22" ht="21" customHeight="1" x14ac:dyDescent="0.25">
      <c r="B319" s="562">
        <f t="shared" si="234"/>
        <v>8.0999999999999979</v>
      </c>
      <c r="C319" s="576" t="e">
        <f t="shared" si="226"/>
        <v>#REF!</v>
      </c>
      <c r="D319" s="502" t="s">
        <v>335</v>
      </c>
      <c r="E319" s="506"/>
      <c r="F319" s="507"/>
      <c r="G319" s="530" t="s">
        <v>11</v>
      </c>
      <c r="H319" s="553">
        <v>0.09</v>
      </c>
      <c r="I319" s="553"/>
      <c r="J319" s="553">
        <v>483</v>
      </c>
      <c r="K319" s="553">
        <f t="shared" si="227"/>
        <v>43.47</v>
      </c>
      <c r="L319" s="553">
        <f t="shared" si="228"/>
        <v>580</v>
      </c>
      <c r="M319" s="553">
        <f t="shared" si="229"/>
        <v>52.2</v>
      </c>
      <c r="N319" s="553">
        <f t="shared" si="235"/>
        <v>97</v>
      </c>
      <c r="O319" s="553">
        <f t="shared" si="230"/>
        <v>8.73</v>
      </c>
      <c r="P319" s="553"/>
      <c r="Q319" s="553">
        <f t="shared" si="231"/>
        <v>0</v>
      </c>
      <c r="R319" s="553">
        <f t="shared" si="236"/>
        <v>0</v>
      </c>
      <c r="S319" s="553">
        <f t="shared" si="232"/>
        <v>0</v>
      </c>
      <c r="T319" s="553"/>
      <c r="U319" s="553">
        <f t="shared" si="233"/>
        <v>0</v>
      </c>
      <c r="V319" s="553"/>
    </row>
    <row r="320" spans="1:22" ht="21" customHeight="1" x14ac:dyDescent="0.25">
      <c r="B320" s="562">
        <f t="shared" si="234"/>
        <v>8.1099999999999977</v>
      </c>
      <c r="C320" s="576" t="e">
        <f t="shared" si="226"/>
        <v>#REF!</v>
      </c>
      <c r="D320" s="502" t="s">
        <v>341</v>
      </c>
      <c r="E320" s="506"/>
      <c r="F320" s="508"/>
      <c r="G320" s="530" t="s">
        <v>11</v>
      </c>
      <c r="H320" s="553">
        <v>1.05</v>
      </c>
      <c r="I320" s="553"/>
      <c r="J320" s="553">
        <v>2</v>
      </c>
      <c r="K320" s="553">
        <f t="shared" si="227"/>
        <v>2.1</v>
      </c>
      <c r="L320" s="553">
        <f t="shared" si="228"/>
        <v>9</v>
      </c>
      <c r="M320" s="553">
        <f t="shared" si="229"/>
        <v>9.4499999999999993</v>
      </c>
      <c r="N320" s="553">
        <f t="shared" si="235"/>
        <v>7</v>
      </c>
      <c r="O320" s="553">
        <f t="shared" si="230"/>
        <v>7.35</v>
      </c>
      <c r="P320" s="586"/>
      <c r="Q320" s="553">
        <f t="shared" si="231"/>
        <v>0</v>
      </c>
      <c r="R320" s="553">
        <f t="shared" si="236"/>
        <v>0</v>
      </c>
      <c r="S320" s="553">
        <f t="shared" si="232"/>
        <v>0</v>
      </c>
      <c r="T320" s="586"/>
      <c r="U320" s="553">
        <f t="shared" si="233"/>
        <v>0</v>
      </c>
      <c r="V320" s="586"/>
    </row>
    <row r="321" spans="2:22" ht="21" customHeight="1" x14ac:dyDescent="0.25">
      <c r="B321" s="562">
        <f t="shared" si="234"/>
        <v>8.1199999999999974</v>
      </c>
      <c r="C321" s="576" t="e">
        <f t="shared" si="226"/>
        <v>#REF!</v>
      </c>
      <c r="D321" s="509" t="s">
        <v>61</v>
      </c>
      <c r="E321" s="506"/>
      <c r="F321" s="508"/>
      <c r="G321" s="530" t="s">
        <v>11</v>
      </c>
      <c r="H321" s="553">
        <v>0.19</v>
      </c>
      <c r="I321" s="553"/>
      <c r="J321" s="553">
        <v>300</v>
      </c>
      <c r="K321" s="553">
        <f t="shared" si="227"/>
        <v>57</v>
      </c>
      <c r="L321" s="553">
        <f t="shared" si="228"/>
        <v>204</v>
      </c>
      <c r="M321" s="553">
        <f t="shared" si="229"/>
        <v>38.76</v>
      </c>
      <c r="N321" s="553">
        <f t="shared" si="235"/>
        <v>0</v>
      </c>
      <c r="O321" s="553">
        <f t="shared" si="230"/>
        <v>0</v>
      </c>
      <c r="P321" s="587"/>
      <c r="Q321" s="553">
        <f t="shared" si="231"/>
        <v>0</v>
      </c>
      <c r="R321" s="553">
        <f t="shared" si="236"/>
        <v>96</v>
      </c>
      <c r="S321" s="553">
        <f t="shared" si="232"/>
        <v>18.239999999999998</v>
      </c>
      <c r="T321" s="587"/>
      <c r="U321" s="553">
        <f t="shared" si="233"/>
        <v>0</v>
      </c>
      <c r="V321" s="587"/>
    </row>
    <row r="322" spans="2:22" ht="21" customHeight="1" x14ac:dyDescent="0.25">
      <c r="B322" s="554">
        <f t="shared" si="234"/>
        <v>8.1299999999999972</v>
      </c>
      <c r="C322" s="576" t="e">
        <f t="shared" si="226"/>
        <v>#REF!</v>
      </c>
      <c r="D322" s="510" t="s">
        <v>342</v>
      </c>
      <c r="E322" s="506"/>
      <c r="F322" s="508"/>
      <c r="G322" s="530" t="s">
        <v>11</v>
      </c>
      <c r="H322" s="553">
        <v>0.1</v>
      </c>
      <c r="I322" s="553"/>
      <c r="J322" s="553">
        <v>9</v>
      </c>
      <c r="K322" s="553">
        <f t="shared" si="227"/>
        <v>0.9</v>
      </c>
      <c r="L322" s="553">
        <f t="shared" si="228"/>
        <v>0</v>
      </c>
      <c r="M322" s="553">
        <f t="shared" si="229"/>
        <v>0</v>
      </c>
      <c r="N322" s="553">
        <f t="shared" si="235"/>
        <v>0</v>
      </c>
      <c r="O322" s="553">
        <f t="shared" si="230"/>
        <v>0</v>
      </c>
      <c r="P322" s="586"/>
      <c r="Q322" s="553">
        <f t="shared" si="231"/>
        <v>0</v>
      </c>
      <c r="R322" s="553">
        <f t="shared" si="236"/>
        <v>9</v>
      </c>
      <c r="S322" s="553">
        <f t="shared" si="232"/>
        <v>0.9</v>
      </c>
      <c r="T322" s="586">
        <f>+N323</f>
        <v>7</v>
      </c>
      <c r="U322" s="553">
        <f t="shared" si="233"/>
        <v>0.7</v>
      </c>
      <c r="V322" s="553" t="s">
        <v>897</v>
      </c>
    </row>
    <row r="323" spans="2:22" ht="21" customHeight="1" x14ac:dyDescent="0.25">
      <c r="B323" s="562">
        <f t="shared" si="234"/>
        <v>8.139999999999997</v>
      </c>
      <c r="C323" s="576" t="e">
        <f t="shared" si="226"/>
        <v>#REF!</v>
      </c>
      <c r="D323" s="510" t="s">
        <v>17</v>
      </c>
      <c r="E323" s="506"/>
      <c r="F323" s="508"/>
      <c r="G323" s="530" t="s">
        <v>18</v>
      </c>
      <c r="H323" s="553">
        <v>0.22</v>
      </c>
      <c r="I323" s="553"/>
      <c r="J323" s="553">
        <v>29</v>
      </c>
      <c r="K323" s="553">
        <f t="shared" si="227"/>
        <v>6.38</v>
      </c>
      <c r="L323" s="553">
        <f t="shared" si="228"/>
        <v>36</v>
      </c>
      <c r="M323" s="553">
        <f t="shared" si="229"/>
        <v>7.92</v>
      </c>
      <c r="N323" s="553">
        <f t="shared" si="235"/>
        <v>7</v>
      </c>
      <c r="O323" s="553">
        <f t="shared" si="230"/>
        <v>1.54</v>
      </c>
      <c r="P323" s="588"/>
      <c r="Q323" s="553">
        <f t="shared" si="231"/>
        <v>0</v>
      </c>
      <c r="R323" s="553">
        <f t="shared" si="236"/>
        <v>0</v>
      </c>
      <c r="S323" s="553">
        <f t="shared" si="232"/>
        <v>0</v>
      </c>
      <c r="T323" s="588"/>
      <c r="U323" s="553">
        <f t="shared" si="233"/>
        <v>0</v>
      </c>
      <c r="V323" s="588"/>
    </row>
    <row r="324" spans="2:22" s="547" customFormat="1" ht="21" customHeight="1" x14ac:dyDescent="0.25">
      <c r="B324" s="559">
        <f t="shared" si="234"/>
        <v>8.1499999999999968</v>
      </c>
      <c r="C324" s="577" t="e">
        <f t="shared" si="226"/>
        <v>#REF!</v>
      </c>
      <c r="D324" s="501" t="s">
        <v>343</v>
      </c>
      <c r="E324" s="644"/>
      <c r="F324" s="645"/>
      <c r="G324" s="531" t="s">
        <v>18</v>
      </c>
      <c r="H324" s="560"/>
      <c r="I324" s="560">
        <f>+H320*2</f>
        <v>2.1</v>
      </c>
      <c r="J324" s="560"/>
      <c r="K324" s="560">
        <f t="shared" si="227"/>
        <v>0</v>
      </c>
      <c r="L324" s="560">
        <f t="shared" si="228"/>
        <v>3</v>
      </c>
      <c r="M324" s="560">
        <f>+ROUND($I324*L324,2)</f>
        <v>6.3</v>
      </c>
      <c r="N324" s="560"/>
      <c r="O324" s="560">
        <f t="shared" si="230"/>
        <v>0</v>
      </c>
      <c r="P324" s="560">
        <f>+L324</f>
        <v>3</v>
      </c>
      <c r="Q324" s="560">
        <f>+ROUND($I324*P324,2)</f>
        <v>6.3</v>
      </c>
      <c r="R324" s="560"/>
      <c r="S324" s="560">
        <f t="shared" si="232"/>
        <v>0</v>
      </c>
      <c r="T324" s="560"/>
      <c r="U324" s="560">
        <f t="shared" si="233"/>
        <v>0</v>
      </c>
      <c r="V324" s="560"/>
    </row>
    <row r="325" spans="2:22" s="547" customFormat="1" ht="21" customHeight="1" x14ac:dyDescent="0.25">
      <c r="B325" s="559">
        <f t="shared" si="234"/>
        <v>8.1599999999999966</v>
      </c>
      <c r="C325" s="575" t="e">
        <f t="shared" si="226"/>
        <v>#REF!</v>
      </c>
      <c r="D325" s="501" t="s">
        <v>344</v>
      </c>
      <c r="E325" s="644"/>
      <c r="F325" s="645"/>
      <c r="G325" s="564" t="s">
        <v>11</v>
      </c>
      <c r="H325" s="640"/>
      <c r="I325" s="640">
        <f>+H312</f>
        <v>0.32</v>
      </c>
      <c r="J325" s="640"/>
      <c r="K325" s="640">
        <f t="shared" si="227"/>
        <v>0</v>
      </c>
      <c r="L325" s="560">
        <f t="shared" si="228"/>
        <v>6</v>
      </c>
      <c r="M325" s="560">
        <f>+ROUND($I325*L325,2)</f>
        <v>1.92</v>
      </c>
      <c r="N325" s="560"/>
      <c r="O325" s="560">
        <f t="shared" si="230"/>
        <v>0</v>
      </c>
      <c r="P325" s="633">
        <f>+L325</f>
        <v>6</v>
      </c>
      <c r="Q325" s="560">
        <f>+ROUND($I325*P325,2)</f>
        <v>1.92</v>
      </c>
      <c r="R325" s="633"/>
      <c r="S325" s="560">
        <f t="shared" si="232"/>
        <v>0</v>
      </c>
      <c r="T325" s="633"/>
      <c r="U325" s="560">
        <f t="shared" si="233"/>
        <v>0</v>
      </c>
      <c r="V325" s="633"/>
    </row>
    <row r="326" spans="2:22" ht="21" customHeight="1" x14ac:dyDescent="0.25">
      <c r="B326" s="456"/>
      <c r="C326" s="466" t="e">
        <f t="shared" si="226"/>
        <v>#REF!</v>
      </c>
      <c r="D326" s="537"/>
      <c r="E326" s="595"/>
      <c r="F326" s="544" t="str">
        <f>+"SUB-TOTAL   "&amp;B309&amp;":  "</f>
        <v xml:space="preserve">SUB-TOTAL   8:  </v>
      </c>
      <c r="G326" s="440"/>
      <c r="H326" s="540"/>
      <c r="I326" s="540"/>
      <c r="J326" s="540"/>
      <c r="K326" s="589">
        <f>+SUM(K310:K325)</f>
        <v>412.02</v>
      </c>
      <c r="L326" s="540"/>
      <c r="M326" s="589">
        <f>+SUM(M310:M325)</f>
        <v>403.14000000000004</v>
      </c>
      <c r="N326" s="589"/>
      <c r="O326" s="589">
        <f>+SUM(O310:O325)</f>
        <v>67.08</v>
      </c>
      <c r="P326" s="589"/>
      <c r="Q326" s="589">
        <f>+SUM(Q310:Q325)</f>
        <v>8.2199999999999989</v>
      </c>
      <c r="R326" s="589"/>
      <c r="S326" s="589">
        <f>+SUM(S310:S325)</f>
        <v>84.18</v>
      </c>
      <c r="T326" s="589"/>
      <c r="U326" s="589">
        <f>+SUM(U310:U325)</f>
        <v>7.49</v>
      </c>
      <c r="V326" s="589"/>
    </row>
    <row r="327" spans="2:22" ht="21" customHeight="1" x14ac:dyDescent="0.25">
      <c r="B327" s="452">
        <f>1+B309</f>
        <v>9</v>
      </c>
      <c r="C327" s="466" t="e">
        <f t="shared" si="226"/>
        <v>#REF!</v>
      </c>
      <c r="D327" s="453" t="s">
        <v>62</v>
      </c>
      <c r="E327" s="445"/>
      <c r="F327" s="446"/>
      <c r="G327" s="440"/>
      <c r="H327" s="590"/>
      <c r="I327" s="711"/>
      <c r="J327" s="591"/>
      <c r="K327" s="592"/>
      <c r="L327" s="591"/>
      <c r="M327" s="592"/>
      <c r="N327" s="590"/>
      <c r="O327" s="592"/>
      <c r="P327" s="590"/>
      <c r="Q327" s="592"/>
      <c r="R327" s="590"/>
      <c r="S327" s="592"/>
      <c r="T327" s="590"/>
      <c r="U327" s="592"/>
      <c r="V327" s="590"/>
    </row>
    <row r="328" spans="2:22" ht="21" customHeight="1" x14ac:dyDescent="0.25">
      <c r="B328" s="562">
        <f t="shared" ref="B328:B335" si="237">+B327+0.01</f>
        <v>9.01</v>
      </c>
      <c r="C328" s="576" t="e">
        <f t="shared" si="226"/>
        <v>#REF!</v>
      </c>
      <c r="D328" s="502" t="s">
        <v>25</v>
      </c>
      <c r="E328" s="513"/>
      <c r="F328" s="499"/>
      <c r="G328" s="530" t="s">
        <v>11</v>
      </c>
      <c r="H328" s="593">
        <v>2.59</v>
      </c>
      <c r="I328" s="712"/>
      <c r="J328" s="553">
        <v>72</v>
      </c>
      <c r="K328" s="558">
        <f t="shared" ref="K328:K335" si="238">+ROUND($H328*J328,2)</f>
        <v>186.48</v>
      </c>
      <c r="L328" s="553">
        <f t="shared" ref="L328:L335" si="239">+L103</f>
        <v>76</v>
      </c>
      <c r="M328" s="558">
        <f t="shared" ref="M328:M334" si="240">+ROUND($H328*L328,2)</f>
        <v>196.84</v>
      </c>
      <c r="N328" s="558">
        <f>+IF($L328-$J328&gt;=0,$L328-$J328,0)</f>
        <v>4</v>
      </c>
      <c r="O328" s="558">
        <f t="shared" ref="O328:O335" si="241">+ROUND($H328*N328,2)</f>
        <v>10.36</v>
      </c>
      <c r="P328" s="593"/>
      <c r="Q328" s="558">
        <f t="shared" ref="Q328:Q334" si="242">+ROUND($H328*P328,2)</f>
        <v>0</v>
      </c>
      <c r="R328" s="553">
        <f>+IF($L328-$J328&lt;=0,-$L328+$J328,0)</f>
        <v>0</v>
      </c>
      <c r="S328" s="558">
        <f t="shared" ref="S328:S335" si="243">+ROUND($H328*R328,2)</f>
        <v>0</v>
      </c>
      <c r="T328" s="593"/>
      <c r="U328" s="558">
        <f t="shared" ref="U328:U335" si="244">+ROUND($H328*T328,2)</f>
        <v>0</v>
      </c>
      <c r="V328" s="593"/>
    </row>
    <row r="329" spans="2:22" ht="21" customHeight="1" x14ac:dyDescent="0.25">
      <c r="B329" s="562">
        <f t="shared" si="237"/>
        <v>9.02</v>
      </c>
      <c r="C329" s="576" t="e">
        <f t="shared" si="226"/>
        <v>#REF!</v>
      </c>
      <c r="D329" s="502" t="s">
        <v>345</v>
      </c>
      <c r="E329" s="514"/>
      <c r="F329" s="515"/>
      <c r="G329" s="530" t="s">
        <v>11</v>
      </c>
      <c r="H329" s="553">
        <v>0.02</v>
      </c>
      <c r="I329" s="553"/>
      <c r="J329" s="553">
        <v>72</v>
      </c>
      <c r="K329" s="558">
        <f t="shared" si="238"/>
        <v>1.44</v>
      </c>
      <c r="L329" s="553">
        <f t="shared" si="239"/>
        <v>22</v>
      </c>
      <c r="M329" s="558">
        <f t="shared" si="240"/>
        <v>0.44</v>
      </c>
      <c r="N329" s="558">
        <f t="shared" ref="N329:N334" si="245">+IF($L329-$J329&gt;=0,$L329-$J329,0)</f>
        <v>0</v>
      </c>
      <c r="O329" s="558">
        <f t="shared" si="241"/>
        <v>0</v>
      </c>
      <c r="P329" s="553"/>
      <c r="Q329" s="558">
        <f t="shared" si="242"/>
        <v>0</v>
      </c>
      <c r="R329" s="553">
        <f t="shared" ref="R329:R334" si="246">+IF($L329-$J329&lt;=0,-$L329+$J329,0)</f>
        <v>50</v>
      </c>
      <c r="S329" s="558">
        <f t="shared" si="243"/>
        <v>1</v>
      </c>
      <c r="T329" s="553"/>
      <c r="U329" s="558">
        <f t="shared" si="244"/>
        <v>0</v>
      </c>
      <c r="V329" s="553"/>
    </row>
    <row r="330" spans="2:22" ht="21" customHeight="1" x14ac:dyDescent="0.25">
      <c r="B330" s="562">
        <f t="shared" si="237"/>
        <v>9.0299999999999994</v>
      </c>
      <c r="C330" s="576" t="e">
        <f t="shared" si="226"/>
        <v>#REF!</v>
      </c>
      <c r="D330" s="502" t="s">
        <v>346</v>
      </c>
      <c r="E330" s="496"/>
      <c r="F330" s="497"/>
      <c r="G330" s="530" t="s">
        <v>11</v>
      </c>
      <c r="H330" s="553">
        <v>0.24</v>
      </c>
      <c r="I330" s="553"/>
      <c r="J330" s="553">
        <v>72</v>
      </c>
      <c r="K330" s="558">
        <f t="shared" si="238"/>
        <v>17.28</v>
      </c>
      <c r="L330" s="553">
        <f t="shared" si="239"/>
        <v>76</v>
      </c>
      <c r="M330" s="558">
        <f t="shared" si="240"/>
        <v>18.239999999999998</v>
      </c>
      <c r="N330" s="558">
        <f t="shared" si="245"/>
        <v>4</v>
      </c>
      <c r="O330" s="558">
        <f t="shared" si="241"/>
        <v>0.96</v>
      </c>
      <c r="P330" s="553"/>
      <c r="Q330" s="558">
        <f t="shared" si="242"/>
        <v>0</v>
      </c>
      <c r="R330" s="553">
        <f t="shared" si="246"/>
        <v>0</v>
      </c>
      <c r="S330" s="558">
        <f t="shared" si="243"/>
        <v>0</v>
      </c>
      <c r="T330" s="553"/>
      <c r="U330" s="558">
        <f t="shared" si="244"/>
        <v>0</v>
      </c>
      <c r="V330" s="553"/>
    </row>
    <row r="331" spans="2:22" ht="21" customHeight="1" x14ac:dyDescent="0.25">
      <c r="B331" s="562">
        <f t="shared" si="237"/>
        <v>9.0399999999999991</v>
      </c>
      <c r="C331" s="576" t="e">
        <f t="shared" si="226"/>
        <v>#REF!</v>
      </c>
      <c r="D331" s="502" t="s">
        <v>347</v>
      </c>
      <c r="E331" s="496"/>
      <c r="F331" s="497"/>
      <c r="G331" s="530" t="s">
        <v>11</v>
      </c>
      <c r="H331" s="553">
        <v>0.05</v>
      </c>
      <c r="I331" s="553"/>
      <c r="J331" s="553">
        <v>60</v>
      </c>
      <c r="K331" s="558">
        <f t="shared" si="238"/>
        <v>3</v>
      </c>
      <c r="L331" s="553">
        <f t="shared" si="239"/>
        <v>0</v>
      </c>
      <c r="M331" s="558">
        <f t="shared" si="240"/>
        <v>0</v>
      </c>
      <c r="N331" s="558">
        <f t="shared" si="245"/>
        <v>0</v>
      </c>
      <c r="O331" s="558">
        <f t="shared" si="241"/>
        <v>0</v>
      </c>
      <c r="P331" s="553"/>
      <c r="Q331" s="558">
        <f t="shared" si="242"/>
        <v>0</v>
      </c>
      <c r="R331" s="553">
        <f t="shared" si="246"/>
        <v>60</v>
      </c>
      <c r="S331" s="558">
        <f t="shared" si="243"/>
        <v>3</v>
      </c>
      <c r="T331" s="553"/>
      <c r="U331" s="558">
        <f t="shared" si="244"/>
        <v>0</v>
      </c>
      <c r="V331" s="553"/>
    </row>
    <row r="332" spans="2:22" ht="21" customHeight="1" x14ac:dyDescent="0.25">
      <c r="B332" s="562">
        <f t="shared" si="237"/>
        <v>9.0499999999999989</v>
      </c>
      <c r="C332" s="576" t="e">
        <f t="shared" si="226"/>
        <v>#REF!</v>
      </c>
      <c r="D332" s="502" t="s">
        <v>348</v>
      </c>
      <c r="E332" s="496"/>
      <c r="F332" s="497"/>
      <c r="G332" s="530" t="s">
        <v>11</v>
      </c>
      <c r="H332" s="553">
        <v>2.86</v>
      </c>
      <c r="I332" s="553"/>
      <c r="J332" s="553">
        <v>3</v>
      </c>
      <c r="K332" s="558">
        <f t="shared" si="238"/>
        <v>8.58</v>
      </c>
      <c r="L332" s="553">
        <f t="shared" si="239"/>
        <v>0</v>
      </c>
      <c r="M332" s="558">
        <f t="shared" si="240"/>
        <v>0</v>
      </c>
      <c r="N332" s="558">
        <f t="shared" si="245"/>
        <v>0</v>
      </c>
      <c r="O332" s="558">
        <f t="shared" si="241"/>
        <v>0</v>
      </c>
      <c r="P332" s="553"/>
      <c r="Q332" s="558">
        <f t="shared" si="242"/>
        <v>0</v>
      </c>
      <c r="R332" s="553">
        <f t="shared" si="246"/>
        <v>3</v>
      </c>
      <c r="S332" s="558">
        <f t="shared" si="243"/>
        <v>8.58</v>
      </c>
      <c r="T332" s="553"/>
      <c r="U332" s="558">
        <f t="shared" si="244"/>
        <v>0</v>
      </c>
      <c r="V332" s="553"/>
    </row>
    <row r="333" spans="2:22" ht="21" customHeight="1" x14ac:dyDescent="0.25">
      <c r="B333" s="562">
        <f t="shared" si="237"/>
        <v>9.0599999999999987</v>
      </c>
      <c r="C333" s="576" t="e">
        <f t="shared" si="226"/>
        <v>#REF!</v>
      </c>
      <c r="D333" s="502" t="s">
        <v>26</v>
      </c>
      <c r="E333" s="496"/>
      <c r="F333" s="497"/>
      <c r="G333" s="530" t="s">
        <v>11</v>
      </c>
      <c r="H333" s="553">
        <v>0.12</v>
      </c>
      <c r="I333" s="553"/>
      <c r="J333" s="553">
        <v>72</v>
      </c>
      <c r="K333" s="558">
        <f t="shared" si="238"/>
        <v>8.64</v>
      </c>
      <c r="L333" s="553">
        <f t="shared" si="239"/>
        <v>15</v>
      </c>
      <c r="M333" s="558">
        <f t="shared" si="240"/>
        <v>1.8</v>
      </c>
      <c r="N333" s="558">
        <f t="shared" si="245"/>
        <v>0</v>
      </c>
      <c r="O333" s="558">
        <f t="shared" si="241"/>
        <v>0</v>
      </c>
      <c r="P333" s="553"/>
      <c r="Q333" s="558">
        <f t="shared" si="242"/>
        <v>0</v>
      </c>
      <c r="R333" s="553">
        <f t="shared" si="246"/>
        <v>57</v>
      </c>
      <c r="S333" s="558">
        <f t="shared" si="243"/>
        <v>6.84</v>
      </c>
      <c r="T333" s="553"/>
      <c r="U333" s="558">
        <f t="shared" si="244"/>
        <v>0</v>
      </c>
      <c r="V333" s="553"/>
    </row>
    <row r="334" spans="2:22" ht="21" customHeight="1" x14ac:dyDescent="0.25">
      <c r="B334" s="562">
        <f t="shared" si="237"/>
        <v>9.0699999999999985</v>
      </c>
      <c r="C334" s="576" t="e">
        <f t="shared" si="226"/>
        <v>#REF!</v>
      </c>
      <c r="D334" s="502" t="s">
        <v>349</v>
      </c>
      <c r="E334" s="496"/>
      <c r="F334" s="497"/>
      <c r="G334" s="530" t="s">
        <v>11</v>
      </c>
      <c r="H334" s="553">
        <v>0.12</v>
      </c>
      <c r="I334" s="553"/>
      <c r="J334" s="553">
        <v>68</v>
      </c>
      <c r="K334" s="558">
        <f t="shared" si="238"/>
        <v>8.16</v>
      </c>
      <c r="L334" s="553">
        <f t="shared" si="239"/>
        <v>76</v>
      </c>
      <c r="M334" s="558">
        <f t="shared" si="240"/>
        <v>9.1199999999999992</v>
      </c>
      <c r="N334" s="558">
        <f t="shared" si="245"/>
        <v>8</v>
      </c>
      <c r="O334" s="558">
        <f t="shared" si="241"/>
        <v>0.96</v>
      </c>
      <c r="P334" s="553"/>
      <c r="Q334" s="558">
        <f t="shared" si="242"/>
        <v>0</v>
      </c>
      <c r="R334" s="553">
        <f t="shared" si="246"/>
        <v>0</v>
      </c>
      <c r="S334" s="558">
        <f t="shared" si="243"/>
        <v>0</v>
      </c>
      <c r="T334" s="553"/>
      <c r="U334" s="558">
        <f t="shared" si="244"/>
        <v>0</v>
      </c>
      <c r="V334" s="553"/>
    </row>
    <row r="335" spans="2:22" s="547" customFormat="1" ht="21" customHeight="1" x14ac:dyDescent="0.25">
      <c r="B335" s="559">
        <f t="shared" si="237"/>
        <v>9.0799999999999983</v>
      </c>
      <c r="C335" s="575" t="e">
        <f t="shared" si="226"/>
        <v>#REF!</v>
      </c>
      <c r="D335" s="501" t="s">
        <v>350</v>
      </c>
      <c r="E335" s="646"/>
      <c r="F335" s="636"/>
      <c r="G335" s="596" t="s">
        <v>11</v>
      </c>
      <c r="H335" s="640"/>
      <c r="I335" s="640">
        <v>10.58</v>
      </c>
      <c r="J335" s="640"/>
      <c r="K335" s="647">
        <f t="shared" si="238"/>
        <v>0</v>
      </c>
      <c r="L335" s="560">
        <f t="shared" si="239"/>
        <v>228</v>
      </c>
      <c r="M335" s="647">
        <f>+ROUND($I335*L335,2)</f>
        <v>2412.2399999999998</v>
      </c>
      <c r="N335" s="561"/>
      <c r="O335" s="561">
        <f t="shared" si="241"/>
        <v>0</v>
      </c>
      <c r="P335" s="659">
        <f>+L335</f>
        <v>228</v>
      </c>
      <c r="Q335" s="647">
        <f>+ROUND($I335*P335,2)</f>
        <v>2412.2399999999998</v>
      </c>
      <c r="R335" s="648"/>
      <c r="S335" s="561">
        <f t="shared" si="243"/>
        <v>0</v>
      </c>
      <c r="T335" s="648"/>
      <c r="U335" s="561">
        <f t="shared" si="244"/>
        <v>0</v>
      </c>
      <c r="V335" s="648"/>
    </row>
    <row r="336" spans="2:22" ht="21" customHeight="1" x14ac:dyDescent="0.25">
      <c r="B336" s="456"/>
      <c r="C336" s="466" t="e">
        <f t="shared" si="226"/>
        <v>#REF!</v>
      </c>
      <c r="D336" s="537"/>
      <c r="E336" s="595"/>
      <c r="F336" s="544" t="str">
        <f>+"SUB-TOTAL   "&amp;B327&amp;":  "</f>
        <v xml:space="preserve">SUB-TOTAL   9:  </v>
      </c>
      <c r="G336" s="567"/>
      <c r="H336" s="449"/>
      <c r="I336" s="449"/>
      <c r="J336" s="449"/>
      <c r="K336" s="451">
        <f>+SUM(K328:K335)</f>
        <v>233.58</v>
      </c>
      <c r="L336" s="449"/>
      <c r="M336" s="451">
        <f>+SUM(M328:M335)</f>
        <v>2638.68</v>
      </c>
      <c r="N336" s="451"/>
      <c r="O336" s="451">
        <f>+SUM(O328:O335)</f>
        <v>12.280000000000001</v>
      </c>
      <c r="P336" s="451"/>
      <c r="Q336" s="451">
        <f>+SUM(Q328:Q335)</f>
        <v>2412.2399999999998</v>
      </c>
      <c r="R336" s="451"/>
      <c r="S336" s="451">
        <f>+SUM(S328:S335)</f>
        <v>19.420000000000002</v>
      </c>
      <c r="T336" s="451"/>
      <c r="U336" s="451">
        <f>+SUM(U328:U335)</f>
        <v>0</v>
      </c>
      <c r="V336" s="451"/>
    </row>
    <row r="337" spans="2:22" ht="21" customHeight="1" x14ac:dyDescent="0.25">
      <c r="B337" s="452">
        <f>1+B327</f>
        <v>10</v>
      </c>
      <c r="C337" s="466" t="e">
        <f t="shared" si="226"/>
        <v>#REF!</v>
      </c>
      <c r="D337" s="453" t="s">
        <v>63</v>
      </c>
      <c r="E337" s="445"/>
      <c r="F337" s="446"/>
      <c r="G337" s="549"/>
      <c r="H337" s="438"/>
      <c r="I337" s="438"/>
      <c r="J337" s="438"/>
      <c r="K337" s="438"/>
      <c r="L337" s="438"/>
      <c r="M337" s="438"/>
      <c r="N337" s="438"/>
      <c r="O337" s="438"/>
      <c r="P337" s="438"/>
      <c r="Q337" s="438"/>
      <c r="R337" s="438"/>
      <c r="S337" s="438"/>
      <c r="T337" s="438"/>
      <c r="U337" s="438"/>
      <c r="V337" s="438"/>
    </row>
    <row r="338" spans="2:22" ht="21" customHeight="1" x14ac:dyDescent="0.25">
      <c r="B338" s="562">
        <f t="shared" ref="B338:B350" si="247">+B337+0.01</f>
        <v>10.01</v>
      </c>
      <c r="C338" s="576" t="e">
        <f t="shared" si="226"/>
        <v>#REF!</v>
      </c>
      <c r="D338" s="502" t="s">
        <v>64</v>
      </c>
      <c r="E338" s="496"/>
      <c r="F338" s="497"/>
      <c r="G338" s="530" t="s">
        <v>11</v>
      </c>
      <c r="H338" s="553">
        <v>1.59</v>
      </c>
      <c r="I338" s="553"/>
      <c r="J338" s="553">
        <v>147</v>
      </c>
      <c r="K338" s="553">
        <f t="shared" ref="K338:K350" si="248">+ROUND($H338*J338,2)</f>
        <v>233.73</v>
      </c>
      <c r="L338" s="553">
        <f t="shared" ref="L338:L350" si="249">+L113</f>
        <v>221</v>
      </c>
      <c r="M338" s="553">
        <f t="shared" ref="M338:M350" si="250">+ROUND($H338*L338,2)</f>
        <v>351.39</v>
      </c>
      <c r="N338" s="553">
        <f>+IF($L338-$J338&gt;=0,$L338-$J338,0)</f>
        <v>74</v>
      </c>
      <c r="O338" s="553">
        <f t="shared" ref="O338:O350" si="251">+ROUND($H338*N338,2)</f>
        <v>117.66</v>
      </c>
      <c r="P338" s="553"/>
      <c r="Q338" s="553">
        <f t="shared" ref="Q338:Q350" si="252">+ROUND($H338*P338,2)</f>
        <v>0</v>
      </c>
      <c r="R338" s="553">
        <f>+IF($L338-$J338&lt;=0,-$L338+$J338,0)</f>
        <v>0</v>
      </c>
      <c r="S338" s="553">
        <f t="shared" ref="S338:S350" si="253">+ROUND($H338*R338,2)</f>
        <v>0</v>
      </c>
      <c r="T338" s="553"/>
      <c r="U338" s="553">
        <f t="shared" ref="U338:U350" si="254">+ROUND($H338*T338,2)</f>
        <v>0</v>
      </c>
      <c r="V338" s="553"/>
    </row>
    <row r="339" spans="2:22" ht="21" customHeight="1" x14ac:dyDescent="0.25">
      <c r="B339" s="562">
        <f t="shared" si="247"/>
        <v>10.02</v>
      </c>
      <c r="C339" s="576" t="e">
        <f t="shared" si="226"/>
        <v>#REF!</v>
      </c>
      <c r="D339" s="502" t="s">
        <v>351</v>
      </c>
      <c r="E339" s="496"/>
      <c r="F339" s="497"/>
      <c r="G339" s="530" t="s">
        <v>11</v>
      </c>
      <c r="H339" s="553">
        <v>2.21</v>
      </c>
      <c r="I339" s="553"/>
      <c r="J339" s="553">
        <v>68</v>
      </c>
      <c r="K339" s="553">
        <f t="shared" si="248"/>
        <v>150.28</v>
      </c>
      <c r="L339" s="553">
        <f t="shared" si="249"/>
        <v>155</v>
      </c>
      <c r="M339" s="553">
        <f t="shared" si="250"/>
        <v>342.55</v>
      </c>
      <c r="N339" s="553">
        <f t="shared" ref="N339:N350" si="255">+IF($L339-$J339&gt;=0,$L339-$J339,0)</f>
        <v>87</v>
      </c>
      <c r="O339" s="553">
        <f t="shared" si="251"/>
        <v>192.27</v>
      </c>
      <c r="P339" s="553"/>
      <c r="Q339" s="553">
        <f t="shared" si="252"/>
        <v>0</v>
      </c>
      <c r="R339" s="553">
        <f t="shared" ref="R339:R350" si="256">+IF($L339-$J339&lt;=0,-$L339+$J339,0)</f>
        <v>0</v>
      </c>
      <c r="S339" s="553">
        <f t="shared" si="253"/>
        <v>0</v>
      </c>
      <c r="T339" s="553"/>
      <c r="U339" s="553">
        <f t="shared" si="254"/>
        <v>0</v>
      </c>
      <c r="V339" s="553"/>
    </row>
    <row r="340" spans="2:22" ht="21" customHeight="1" x14ac:dyDescent="0.25">
      <c r="B340" s="562">
        <f t="shared" si="247"/>
        <v>10.029999999999999</v>
      </c>
      <c r="C340" s="576" t="e">
        <f t="shared" si="226"/>
        <v>#REF!</v>
      </c>
      <c r="D340" s="502" t="s">
        <v>352</v>
      </c>
      <c r="E340" s="496"/>
      <c r="F340" s="497"/>
      <c r="G340" s="530" t="s">
        <v>11</v>
      </c>
      <c r="H340" s="553">
        <v>2.75</v>
      </c>
      <c r="I340" s="553"/>
      <c r="J340" s="553">
        <v>28</v>
      </c>
      <c r="K340" s="553">
        <f t="shared" si="248"/>
        <v>77</v>
      </c>
      <c r="L340" s="553">
        <f t="shared" si="249"/>
        <v>0</v>
      </c>
      <c r="M340" s="553">
        <f t="shared" si="250"/>
        <v>0</v>
      </c>
      <c r="N340" s="553">
        <f t="shared" si="255"/>
        <v>0</v>
      </c>
      <c r="O340" s="553">
        <f t="shared" si="251"/>
        <v>0</v>
      </c>
      <c r="P340" s="553"/>
      <c r="Q340" s="553">
        <f t="shared" si="252"/>
        <v>0</v>
      </c>
      <c r="R340" s="553">
        <f t="shared" si="256"/>
        <v>28</v>
      </c>
      <c r="S340" s="553">
        <f t="shared" si="253"/>
        <v>77</v>
      </c>
      <c r="T340" s="553">
        <f>+R340</f>
        <v>28</v>
      </c>
      <c r="U340" s="553">
        <f t="shared" si="254"/>
        <v>77</v>
      </c>
      <c r="V340" s="553" t="s">
        <v>898</v>
      </c>
    </row>
    <row r="341" spans="2:22" ht="21" customHeight="1" x14ac:dyDescent="0.25">
      <c r="B341" s="562">
        <f t="shared" si="247"/>
        <v>10.039999999999999</v>
      </c>
      <c r="C341" s="576" t="e">
        <f t="shared" si="226"/>
        <v>#REF!</v>
      </c>
      <c r="D341" s="502" t="s">
        <v>65</v>
      </c>
      <c r="E341" s="496"/>
      <c r="F341" s="497"/>
      <c r="G341" s="530" t="s">
        <v>11</v>
      </c>
      <c r="H341" s="553">
        <v>4.7</v>
      </c>
      <c r="I341" s="553"/>
      <c r="J341" s="553">
        <v>40</v>
      </c>
      <c r="K341" s="553">
        <f t="shared" si="248"/>
        <v>188</v>
      </c>
      <c r="L341" s="553">
        <f t="shared" si="249"/>
        <v>42</v>
      </c>
      <c r="M341" s="553">
        <f t="shared" si="250"/>
        <v>197.4</v>
      </c>
      <c r="N341" s="553">
        <f t="shared" si="255"/>
        <v>2</v>
      </c>
      <c r="O341" s="553">
        <f t="shared" si="251"/>
        <v>9.4</v>
      </c>
      <c r="P341" s="553"/>
      <c r="Q341" s="553">
        <f t="shared" si="252"/>
        <v>0</v>
      </c>
      <c r="R341" s="553">
        <f t="shared" si="256"/>
        <v>0</v>
      </c>
      <c r="S341" s="553">
        <f t="shared" si="253"/>
        <v>0</v>
      </c>
      <c r="T341" s="553">
        <f>+R341</f>
        <v>0</v>
      </c>
      <c r="U341" s="553">
        <f t="shared" si="254"/>
        <v>0</v>
      </c>
      <c r="V341" s="553" t="s">
        <v>898</v>
      </c>
    </row>
    <row r="342" spans="2:22" ht="21" customHeight="1" x14ac:dyDescent="0.25">
      <c r="B342" s="562">
        <f t="shared" si="247"/>
        <v>10.049999999999999</v>
      </c>
      <c r="C342" s="576" t="e">
        <f t="shared" si="226"/>
        <v>#REF!</v>
      </c>
      <c r="D342" s="502" t="s">
        <v>353</v>
      </c>
      <c r="E342" s="496"/>
      <c r="F342" s="497"/>
      <c r="G342" s="530" t="s">
        <v>11</v>
      </c>
      <c r="H342" s="553">
        <v>0.01</v>
      </c>
      <c r="I342" s="553"/>
      <c r="J342" s="553">
        <v>39</v>
      </c>
      <c r="K342" s="553">
        <f t="shared" si="248"/>
        <v>0.39</v>
      </c>
      <c r="L342" s="553">
        <f t="shared" si="249"/>
        <v>244</v>
      </c>
      <c r="M342" s="553">
        <f t="shared" si="250"/>
        <v>2.44</v>
      </c>
      <c r="N342" s="553">
        <f t="shared" si="255"/>
        <v>205</v>
      </c>
      <c r="O342" s="553">
        <f t="shared" si="251"/>
        <v>2.0499999999999998</v>
      </c>
      <c r="P342" s="553"/>
      <c r="Q342" s="553">
        <f t="shared" si="252"/>
        <v>0</v>
      </c>
      <c r="R342" s="553">
        <f t="shared" si="256"/>
        <v>0</v>
      </c>
      <c r="S342" s="553">
        <f t="shared" si="253"/>
        <v>0</v>
      </c>
      <c r="T342" s="553"/>
      <c r="U342" s="553">
        <f t="shared" si="254"/>
        <v>0</v>
      </c>
      <c r="V342" s="553"/>
    </row>
    <row r="343" spans="2:22" ht="21" customHeight="1" x14ac:dyDescent="0.25">
      <c r="B343" s="562">
        <f t="shared" si="247"/>
        <v>10.059999999999999</v>
      </c>
      <c r="C343" s="576" t="e">
        <f t="shared" si="226"/>
        <v>#REF!</v>
      </c>
      <c r="D343" s="502" t="s">
        <v>354</v>
      </c>
      <c r="E343" s="513"/>
      <c r="F343" s="499"/>
      <c r="G343" s="530" t="s">
        <v>11</v>
      </c>
      <c r="H343" s="553">
        <v>0.08</v>
      </c>
      <c r="I343" s="553"/>
      <c r="J343" s="553">
        <v>39</v>
      </c>
      <c r="K343" s="553">
        <f t="shared" si="248"/>
        <v>3.12</v>
      </c>
      <c r="L343" s="553">
        <f t="shared" si="249"/>
        <v>0</v>
      </c>
      <c r="M343" s="553">
        <f t="shared" si="250"/>
        <v>0</v>
      </c>
      <c r="N343" s="553">
        <f t="shared" si="255"/>
        <v>0</v>
      </c>
      <c r="O343" s="553">
        <f t="shared" si="251"/>
        <v>0</v>
      </c>
      <c r="P343" s="585"/>
      <c r="Q343" s="553">
        <f t="shared" si="252"/>
        <v>0</v>
      </c>
      <c r="R343" s="553">
        <f t="shared" si="256"/>
        <v>39</v>
      </c>
      <c r="S343" s="553">
        <f t="shared" si="253"/>
        <v>3.12</v>
      </c>
      <c r="T343" s="585"/>
      <c r="U343" s="553">
        <f t="shared" si="254"/>
        <v>0</v>
      </c>
      <c r="V343" s="585"/>
    </row>
    <row r="344" spans="2:22" ht="21" customHeight="1" x14ac:dyDescent="0.25">
      <c r="B344" s="562">
        <f t="shared" si="247"/>
        <v>10.069999999999999</v>
      </c>
      <c r="C344" s="576" t="e">
        <f t="shared" si="226"/>
        <v>#REF!</v>
      </c>
      <c r="D344" s="502" t="s">
        <v>23</v>
      </c>
      <c r="E344" s="511"/>
      <c r="F344" s="512"/>
      <c r="G344" s="530" t="s">
        <v>13</v>
      </c>
      <c r="H344" s="553">
        <v>0.02</v>
      </c>
      <c r="I344" s="553"/>
      <c r="J344" s="553">
        <v>933</v>
      </c>
      <c r="K344" s="553">
        <f t="shared" si="248"/>
        <v>18.66</v>
      </c>
      <c r="L344" s="553">
        <f t="shared" si="249"/>
        <v>2212.5</v>
      </c>
      <c r="M344" s="553">
        <f t="shared" si="250"/>
        <v>44.25</v>
      </c>
      <c r="N344" s="553">
        <f t="shared" si="255"/>
        <v>1279.5</v>
      </c>
      <c r="O344" s="553">
        <f t="shared" si="251"/>
        <v>25.59</v>
      </c>
      <c r="P344" s="553"/>
      <c r="Q344" s="553">
        <f t="shared" si="252"/>
        <v>0</v>
      </c>
      <c r="R344" s="553">
        <f t="shared" si="256"/>
        <v>0</v>
      </c>
      <c r="S344" s="553">
        <f t="shared" si="253"/>
        <v>0</v>
      </c>
      <c r="T344" s="553"/>
      <c r="U344" s="553">
        <f t="shared" si="254"/>
        <v>0</v>
      </c>
      <c r="V344" s="553"/>
    </row>
    <row r="345" spans="2:22" ht="21" customHeight="1" x14ac:dyDescent="0.25">
      <c r="B345" s="562">
        <f t="shared" si="247"/>
        <v>10.079999999999998</v>
      </c>
      <c r="C345" s="576" t="e">
        <f t="shared" si="226"/>
        <v>#REF!</v>
      </c>
      <c r="D345" s="502" t="s">
        <v>322</v>
      </c>
      <c r="E345" s="496"/>
      <c r="F345" s="497"/>
      <c r="G345" s="530" t="s">
        <v>11</v>
      </c>
      <c r="H345" s="553">
        <v>0.02</v>
      </c>
      <c r="I345" s="553"/>
      <c r="J345" s="553">
        <v>175</v>
      </c>
      <c r="K345" s="553">
        <f t="shared" si="248"/>
        <v>3.5</v>
      </c>
      <c r="L345" s="553">
        <f t="shared" si="249"/>
        <v>60</v>
      </c>
      <c r="M345" s="553">
        <f t="shared" si="250"/>
        <v>1.2</v>
      </c>
      <c r="N345" s="553">
        <f t="shared" si="255"/>
        <v>0</v>
      </c>
      <c r="O345" s="553">
        <f t="shared" si="251"/>
        <v>0</v>
      </c>
      <c r="P345" s="553"/>
      <c r="Q345" s="553">
        <f t="shared" si="252"/>
        <v>0</v>
      </c>
      <c r="R345" s="553">
        <f t="shared" si="256"/>
        <v>115</v>
      </c>
      <c r="S345" s="553">
        <f t="shared" si="253"/>
        <v>2.2999999999999998</v>
      </c>
      <c r="T345" s="553">
        <f>+R345</f>
        <v>115</v>
      </c>
      <c r="U345" s="553">
        <f t="shared" si="254"/>
        <v>2.2999999999999998</v>
      </c>
      <c r="V345" s="553" t="s">
        <v>836</v>
      </c>
    </row>
    <row r="346" spans="2:22" ht="21" customHeight="1" x14ac:dyDescent="0.25">
      <c r="B346" s="562">
        <f t="shared" si="247"/>
        <v>10.089999999999998</v>
      </c>
      <c r="C346" s="576" t="e">
        <f t="shared" si="226"/>
        <v>#REF!</v>
      </c>
      <c r="D346" s="502" t="s">
        <v>45</v>
      </c>
      <c r="E346" s="496"/>
      <c r="F346" s="497"/>
      <c r="G346" s="530" t="s">
        <v>11</v>
      </c>
      <c r="H346" s="553">
        <v>0.03</v>
      </c>
      <c r="I346" s="553"/>
      <c r="J346" s="553">
        <v>175</v>
      </c>
      <c r="K346" s="553">
        <f t="shared" si="248"/>
        <v>5.25</v>
      </c>
      <c r="L346" s="553">
        <f t="shared" si="249"/>
        <v>340</v>
      </c>
      <c r="M346" s="553">
        <f t="shared" si="250"/>
        <v>10.199999999999999</v>
      </c>
      <c r="N346" s="553">
        <f t="shared" si="255"/>
        <v>165</v>
      </c>
      <c r="O346" s="553">
        <f t="shared" si="251"/>
        <v>4.95</v>
      </c>
      <c r="P346" s="553"/>
      <c r="Q346" s="553">
        <f t="shared" si="252"/>
        <v>0</v>
      </c>
      <c r="R346" s="553">
        <f t="shared" si="256"/>
        <v>0</v>
      </c>
      <c r="S346" s="553">
        <f t="shared" si="253"/>
        <v>0</v>
      </c>
      <c r="T346" s="553"/>
      <c r="U346" s="553">
        <f t="shared" si="254"/>
        <v>0</v>
      </c>
      <c r="V346" s="553"/>
    </row>
    <row r="347" spans="2:22" ht="21" customHeight="1" x14ac:dyDescent="0.25">
      <c r="B347" s="562">
        <f t="shared" si="247"/>
        <v>10.099999999999998</v>
      </c>
      <c r="C347" s="576" t="e">
        <f t="shared" si="226"/>
        <v>#REF!</v>
      </c>
      <c r="D347" s="502" t="s">
        <v>66</v>
      </c>
      <c r="E347" s="496"/>
      <c r="F347" s="497"/>
      <c r="G347" s="530" t="s">
        <v>11</v>
      </c>
      <c r="H347" s="553">
        <v>0.04</v>
      </c>
      <c r="I347" s="553"/>
      <c r="J347" s="553">
        <v>350</v>
      </c>
      <c r="K347" s="553">
        <f t="shared" si="248"/>
        <v>14</v>
      </c>
      <c r="L347" s="553">
        <f t="shared" si="249"/>
        <v>488</v>
      </c>
      <c r="M347" s="553">
        <f t="shared" si="250"/>
        <v>19.52</v>
      </c>
      <c r="N347" s="553">
        <f t="shared" si="255"/>
        <v>138</v>
      </c>
      <c r="O347" s="553">
        <f t="shared" si="251"/>
        <v>5.52</v>
      </c>
      <c r="P347" s="553"/>
      <c r="Q347" s="553">
        <f t="shared" si="252"/>
        <v>0</v>
      </c>
      <c r="R347" s="553">
        <f t="shared" si="256"/>
        <v>0</v>
      </c>
      <c r="S347" s="553">
        <f t="shared" si="253"/>
        <v>0</v>
      </c>
      <c r="T347" s="553"/>
      <c r="U347" s="553">
        <f t="shared" si="254"/>
        <v>0</v>
      </c>
      <c r="V347" s="553"/>
    </row>
    <row r="348" spans="2:22" ht="21" customHeight="1" x14ac:dyDescent="0.25">
      <c r="B348" s="562">
        <f t="shared" si="247"/>
        <v>10.109999999999998</v>
      </c>
      <c r="C348" s="576" t="e">
        <f t="shared" si="226"/>
        <v>#REF!</v>
      </c>
      <c r="D348" s="502" t="s">
        <v>325</v>
      </c>
      <c r="E348" s="496"/>
      <c r="F348" s="497"/>
      <c r="G348" s="530" t="s">
        <v>11</v>
      </c>
      <c r="H348" s="553">
        <v>0.01</v>
      </c>
      <c r="I348" s="553"/>
      <c r="J348" s="553">
        <v>756</v>
      </c>
      <c r="K348" s="553">
        <f t="shared" si="248"/>
        <v>7.56</v>
      </c>
      <c r="L348" s="553">
        <f t="shared" si="249"/>
        <v>1708</v>
      </c>
      <c r="M348" s="553">
        <f t="shared" si="250"/>
        <v>17.079999999999998</v>
      </c>
      <c r="N348" s="553">
        <f t="shared" si="255"/>
        <v>952</v>
      </c>
      <c r="O348" s="553">
        <f t="shared" si="251"/>
        <v>9.52</v>
      </c>
      <c r="P348" s="553"/>
      <c r="Q348" s="553">
        <f t="shared" si="252"/>
        <v>0</v>
      </c>
      <c r="R348" s="553">
        <f t="shared" si="256"/>
        <v>0</v>
      </c>
      <c r="S348" s="553">
        <f t="shared" si="253"/>
        <v>0</v>
      </c>
      <c r="T348" s="553"/>
      <c r="U348" s="553">
        <f t="shared" si="254"/>
        <v>0</v>
      </c>
      <c r="V348" s="553"/>
    </row>
    <row r="349" spans="2:22" ht="21" customHeight="1" x14ac:dyDescent="0.25">
      <c r="B349" s="562">
        <f t="shared" si="247"/>
        <v>10.119999999999997</v>
      </c>
      <c r="C349" s="576" t="e">
        <f t="shared" si="226"/>
        <v>#REF!</v>
      </c>
      <c r="D349" s="502" t="s">
        <v>355</v>
      </c>
      <c r="E349" s="513"/>
      <c r="F349" s="499"/>
      <c r="G349" s="530" t="s">
        <v>11</v>
      </c>
      <c r="H349" s="553">
        <v>0.51</v>
      </c>
      <c r="I349" s="553"/>
      <c r="J349" s="553">
        <v>175</v>
      </c>
      <c r="K349" s="553">
        <f t="shared" si="248"/>
        <v>89.25</v>
      </c>
      <c r="L349" s="553">
        <f t="shared" si="249"/>
        <v>244</v>
      </c>
      <c r="M349" s="553">
        <f t="shared" si="250"/>
        <v>124.44</v>
      </c>
      <c r="N349" s="553">
        <f t="shared" si="255"/>
        <v>69</v>
      </c>
      <c r="O349" s="553">
        <f t="shared" si="251"/>
        <v>35.19</v>
      </c>
      <c r="P349" s="557"/>
      <c r="Q349" s="553">
        <f t="shared" si="252"/>
        <v>0</v>
      </c>
      <c r="R349" s="553">
        <f t="shared" si="256"/>
        <v>0</v>
      </c>
      <c r="S349" s="553">
        <f t="shared" si="253"/>
        <v>0</v>
      </c>
      <c r="T349" s="557"/>
      <c r="U349" s="553">
        <f t="shared" si="254"/>
        <v>0</v>
      </c>
      <c r="V349" s="557"/>
    </row>
    <row r="350" spans="2:22" ht="21" customHeight="1" x14ac:dyDescent="0.25">
      <c r="B350" s="562">
        <f t="shared" si="247"/>
        <v>10.129999999999997</v>
      </c>
      <c r="C350" s="583" t="e">
        <f t="shared" si="226"/>
        <v>#REF!</v>
      </c>
      <c r="D350" s="502" t="s">
        <v>356</v>
      </c>
      <c r="E350" s="511"/>
      <c r="F350" s="512"/>
      <c r="G350" s="539" t="s">
        <v>11</v>
      </c>
      <c r="H350" s="579">
        <v>0.95</v>
      </c>
      <c r="I350" s="579"/>
      <c r="J350" s="579">
        <v>175</v>
      </c>
      <c r="K350" s="579">
        <f t="shared" si="248"/>
        <v>166.25</v>
      </c>
      <c r="L350" s="553">
        <f t="shared" si="249"/>
        <v>244</v>
      </c>
      <c r="M350" s="579">
        <f t="shared" si="250"/>
        <v>231.8</v>
      </c>
      <c r="N350" s="553">
        <f t="shared" si="255"/>
        <v>69</v>
      </c>
      <c r="O350" s="579">
        <f t="shared" si="251"/>
        <v>65.55</v>
      </c>
      <c r="P350" s="579"/>
      <c r="Q350" s="579">
        <f t="shared" si="252"/>
        <v>0</v>
      </c>
      <c r="R350" s="553">
        <f t="shared" si="256"/>
        <v>0</v>
      </c>
      <c r="S350" s="579">
        <f t="shared" si="253"/>
        <v>0</v>
      </c>
      <c r="T350" s="579"/>
      <c r="U350" s="579">
        <f t="shared" si="254"/>
        <v>0</v>
      </c>
      <c r="V350" s="579"/>
    </row>
    <row r="351" spans="2:22" ht="21" customHeight="1" x14ac:dyDescent="0.25">
      <c r="B351" s="456"/>
      <c r="C351" s="466" t="e">
        <f t="shared" si="226"/>
        <v>#REF!</v>
      </c>
      <c r="D351" s="537"/>
      <c r="E351" s="538"/>
      <c r="F351" s="533" t="str">
        <f>+"SUB-TOTAL   "&amp;B337&amp;":  "</f>
        <v xml:space="preserve">SUB-TOTAL   10:  </v>
      </c>
      <c r="G351" s="597"/>
      <c r="H351" s="449"/>
      <c r="I351" s="449"/>
      <c r="J351" s="449"/>
      <c r="K351" s="451">
        <f>+SUM(K338:K350)</f>
        <v>956.9899999999999</v>
      </c>
      <c r="L351" s="449"/>
      <c r="M351" s="451">
        <f>+SUM(M338:M350)</f>
        <v>1342.2700000000002</v>
      </c>
      <c r="N351" s="451"/>
      <c r="O351" s="451">
        <f>+SUM(O338:O350)</f>
        <v>467.69999999999993</v>
      </c>
      <c r="P351" s="451"/>
      <c r="Q351" s="451">
        <f>+SUM(Q338:Q350)</f>
        <v>0</v>
      </c>
      <c r="R351" s="451"/>
      <c r="S351" s="451">
        <f>+SUM(S338:S350)</f>
        <v>82.42</v>
      </c>
      <c r="T351" s="451"/>
      <c r="U351" s="451">
        <f>+SUM(U338:U350)</f>
        <v>79.3</v>
      </c>
      <c r="V351" s="451"/>
    </row>
    <row r="352" spans="2:22" s="630" customFormat="1" ht="45.75" customHeight="1" x14ac:dyDescent="0.3">
      <c r="B352" s="623"/>
      <c r="C352" s="624" t="e">
        <f t="shared" si="226"/>
        <v>#REF!</v>
      </c>
      <c r="D352" s="625" t="s">
        <v>35</v>
      </c>
      <c r="E352" s="626"/>
      <c r="F352" s="627"/>
      <c r="G352" s="628"/>
      <c r="H352" s="629"/>
      <c r="I352" s="629"/>
      <c r="J352" s="629"/>
      <c r="K352" s="629">
        <f>+K245+K248+K252+K262+K276+K282+K292+K308+K326+K336+K351</f>
        <v>39859.509999999987</v>
      </c>
      <c r="L352" s="629"/>
      <c r="M352" s="629">
        <f>+M245+M248+M252+M262+M276+M282+M292+M308+M326+M336+M351</f>
        <v>46723.13</v>
      </c>
      <c r="N352" s="629"/>
      <c r="O352" s="629">
        <f>+O245+O248+O252+O262+O276+O282+O292+O308+O326+O336+O351</f>
        <v>4340.5800000000008</v>
      </c>
      <c r="P352" s="629"/>
      <c r="Q352" s="629">
        <f>+Q245+Q248+Q252+Q262+Q276+Q282+Q292+Q308+Q326+Q336+Q351</f>
        <v>6469.0599999999995</v>
      </c>
      <c r="R352" s="629"/>
      <c r="S352" s="629">
        <f>+S245+S248+S252+S262+S276+S282+S292+S308+S326+S336+S351</f>
        <v>3946.0200000000004</v>
      </c>
      <c r="T352" s="629"/>
      <c r="U352" s="629">
        <f>+U245+U248+U252+U262+U276+U282+U292+U308+U326+U336+U351</f>
        <v>3211.3700000000003</v>
      </c>
      <c r="V352" s="629"/>
    </row>
    <row r="353" ht="21" customHeight="1" x14ac:dyDescent="0.25"/>
    <row r="354" ht="21" customHeight="1" x14ac:dyDescent="0.25"/>
  </sheetData>
  <mergeCells count="20">
    <mergeCell ref="N12:Q12"/>
    <mergeCell ref="N13:O13"/>
    <mergeCell ref="P13:Q13"/>
    <mergeCell ref="F8:V8"/>
    <mergeCell ref="B6:V7"/>
    <mergeCell ref="G12:G15"/>
    <mergeCell ref="H12:H14"/>
    <mergeCell ref="I12:I14"/>
    <mergeCell ref="V12:V15"/>
    <mergeCell ref="J13:J14"/>
    <mergeCell ref="K13:K14"/>
    <mergeCell ref="L13:L14"/>
    <mergeCell ref="M13:M14"/>
    <mergeCell ref="B12:B15"/>
    <mergeCell ref="C12:F15"/>
    <mergeCell ref="R13:S13"/>
    <mergeCell ref="T13:U13"/>
    <mergeCell ref="R12:U12"/>
    <mergeCell ref="J12:K12"/>
    <mergeCell ref="L12:M12"/>
  </mergeCells>
  <printOptions horizontalCentered="1" verticalCentered="1"/>
  <pageMargins left="0.39370078740157483" right="0.39370078740157483" top="0.23622047244094491" bottom="0.23622047244094491" header="0" footer="0"/>
  <pageSetup paperSize="9" scale="55" pageOrder="overThenDown" orientation="landscape" r:id="rId1"/>
  <headerFooter>
    <oddFooter>&amp;R&amp;P/&amp;N</oddFooter>
  </headerFooter>
  <rowBreaks count="11" manualBreakCount="11">
    <brk id="51" min="1" max="21" man="1"/>
    <brk id="83" min="1" max="21" man="1"/>
    <brk id="111" min="1" max="21" man="1"/>
    <brk id="136" min="1" max="21" man="1"/>
    <brk id="156" min="1" max="21" man="1"/>
    <brk id="194" min="1" max="21" man="1"/>
    <brk id="216" min="1" max="21" man="1"/>
    <brk id="240" min="1" max="21" man="1"/>
    <brk id="276" min="1" max="21" man="1"/>
    <brk id="308" min="1" max="21" man="1"/>
    <brk id="336" min="1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7B82-1266-4012-8C54-ED689FB127FE}">
  <dimension ref="B1:N50"/>
  <sheetViews>
    <sheetView showGridLines="0" view="pageBreakPreview" topLeftCell="A19" zoomScale="80" zoomScaleNormal="80" zoomScaleSheetLayoutView="80" workbookViewId="0">
      <selection activeCell="H24" sqref="H24"/>
    </sheetView>
  </sheetViews>
  <sheetFormatPr baseColWidth="10" defaultColWidth="13.33203125" defaultRowHeight="13.2" x14ac:dyDescent="0.25"/>
  <cols>
    <col min="1" max="1" width="2" style="64" customWidth="1"/>
    <col min="2" max="2" width="8.33203125" style="64" customWidth="1"/>
    <col min="3" max="3" width="70.44140625" style="64" customWidth="1"/>
    <col min="4" max="10" width="19.6640625" style="64" customWidth="1"/>
    <col min="11" max="11" width="5.33203125" style="64" customWidth="1"/>
    <col min="12" max="12" width="5.109375" style="64" bestFit="1" customWidth="1"/>
    <col min="13" max="13" width="22.44140625" style="64" customWidth="1"/>
    <col min="14" max="14" width="13.33203125" style="1005"/>
    <col min="15" max="16384" width="13.33203125" style="64"/>
  </cols>
  <sheetData>
    <row r="1" spans="2:14" ht="6.75" customHeight="1" thickBot="1" x14ac:dyDescent="0.3"/>
    <row r="2" spans="2:14" x14ac:dyDescent="0.25">
      <c r="B2" s="1006"/>
      <c r="C2" s="1007"/>
      <c r="D2" s="1007"/>
      <c r="E2" s="1007"/>
      <c r="F2" s="1007"/>
      <c r="G2" s="1007"/>
      <c r="H2" s="1007"/>
      <c r="I2" s="1007"/>
      <c r="J2" s="1008"/>
    </row>
    <row r="3" spans="2:14" ht="24.6" x14ac:dyDescent="0.25">
      <c r="B3" s="1009" t="s">
        <v>984</v>
      </c>
      <c r="C3" s="1010"/>
      <c r="D3" s="1010"/>
      <c r="E3" s="1010"/>
      <c r="F3" s="1010"/>
      <c r="G3" s="1010"/>
      <c r="H3" s="1010"/>
      <c r="I3" s="1010"/>
      <c r="J3" s="1011"/>
    </row>
    <row r="4" spans="2:14" ht="21.6" thickBot="1" x14ac:dyDescent="0.3">
      <c r="B4" s="1012"/>
      <c r="C4" s="1013"/>
      <c r="D4" s="1013"/>
      <c r="E4" s="1013"/>
      <c r="F4" s="1013"/>
      <c r="G4" s="1013"/>
      <c r="H4" s="1013"/>
      <c r="I4" s="1013"/>
      <c r="J4" s="1014"/>
    </row>
    <row r="5" spans="2:14" x14ac:dyDescent="0.25">
      <c r="B5" s="1015"/>
      <c r="C5" s="1016"/>
      <c r="D5" s="1016"/>
      <c r="E5" s="1016"/>
      <c r="F5" s="1016"/>
      <c r="G5" s="1016"/>
      <c r="H5" s="1016"/>
      <c r="I5" s="1016"/>
      <c r="J5" s="1017"/>
    </row>
    <row r="6" spans="2:14" s="789" customFormat="1" ht="17.399999999999999" x14ac:dyDescent="0.25">
      <c r="B6" s="946"/>
      <c r="C6" s="948" t="s">
        <v>922</v>
      </c>
      <c r="D6" s="949"/>
      <c r="E6" s="949"/>
      <c r="F6" s="949"/>
      <c r="G6" s="949"/>
      <c r="H6" s="949"/>
      <c r="I6" s="949"/>
      <c r="J6" s="950"/>
    </row>
    <row r="7" spans="2:14" s="789" customFormat="1" ht="58.5" customHeight="1" x14ac:dyDescent="0.25">
      <c r="B7" s="946"/>
      <c r="C7" s="1270" t="s">
        <v>923</v>
      </c>
      <c r="D7" s="1270"/>
      <c r="E7" s="1270"/>
      <c r="F7" s="1270"/>
      <c r="G7" s="1270"/>
      <c r="H7" s="1270"/>
      <c r="I7" s="1270"/>
      <c r="J7" s="1271"/>
    </row>
    <row r="8" spans="2:14" s="789" customFormat="1" ht="21" x14ac:dyDescent="0.25">
      <c r="B8" s="946"/>
      <c r="C8" s="951"/>
      <c r="D8" s="929"/>
      <c r="E8" s="929"/>
      <c r="F8" s="929"/>
      <c r="G8" s="929"/>
      <c r="H8" s="1018"/>
      <c r="I8" s="929"/>
      <c r="J8" s="947"/>
    </row>
    <row r="9" spans="2:14" ht="17.399999999999999" x14ac:dyDescent="0.25">
      <c r="B9" s="1019"/>
      <c r="C9" s="1020" t="s">
        <v>985</v>
      </c>
      <c r="D9" s="1021"/>
      <c r="E9" s="1021"/>
      <c r="F9" s="1021"/>
      <c r="G9" s="1021"/>
      <c r="H9" s="1021"/>
      <c r="I9" s="1021"/>
      <c r="J9" s="1022"/>
    </row>
    <row r="10" spans="2:14" ht="17.399999999999999" x14ac:dyDescent="0.25">
      <c r="B10" s="1019"/>
      <c r="C10" s="928" t="s">
        <v>924</v>
      </c>
      <c r="D10" s="1023">
        <f>+'RES-RS'!H18</f>
        <v>893818.43</v>
      </c>
      <c r="E10" s="1021"/>
      <c r="F10" s="1021"/>
      <c r="G10" s="1021"/>
      <c r="H10" s="1021"/>
      <c r="I10" s="1021"/>
      <c r="J10" s="1024"/>
      <c r="L10" s="1025"/>
      <c r="M10" s="1026" t="b">
        <f>D10=SUM(G13:G25)</f>
        <v>1</v>
      </c>
      <c r="N10" s="1027"/>
    </row>
    <row r="11" spans="2:14" ht="13.8" thickBot="1" x14ac:dyDescent="0.3">
      <c r="B11" s="1019"/>
      <c r="C11" s="1021"/>
      <c r="D11" s="1021"/>
      <c r="E11" s="1021"/>
      <c r="F11" s="1021"/>
      <c r="G11" s="1021"/>
      <c r="H11" s="1021"/>
      <c r="I11" s="1021"/>
      <c r="J11" s="1022"/>
    </row>
    <row r="12" spans="2:14" ht="28.2" thickBot="1" x14ac:dyDescent="0.3">
      <c r="B12" s="1028" t="s">
        <v>925</v>
      </c>
      <c r="C12" s="1029" t="s">
        <v>926</v>
      </c>
      <c r="D12" s="1030" t="s">
        <v>986</v>
      </c>
      <c r="E12" s="1029" t="s">
        <v>928</v>
      </c>
      <c r="F12" s="1031" t="s">
        <v>987</v>
      </c>
      <c r="G12" s="1029" t="s">
        <v>930</v>
      </c>
      <c r="H12" s="1029" t="s">
        <v>931</v>
      </c>
      <c r="I12" s="1032" t="s">
        <v>932</v>
      </c>
      <c r="J12" s="1033" t="s">
        <v>933</v>
      </c>
    </row>
    <row r="13" spans="2:14" s="1021" customFormat="1" ht="19.5" customHeight="1" x14ac:dyDescent="0.25">
      <c r="B13" s="1034">
        <v>1</v>
      </c>
      <c r="C13" s="1035" t="s">
        <v>940</v>
      </c>
      <c r="D13" s="878" t="s">
        <v>941</v>
      </c>
      <c r="E13" s="1036" t="s">
        <v>936</v>
      </c>
      <c r="F13" s="1281" t="s">
        <v>936</v>
      </c>
      <c r="G13" s="1037">
        <f>+'Mtdo-Ppto RS'!M20+'Mtdo-Ppto RS'!M27</f>
        <v>119149.67</v>
      </c>
      <c r="H13" s="1038">
        <f>ROUND(G13/$D$10,3)</f>
        <v>0.13300000000000001</v>
      </c>
      <c r="I13" s="1039">
        <f>ROUND(G13/SUM($G$13:$G$14),4)</f>
        <v>1</v>
      </c>
      <c r="J13" s="1040">
        <f>+ROUND(SUM(H13:H14),3)</f>
        <v>0.13300000000000001</v>
      </c>
      <c r="N13" s="1041"/>
    </row>
    <row r="14" spans="2:14" s="1021" customFormat="1" ht="19.5" customHeight="1" x14ac:dyDescent="0.25">
      <c r="B14" s="1034"/>
      <c r="C14" s="1035" t="s">
        <v>988</v>
      </c>
      <c r="D14" s="1042" t="s">
        <v>934</v>
      </c>
      <c r="E14" s="1043" t="s">
        <v>935</v>
      </c>
      <c r="F14" s="1282"/>
      <c r="G14" s="1037">
        <f>+'Mtdo-Ppto RS'!M23</f>
        <v>0</v>
      </c>
      <c r="H14" s="1038">
        <f>ROUND(G14/$D$10,3)</f>
        <v>0</v>
      </c>
      <c r="I14" s="1044">
        <f>ROUND(G14/SUM($G$13:$G$14),4)</f>
        <v>0</v>
      </c>
      <c r="J14" s="1045"/>
      <c r="N14" s="1041"/>
    </row>
    <row r="15" spans="2:14" ht="19.5" customHeight="1" x14ac:dyDescent="0.25">
      <c r="B15" s="1046">
        <v>2</v>
      </c>
      <c r="C15" s="1047" t="s">
        <v>43</v>
      </c>
      <c r="D15" s="1048" t="s">
        <v>944</v>
      </c>
      <c r="E15" s="1049" t="s">
        <v>989</v>
      </c>
      <c r="F15" s="1283" t="s">
        <v>989</v>
      </c>
      <c r="G15" s="1050">
        <f>+'Mtdo-Ppto RS'!M37</f>
        <v>98903.329999999987</v>
      </c>
      <c r="H15" s="1051">
        <f>ROUND(G15/$D$10,3)</f>
        <v>0.111</v>
      </c>
      <c r="I15" s="1052">
        <f>ROUND(G15/SUM($G$15:$G$16),4)</f>
        <v>0.64949999999999997</v>
      </c>
      <c r="J15" s="1053">
        <f>+ROUND(SUM(H15:H16),3)</f>
        <v>0.17100000000000001</v>
      </c>
      <c r="L15" s="1054"/>
      <c r="M15" s="1055"/>
      <c r="N15" s="1041"/>
    </row>
    <row r="16" spans="2:14" ht="19.5" customHeight="1" x14ac:dyDescent="0.25">
      <c r="B16" s="1056"/>
      <c r="C16" s="1057" t="s">
        <v>63</v>
      </c>
      <c r="D16" s="1058" t="s">
        <v>944</v>
      </c>
      <c r="E16" s="1059" t="s">
        <v>990</v>
      </c>
      <c r="F16" s="1284"/>
      <c r="G16" s="1060">
        <f>+'Mtdo-Ppto RS'!M126</f>
        <v>53380.89</v>
      </c>
      <c r="H16" s="1061">
        <f t="shared" ref="H16:H21" si="0">ROUND(G16/$D$10,3)</f>
        <v>0.06</v>
      </c>
      <c r="I16" s="1062">
        <f>ROUND(G16/SUM($G$15:$G$16),4)</f>
        <v>0.35049999999999998</v>
      </c>
      <c r="J16" s="1063"/>
      <c r="L16" s="1054"/>
      <c r="M16" s="1064"/>
      <c r="N16" s="1041"/>
    </row>
    <row r="17" spans="2:14" ht="19.5" customHeight="1" x14ac:dyDescent="0.25">
      <c r="B17" s="1065">
        <v>3</v>
      </c>
      <c r="C17" s="1066" t="s">
        <v>50</v>
      </c>
      <c r="D17" s="1067" t="s">
        <v>947</v>
      </c>
      <c r="E17" s="1036" t="s">
        <v>948</v>
      </c>
      <c r="F17" s="1283" t="s">
        <v>955</v>
      </c>
      <c r="G17" s="1037">
        <f>+'Mtdo-Ppto RS'!M67</f>
        <v>37625.69</v>
      </c>
      <c r="H17" s="1038">
        <f t="shared" si="0"/>
        <v>4.2000000000000003E-2</v>
      </c>
      <c r="I17" s="1068">
        <f>ROUND(G17/SUM($G$17:$G$22),4)</f>
        <v>0.25259999999999999</v>
      </c>
      <c r="J17" s="1053">
        <f>+ROUND(SUM(H17:H22),3)</f>
        <v>0.16700000000000001</v>
      </c>
      <c r="L17" s="1069"/>
      <c r="M17" s="1070"/>
      <c r="N17" s="1041"/>
    </row>
    <row r="18" spans="2:14" ht="19.5" customHeight="1" x14ac:dyDescent="0.25">
      <c r="B18" s="1065"/>
      <c r="C18" s="1066" t="s">
        <v>991</v>
      </c>
      <c r="D18" s="1067" t="s">
        <v>950</v>
      </c>
      <c r="E18" s="1036" t="s">
        <v>949</v>
      </c>
      <c r="F18" s="1285"/>
      <c r="G18" s="1037">
        <f>+'Mtdo-Ppto RS'!M51</f>
        <v>11725.039999999999</v>
      </c>
      <c r="H18" s="1038">
        <f t="shared" si="0"/>
        <v>1.2999999999999999E-2</v>
      </c>
      <c r="I18" s="1068">
        <f>ROUND(G18/SUM($G$17:$G$22),4)</f>
        <v>7.8700000000000006E-2</v>
      </c>
      <c r="J18" s="1071"/>
      <c r="L18" s="1054"/>
      <c r="M18" s="1064"/>
      <c r="N18" s="1041"/>
    </row>
    <row r="19" spans="2:14" ht="19.5" customHeight="1" x14ac:dyDescent="0.25">
      <c r="B19" s="1065"/>
      <c r="C19" s="1066" t="s">
        <v>20</v>
      </c>
      <c r="D19" s="1067" t="s">
        <v>950</v>
      </c>
      <c r="E19" s="1036" t="s">
        <v>992</v>
      </c>
      <c r="F19" s="1285"/>
      <c r="G19" s="1037">
        <f>+'Mtdo-Ppto RS'!M83</f>
        <v>25775.52</v>
      </c>
      <c r="H19" s="1038">
        <f t="shared" si="0"/>
        <v>2.9000000000000001E-2</v>
      </c>
      <c r="I19" s="1068">
        <f t="shared" ref="I19:I22" si="1">ROUND(G19/SUM($G$17:$G$22),4)</f>
        <v>0.17299999999999999</v>
      </c>
      <c r="J19" s="1071"/>
      <c r="L19" s="1069"/>
      <c r="M19" s="1070"/>
      <c r="N19" s="1072"/>
    </row>
    <row r="20" spans="2:14" ht="19.5" customHeight="1" x14ac:dyDescent="0.25">
      <c r="B20" s="1065"/>
      <c r="C20" s="1066" t="s">
        <v>58</v>
      </c>
      <c r="D20" s="1067" t="s">
        <v>950</v>
      </c>
      <c r="E20" s="1036" t="s">
        <v>993</v>
      </c>
      <c r="F20" s="1285"/>
      <c r="G20" s="1037">
        <f>+'Mtdo-Ppto RS'!M101</f>
        <v>12191.380000000001</v>
      </c>
      <c r="H20" s="1038">
        <f t="shared" si="0"/>
        <v>1.4E-2</v>
      </c>
      <c r="I20" s="1068">
        <f>ROUND(G20/SUM($G$17:$G$22),4)</f>
        <v>8.1799999999999998E-2</v>
      </c>
      <c r="J20" s="1071"/>
      <c r="L20" s="1069"/>
      <c r="M20" s="1070"/>
      <c r="N20" s="1041"/>
    </row>
    <row r="21" spans="2:14" ht="19.5" customHeight="1" x14ac:dyDescent="0.25">
      <c r="B21" s="1065"/>
      <c r="C21" s="1066" t="s">
        <v>47</v>
      </c>
      <c r="D21" s="1067" t="s">
        <v>954</v>
      </c>
      <c r="E21" s="1036" t="s">
        <v>955</v>
      </c>
      <c r="F21" s="1285"/>
      <c r="G21" s="1037">
        <f>+'Mtdo-Ppto RS'!M57</f>
        <v>48623.479999999996</v>
      </c>
      <c r="H21" s="1038">
        <f t="shared" si="0"/>
        <v>5.3999999999999999E-2</v>
      </c>
      <c r="I21" s="1068">
        <f t="shared" si="1"/>
        <v>0.32640000000000002</v>
      </c>
      <c r="J21" s="1071"/>
      <c r="L21" s="1069"/>
      <c r="M21" s="1070"/>
      <c r="N21" s="1041"/>
    </row>
    <row r="22" spans="2:14" ht="19.5" customHeight="1" x14ac:dyDescent="0.25">
      <c r="B22" s="1056"/>
      <c r="C22" s="1057" t="s">
        <v>62</v>
      </c>
      <c r="D22" s="1058" t="s">
        <v>954</v>
      </c>
      <c r="E22" s="1059" t="s">
        <v>956</v>
      </c>
      <c r="F22" s="1286"/>
      <c r="G22" s="1060">
        <f>+'Mtdo-Ppto RS'!M111</f>
        <v>13035.61</v>
      </c>
      <c r="H22" s="1061">
        <f>ROUND(G22/$D$10,3)</f>
        <v>1.4999999999999999E-2</v>
      </c>
      <c r="I22" s="1062">
        <f t="shared" si="1"/>
        <v>8.7499999999999994E-2</v>
      </c>
      <c r="J22" s="1063"/>
      <c r="L22" s="1069"/>
      <c r="M22" s="1070"/>
      <c r="N22" s="1041"/>
    </row>
    <row r="23" spans="2:14" ht="19.5" customHeight="1" x14ac:dyDescent="0.25">
      <c r="B23" s="1046">
        <v>4</v>
      </c>
      <c r="C23" s="1047" t="s">
        <v>89</v>
      </c>
      <c r="D23" s="1073" t="s">
        <v>958</v>
      </c>
      <c r="E23" s="1074" t="s">
        <v>959</v>
      </c>
      <c r="F23" s="1283" t="s">
        <v>959</v>
      </c>
      <c r="G23" s="1050">
        <f>+'Mtdo-Ppto RS'!M240</f>
        <v>323016.92000000004</v>
      </c>
      <c r="H23" s="1051">
        <f>ROUND(G23/$D$10,3)</f>
        <v>0.36099999999999999</v>
      </c>
      <c r="I23" s="1052">
        <f>ROUND(G23/($G$23+$G$24),4)</f>
        <v>0.87360000000000004</v>
      </c>
      <c r="J23" s="1053">
        <f>+ROUND(SUM(H23:H24),3)</f>
        <v>0.41299999999999998</v>
      </c>
      <c r="L23" s="1069"/>
      <c r="M23" s="1070"/>
      <c r="N23" s="1041"/>
    </row>
    <row r="24" spans="2:14" ht="19.5" customHeight="1" x14ac:dyDescent="0.25">
      <c r="B24" s="1056"/>
      <c r="C24" s="1057" t="s">
        <v>960</v>
      </c>
      <c r="D24" s="1075" t="s">
        <v>961</v>
      </c>
      <c r="E24" s="1059" t="s">
        <v>962</v>
      </c>
      <c r="F24" s="1282"/>
      <c r="G24" s="1060">
        <f>+'Mtdo-Ppto RS'!M352</f>
        <v>46723.13</v>
      </c>
      <c r="H24" s="1061">
        <f t="shared" ref="H24" si="2">ROUND(G24/$D$10,3)</f>
        <v>5.1999999999999998E-2</v>
      </c>
      <c r="I24" s="1062">
        <f>ROUND(G24/($G$23+$G$24),4)</f>
        <v>0.12640000000000001</v>
      </c>
      <c r="J24" s="1071"/>
      <c r="L24" s="1054"/>
      <c r="M24" s="1064"/>
      <c r="N24" s="1041"/>
    </row>
    <row r="25" spans="2:14" ht="19.5" customHeight="1" thickBot="1" x14ac:dyDescent="0.3">
      <c r="B25" s="1076">
        <v>5</v>
      </c>
      <c r="C25" s="1077" t="s">
        <v>994</v>
      </c>
      <c r="D25" s="1078" t="s">
        <v>964</v>
      </c>
      <c r="E25" s="1079" t="s">
        <v>965</v>
      </c>
      <c r="F25" s="1080" t="s">
        <v>965</v>
      </c>
      <c r="G25" s="1081">
        <f>+'RES-RS'!H16+'RES-RS'!H17</f>
        <v>103667.77</v>
      </c>
      <c r="H25" s="1082">
        <f>ROUND(G25/$D$10,3)</f>
        <v>0.11600000000000001</v>
      </c>
      <c r="I25" s="1083">
        <f>+G25/(G25)</f>
        <v>1</v>
      </c>
      <c r="J25" s="1084">
        <f>+ROUND(SUM(H25),3)</f>
        <v>0.11600000000000001</v>
      </c>
      <c r="K25" s="1085"/>
      <c r="L25" s="1069"/>
      <c r="M25" s="1055"/>
      <c r="N25" s="1041"/>
    </row>
    <row r="26" spans="2:14" ht="15" x14ac:dyDescent="0.25">
      <c r="B26" s="1086"/>
      <c r="C26" s="1087"/>
      <c r="D26" s="1087"/>
      <c r="E26" s="1087"/>
      <c r="F26" s="1087"/>
      <c r="G26" s="1088"/>
      <c r="H26" s="1089">
        <f>SUM(H15:H25)</f>
        <v>0.8670000000000001</v>
      </c>
      <c r="I26" s="1090"/>
      <c r="J26" s="1091"/>
      <c r="M26" s="1092"/>
    </row>
    <row r="27" spans="2:14" ht="17.399999999999999" x14ac:dyDescent="0.25">
      <c r="B27" s="1093" t="s">
        <v>967</v>
      </c>
      <c r="C27" s="928" t="str">
        <f>J13&amp;" PCr/PCo + "&amp;J15&amp;" DI1r/DI1o + "&amp;J17&amp;" CUr/CUo+ "&amp;J23&amp;" Jr/Jo + "&amp;J25&amp;" GGr/GGo"</f>
        <v>0.133 PCr/PCo + 0.171 DI1r/DI1o + 0.167 CUr/CUo+ 0.413 Jr/Jo + 0.116 GGr/GGo</v>
      </c>
      <c r="D27" s="1020"/>
      <c r="E27" s="1020"/>
      <c r="F27" s="1020"/>
      <c r="G27" s="1094"/>
      <c r="H27" s="1095"/>
      <c r="I27" s="1096"/>
      <c r="J27" s="1097"/>
    </row>
    <row r="28" spans="2:14" ht="13.8" thickBot="1" x14ac:dyDescent="0.3">
      <c r="B28" s="1098"/>
      <c r="C28" s="1099"/>
      <c r="D28" s="1099"/>
      <c r="E28" s="1099"/>
      <c r="F28" s="1099"/>
      <c r="G28" s="1099"/>
      <c r="H28" s="1099"/>
      <c r="I28" s="1099"/>
      <c r="J28" s="1100"/>
    </row>
    <row r="29" spans="2:14" x14ac:dyDescent="0.25">
      <c r="B29" s="1019"/>
      <c r="C29" s="1021"/>
      <c r="D29" s="1021"/>
      <c r="E29" s="1021"/>
      <c r="F29" s="1021"/>
      <c r="G29" s="1021"/>
      <c r="H29" s="1021"/>
      <c r="I29" s="1021"/>
      <c r="J29" s="1101"/>
    </row>
    <row r="30" spans="2:14" x14ac:dyDescent="0.25">
      <c r="B30" s="1019" t="s">
        <v>232</v>
      </c>
      <c r="C30" s="1021"/>
      <c r="D30" s="1021"/>
      <c r="E30" s="1021"/>
      <c r="F30" s="1021"/>
      <c r="G30" s="1021"/>
      <c r="H30" s="1102"/>
      <c r="I30" s="1103"/>
      <c r="J30" s="1104"/>
    </row>
    <row r="31" spans="2:14" x14ac:dyDescent="0.25">
      <c r="B31" s="1019"/>
      <c r="C31" s="1021"/>
      <c r="D31" s="1021"/>
      <c r="E31" s="1021"/>
      <c r="F31" s="1021"/>
      <c r="G31" s="1021"/>
      <c r="H31" s="1102"/>
      <c r="I31" s="1105"/>
      <c r="J31" s="1104"/>
    </row>
    <row r="32" spans="2:14" ht="13.8" x14ac:dyDescent="0.25">
      <c r="B32" s="1106" t="s">
        <v>968</v>
      </c>
      <c r="C32" s="1107" t="s">
        <v>969</v>
      </c>
      <c r="D32" s="1107"/>
      <c r="E32" s="1107"/>
      <c r="F32" s="1107"/>
      <c r="G32" s="1021"/>
      <c r="H32" s="1102"/>
      <c r="I32" s="1103"/>
      <c r="J32" s="1104"/>
    </row>
    <row r="33" spans="2:10" ht="13.8" x14ac:dyDescent="0.25">
      <c r="B33" s="1106"/>
      <c r="C33" s="1107" t="s">
        <v>970</v>
      </c>
      <c r="D33" s="1107"/>
      <c r="E33" s="1107"/>
      <c r="F33" s="1107"/>
      <c r="G33" s="1021"/>
      <c r="H33" s="1102"/>
      <c r="I33" s="1103"/>
      <c r="J33" s="1104"/>
    </row>
    <row r="34" spans="2:10" ht="13.8" x14ac:dyDescent="0.25">
      <c r="B34" s="1106"/>
      <c r="C34" s="1107" t="s">
        <v>971</v>
      </c>
      <c r="D34" s="1021"/>
      <c r="E34" s="1021"/>
      <c r="F34" s="1021"/>
      <c r="G34" s="1021"/>
      <c r="H34" s="1102"/>
      <c r="I34" s="1103"/>
      <c r="J34" s="1104"/>
    </row>
    <row r="35" spans="2:10" ht="13.8" x14ac:dyDescent="0.25">
      <c r="B35" s="1106" t="s">
        <v>972</v>
      </c>
      <c r="C35" s="1107" t="s">
        <v>973</v>
      </c>
      <c r="D35" s="1107"/>
      <c r="E35" s="1107"/>
      <c r="F35" s="1107"/>
      <c r="G35" s="1021"/>
      <c r="H35" s="1102"/>
      <c r="I35" s="1103"/>
      <c r="J35" s="1101"/>
    </row>
    <row r="36" spans="2:10" ht="13.8" x14ac:dyDescent="0.25">
      <c r="B36" s="1106"/>
      <c r="C36" s="1107" t="s">
        <v>974</v>
      </c>
      <c r="D36" s="1021"/>
      <c r="E36" s="1021"/>
      <c r="F36" s="1021"/>
      <c r="G36" s="1021"/>
      <c r="H36" s="1102"/>
      <c r="I36" s="1108"/>
      <c r="J36" s="1101"/>
    </row>
    <row r="37" spans="2:10" ht="14.4" thickBot="1" x14ac:dyDescent="0.3">
      <c r="B37" s="1109" t="s">
        <v>975</v>
      </c>
      <c r="C37" s="1110" t="s">
        <v>976</v>
      </c>
      <c r="D37" s="1110"/>
      <c r="E37" s="1099"/>
      <c r="F37" s="1099"/>
      <c r="G37" s="1099"/>
      <c r="H37" s="1111"/>
      <c r="I37" s="1111"/>
      <c r="J37" s="1112"/>
    </row>
    <row r="38" spans="2:10" x14ac:dyDescent="0.25">
      <c r="G38" s="1113"/>
      <c r="J38" s="1114"/>
    </row>
    <row r="39" spans="2:10" x14ac:dyDescent="0.25">
      <c r="G39" s="1115"/>
      <c r="H39" s="1116"/>
      <c r="I39" s="1116"/>
      <c r="J39" s="1116"/>
    </row>
    <row r="40" spans="2:10" x14ac:dyDescent="0.25">
      <c r="G40" s="1115"/>
    </row>
    <row r="41" spans="2:10" x14ac:dyDescent="0.25">
      <c r="G41" s="1115"/>
    </row>
    <row r="42" spans="2:10" x14ac:dyDescent="0.25">
      <c r="G42" s="1115"/>
    </row>
    <row r="43" spans="2:10" x14ac:dyDescent="0.25">
      <c r="H43" s="1117" t="str">
        <f>+IF(SUM(H13:H25)=1,"OK","X")</f>
        <v>OK</v>
      </c>
      <c r="I43" s="1117" t="str">
        <f>+IF(SUM(I13:I25)=5,"OK","X")</f>
        <v>OK</v>
      </c>
      <c r="J43" s="1117" t="str">
        <f t="shared" ref="J43" si="3">+IF(SUM(J13:J25)=1,"OK","X")</f>
        <v>OK</v>
      </c>
    </row>
    <row r="44" spans="2:10" x14ac:dyDescent="0.25">
      <c r="H44" s="1026"/>
      <c r="I44" s="1026"/>
      <c r="J44" s="1026"/>
    </row>
    <row r="50" spans="10:10" x14ac:dyDescent="0.25">
      <c r="J50" s="1069"/>
    </row>
  </sheetData>
  <mergeCells count="5">
    <mergeCell ref="C7:J7"/>
    <mergeCell ref="F13:F14"/>
    <mergeCell ref="F15:F16"/>
    <mergeCell ref="F17:F22"/>
    <mergeCell ref="F23:F24"/>
  </mergeCells>
  <printOptions horizontalCentered="1" verticalCentered="1"/>
  <pageMargins left="0.39370078740157483" right="0.39370078740157483" top="0" bottom="0" header="0" footer="0"/>
  <pageSetup paperSize="9" scale="6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BF8C-F2A7-4F07-A2FA-B61E55BB443E}">
  <sheetPr codeName="Hoja9"/>
  <dimension ref="B1:Q29"/>
  <sheetViews>
    <sheetView showGridLines="0" view="pageBreakPreview" zoomScale="85" zoomScaleNormal="100" zoomScaleSheetLayoutView="85" workbookViewId="0">
      <selection activeCell="B2" sqref="B2"/>
    </sheetView>
  </sheetViews>
  <sheetFormatPr baseColWidth="10" defaultColWidth="11.44140625" defaultRowHeight="13.2" x14ac:dyDescent="0.25"/>
  <cols>
    <col min="1" max="1" width="1.88671875" style="3" customWidth="1"/>
    <col min="2" max="2" width="11.33203125" style="7" customWidth="1"/>
    <col min="3" max="3" width="2.5546875" style="7" customWidth="1"/>
    <col min="4" max="4" width="6.109375" style="7" customWidth="1"/>
    <col min="5" max="5" width="7.44140625" style="7" customWidth="1"/>
    <col min="6" max="6" width="48.88671875" style="7" customWidth="1"/>
    <col min="7" max="7" width="20.109375" style="7" customWidth="1"/>
    <col min="8" max="8" width="19.33203125" style="7" customWidth="1"/>
    <col min="9" max="9" width="16.6640625" style="7" hidden="1" customWidth="1"/>
    <col min="10" max="10" width="14.6640625" style="7" hidden="1" customWidth="1"/>
    <col min="11" max="11" width="14" style="7" hidden="1" customWidth="1"/>
    <col min="12" max="12" width="16.6640625" style="7" hidden="1" customWidth="1"/>
    <col min="13" max="14" width="11.88671875" style="3" customWidth="1"/>
    <col min="15" max="16384" width="11.44140625" style="3"/>
  </cols>
  <sheetData>
    <row r="1" spans="2:17" ht="8.25" customHeight="1" x14ac:dyDescent="0.25">
      <c r="B1" s="5"/>
      <c r="C1" s="6"/>
      <c r="D1" s="6"/>
      <c r="E1" s="6"/>
      <c r="F1" s="6"/>
      <c r="G1" s="6"/>
      <c r="H1" s="6"/>
      <c r="I1" s="6"/>
      <c r="J1" s="6"/>
      <c r="K1" s="6"/>
    </row>
    <row r="2" spans="2:17" ht="15" customHeight="1" x14ac:dyDescent="0.25">
      <c r="B2" s="728" t="s">
        <v>1026</v>
      </c>
      <c r="C2" s="8"/>
      <c r="D2" s="8"/>
      <c r="E2" s="8"/>
      <c r="F2" s="8"/>
      <c r="G2" s="8"/>
      <c r="H2" s="8"/>
      <c r="I2" s="8"/>
      <c r="J2" s="8"/>
      <c r="K2" s="8"/>
      <c r="L2" s="727"/>
    </row>
    <row r="3" spans="2:17" ht="12" customHeight="1" x14ac:dyDescent="0.25">
      <c r="B3" s="726"/>
      <c r="C3" s="8"/>
      <c r="D3" s="8"/>
      <c r="E3" s="8"/>
      <c r="F3" s="8"/>
      <c r="G3" s="8"/>
      <c r="H3" s="8"/>
      <c r="I3" s="8"/>
      <c r="J3" s="8"/>
      <c r="K3" s="8"/>
    </row>
    <row r="4" spans="2:17" ht="42.75" customHeight="1" x14ac:dyDescent="0.25">
      <c r="B4" s="1221" t="s">
        <v>298</v>
      </c>
      <c r="C4" s="1221"/>
      <c r="D4" s="1221"/>
      <c r="E4" s="1221"/>
      <c r="F4" s="1221"/>
      <c r="G4" s="1221"/>
      <c r="H4" s="1221"/>
      <c r="I4" s="1221"/>
      <c r="J4" s="1221"/>
      <c r="K4" s="1221"/>
      <c r="L4" s="1221"/>
    </row>
    <row r="5" spans="2:17" ht="15" customHeight="1" x14ac:dyDescent="0.25">
      <c r="B5" s="725"/>
      <c r="C5" s="9"/>
      <c r="D5" s="9"/>
      <c r="E5" s="9"/>
      <c r="F5" s="9"/>
      <c r="G5" s="9"/>
      <c r="H5" s="9"/>
      <c r="I5" s="9"/>
      <c r="J5" s="9"/>
      <c r="K5" s="9"/>
    </row>
    <row r="6" spans="2:17" ht="18" customHeight="1" x14ac:dyDescent="0.25">
      <c r="B6" s="724" t="s">
        <v>0</v>
      </c>
      <c r="C6" s="10" t="s">
        <v>1</v>
      </c>
      <c r="D6" s="11" t="s">
        <v>299</v>
      </c>
      <c r="E6" s="11"/>
      <c r="G6" s="11"/>
      <c r="H6" s="11"/>
      <c r="I6" s="11"/>
      <c r="J6" s="11"/>
      <c r="K6" s="11"/>
    </row>
    <row r="7" spans="2:17" ht="18" customHeight="1" x14ac:dyDescent="0.25">
      <c r="B7" s="13" t="s">
        <v>657</v>
      </c>
      <c r="C7" s="12" t="s">
        <v>1</v>
      </c>
      <c r="D7" s="13" t="s">
        <v>658</v>
      </c>
      <c r="E7" s="13"/>
      <c r="G7" s="13"/>
      <c r="H7" s="729" t="s">
        <v>300</v>
      </c>
      <c r="I7" s="13"/>
      <c r="J7" s="13"/>
      <c r="K7" s="13"/>
    </row>
    <row r="8" spans="2:17" ht="18" customHeight="1" x14ac:dyDescent="0.25">
      <c r="B8" s="723"/>
      <c r="C8" s="722"/>
      <c r="D8" s="721"/>
      <c r="E8" s="721"/>
      <c r="F8" s="721"/>
      <c r="G8" s="721"/>
      <c r="H8" s="1131" t="s">
        <v>301</v>
      </c>
      <c r="I8" s="721"/>
      <c r="J8" s="721"/>
      <c r="K8" s="721"/>
      <c r="L8" s="1129"/>
    </row>
    <row r="9" spans="2:17" ht="20.25" customHeight="1" x14ac:dyDescent="0.25">
      <c r="B9" s="1222" t="s">
        <v>3</v>
      </c>
      <c r="C9" s="1224" t="s">
        <v>84</v>
      </c>
      <c r="D9" s="1225"/>
      <c r="E9" s="1225"/>
      <c r="F9" s="1226"/>
      <c r="G9" s="1189" t="s">
        <v>106</v>
      </c>
      <c r="H9" s="1189" t="s">
        <v>436</v>
      </c>
      <c r="I9" s="1199" t="s">
        <v>433</v>
      </c>
      <c r="J9" s="1200"/>
      <c r="K9" s="1201" t="s">
        <v>294</v>
      </c>
      <c r="L9" s="1201"/>
    </row>
    <row r="10" spans="2:17" ht="33" customHeight="1" x14ac:dyDescent="0.25">
      <c r="B10" s="1223"/>
      <c r="C10" s="1227"/>
      <c r="D10" s="1228"/>
      <c r="E10" s="1228"/>
      <c r="F10" s="1229"/>
      <c r="G10" s="1190"/>
      <c r="H10" s="1190"/>
      <c r="I10" s="691" t="s">
        <v>114</v>
      </c>
      <c r="J10" s="691" t="s">
        <v>434</v>
      </c>
      <c r="K10" s="675" t="s">
        <v>297</v>
      </c>
      <c r="L10" s="675" t="s">
        <v>115</v>
      </c>
    </row>
    <row r="11" spans="2:17" ht="21.75" customHeight="1" x14ac:dyDescent="0.25">
      <c r="B11" s="661"/>
      <c r="C11" s="665"/>
      <c r="D11" s="666"/>
      <c r="E11" s="666"/>
      <c r="F11" s="667"/>
      <c r="G11" s="674"/>
      <c r="H11" s="674"/>
      <c r="I11" s="674"/>
      <c r="J11" s="674"/>
      <c r="K11" s="674"/>
      <c r="L11" s="674"/>
    </row>
    <row r="12" spans="2:17" ht="21.75" customHeight="1" x14ac:dyDescent="0.25">
      <c r="B12" s="662" t="s">
        <v>86</v>
      </c>
      <c r="C12" s="668"/>
      <c r="D12" s="669" t="s">
        <v>99</v>
      </c>
      <c r="E12" s="669"/>
      <c r="F12" s="670"/>
      <c r="G12" s="663">
        <f>+'Mtdo-Ppto SFV'!K119</f>
        <v>224739.45</v>
      </c>
      <c r="H12" s="663">
        <f>+'Mtdo-Ppto SFV'!M119</f>
        <v>231968.38999999996</v>
      </c>
      <c r="I12" s="663">
        <f>+'Mtdo-Ppto SFV'!O119</f>
        <v>141.51</v>
      </c>
      <c r="J12" s="663">
        <f>+'Mtdo-Ppto SFV'!Q119</f>
        <v>103598.37</v>
      </c>
      <c r="K12" s="663">
        <f>+'Mtdo-Ppto SFV'!S119</f>
        <v>96510.939999999988</v>
      </c>
      <c r="L12" s="663">
        <f>+'Mtdo-Ppto SFV'!U119</f>
        <v>0</v>
      </c>
      <c r="M12" s="17"/>
      <c r="N12" s="18"/>
      <c r="P12" s="16"/>
      <c r="Q12" s="17"/>
    </row>
    <row r="13" spans="2:17" ht="21.75" customHeight="1" x14ac:dyDescent="0.25">
      <c r="B13" s="662" t="s">
        <v>88</v>
      </c>
      <c r="C13" s="671"/>
      <c r="D13" s="15" t="s">
        <v>89</v>
      </c>
      <c r="E13" s="15"/>
      <c r="F13" s="672"/>
      <c r="G13" s="663">
        <f>+'Mtdo-Ppto SFV'!K166</f>
        <v>51498.29</v>
      </c>
      <c r="H13" s="663">
        <f>+'Mtdo-Ppto SFV'!M166</f>
        <v>49238.780000000006</v>
      </c>
      <c r="I13" s="663">
        <f>+'Mtdo-Ppto SFV'!O166</f>
        <v>228.49</v>
      </c>
      <c r="J13" s="663">
        <f>+'Mtdo-Ppto SFV'!Q166</f>
        <v>0</v>
      </c>
      <c r="K13" s="663">
        <f>+'Mtdo-Ppto SFV'!S166</f>
        <v>2488.02</v>
      </c>
      <c r="L13" s="663">
        <f>+'Mtdo-Ppto SFV'!U166</f>
        <v>0</v>
      </c>
      <c r="M13" s="17"/>
      <c r="N13" s="18"/>
      <c r="P13" s="16"/>
      <c r="Q13" s="17"/>
    </row>
    <row r="14" spans="2:17" ht="21.75" customHeight="1" x14ac:dyDescent="0.25">
      <c r="B14" s="662" t="s">
        <v>90</v>
      </c>
      <c r="C14" s="671"/>
      <c r="D14" s="15" t="s">
        <v>100</v>
      </c>
      <c r="E14" s="15"/>
      <c r="F14" s="672"/>
      <c r="G14" s="663">
        <f>+'Mtdo-Ppto SFV'!K270</f>
        <v>5558.67</v>
      </c>
      <c r="H14" s="663">
        <f>+'Mtdo-Ppto SFV'!M270</f>
        <v>6557.1399999999994</v>
      </c>
      <c r="I14" s="663">
        <f>+'Mtdo-Ppto SFV'!O270</f>
        <v>5.7200000000000006</v>
      </c>
      <c r="J14" s="663">
        <f>+'Mtdo-Ppto SFV'!Q270</f>
        <v>2262.5500000000002</v>
      </c>
      <c r="K14" s="663">
        <f>+'Mtdo-Ppto SFV'!S270</f>
        <v>1269.8000000000002</v>
      </c>
      <c r="L14" s="663">
        <f>+'Mtdo-Ppto SFV'!U270</f>
        <v>0</v>
      </c>
      <c r="M14" s="17"/>
      <c r="N14" s="18"/>
      <c r="P14" s="16"/>
      <c r="Q14" s="17"/>
    </row>
    <row r="15" spans="2:17" s="689" customFormat="1" ht="36.75" customHeight="1" x14ac:dyDescent="0.25">
      <c r="B15" s="686" t="s">
        <v>92</v>
      </c>
      <c r="C15" s="676"/>
      <c r="D15" s="677" t="s">
        <v>101</v>
      </c>
      <c r="E15" s="677"/>
      <c r="F15" s="678"/>
      <c r="G15" s="679">
        <f t="shared" ref="G15:L15" si="0">+SUM(G12:G14)</f>
        <v>281796.40999999997</v>
      </c>
      <c r="H15" s="679">
        <f t="shared" si="0"/>
        <v>287764.31</v>
      </c>
      <c r="I15" s="679">
        <f t="shared" si="0"/>
        <v>375.72</v>
      </c>
      <c r="J15" s="679">
        <f t="shared" si="0"/>
        <v>105860.92</v>
      </c>
      <c r="K15" s="679">
        <f t="shared" si="0"/>
        <v>100268.76</v>
      </c>
      <c r="L15" s="679">
        <f t="shared" si="0"/>
        <v>0</v>
      </c>
      <c r="M15" s="688"/>
      <c r="N15" s="594"/>
      <c r="P15" s="690"/>
      <c r="Q15" s="688"/>
    </row>
    <row r="16" spans="2:17" ht="24.75" customHeight="1" x14ac:dyDescent="0.25">
      <c r="B16" s="664" t="s">
        <v>94</v>
      </c>
      <c r="C16" s="665"/>
      <c r="D16" s="680" t="s">
        <v>807</v>
      </c>
      <c r="E16" s="680"/>
      <c r="F16" s="673"/>
      <c r="G16" s="663">
        <f t="shared" ref="G16:L16" si="1">ROUND(G15*10.12%,2)</f>
        <v>28517.8</v>
      </c>
      <c r="H16" s="663">
        <f t="shared" si="1"/>
        <v>29121.75</v>
      </c>
      <c r="I16" s="663">
        <f t="shared" si="1"/>
        <v>38.020000000000003</v>
      </c>
      <c r="J16" s="663">
        <f t="shared" si="1"/>
        <v>10713.13</v>
      </c>
      <c r="K16" s="663">
        <f t="shared" si="1"/>
        <v>10147.200000000001</v>
      </c>
      <c r="L16" s="663">
        <f t="shared" si="1"/>
        <v>0</v>
      </c>
      <c r="M16" s="17"/>
      <c r="N16" s="19"/>
      <c r="P16" s="16"/>
      <c r="Q16" s="17"/>
    </row>
    <row r="17" spans="2:17" ht="24.75" customHeight="1" x14ac:dyDescent="0.25">
      <c r="B17" s="664" t="s">
        <v>95</v>
      </c>
      <c r="C17" s="665"/>
      <c r="D17" s="14" t="s">
        <v>808</v>
      </c>
      <c r="E17" s="14"/>
      <c r="F17" s="673"/>
      <c r="G17" s="663">
        <f t="shared" ref="G17:L17" si="2">ROUND(G15*3%,2)</f>
        <v>8453.89</v>
      </c>
      <c r="H17" s="663">
        <f t="shared" si="2"/>
        <v>8632.93</v>
      </c>
      <c r="I17" s="663">
        <f t="shared" si="2"/>
        <v>11.27</v>
      </c>
      <c r="J17" s="663">
        <f t="shared" si="2"/>
        <v>3175.83</v>
      </c>
      <c r="K17" s="663">
        <f t="shared" si="2"/>
        <v>3008.06</v>
      </c>
      <c r="L17" s="663">
        <f t="shared" si="2"/>
        <v>0</v>
      </c>
      <c r="M17" s="17"/>
      <c r="N17" s="19"/>
      <c r="P17" s="16"/>
      <c r="Q17" s="17"/>
    </row>
    <row r="18" spans="2:17" s="689" customFormat="1" ht="36.75" customHeight="1" x14ac:dyDescent="0.25">
      <c r="B18" s="686" t="s">
        <v>113</v>
      </c>
      <c r="C18" s="676"/>
      <c r="D18" s="677" t="s">
        <v>102</v>
      </c>
      <c r="E18" s="677"/>
      <c r="F18" s="678"/>
      <c r="G18" s="687">
        <f t="shared" ref="G18:L18" si="3">G17+G16+G15</f>
        <v>318768.09999999998</v>
      </c>
      <c r="H18" s="687">
        <f t="shared" si="3"/>
        <v>325518.99</v>
      </c>
      <c r="I18" s="687">
        <f t="shared" si="3"/>
        <v>425.01000000000005</v>
      </c>
      <c r="J18" s="687">
        <f t="shared" si="3"/>
        <v>119749.88</v>
      </c>
      <c r="K18" s="687">
        <f t="shared" si="3"/>
        <v>113424.01999999999</v>
      </c>
      <c r="L18" s="687">
        <f t="shared" si="3"/>
        <v>0</v>
      </c>
      <c r="M18" s="690">
        <f>+H18-G18</f>
        <v>6750.890000000014</v>
      </c>
      <c r="N18" s="594"/>
      <c r="P18" s="690"/>
      <c r="Q18" s="688"/>
    </row>
    <row r="19" spans="2:17" s="689" customFormat="1" ht="6" customHeight="1" x14ac:dyDescent="0.25">
      <c r="B19" s="1137"/>
      <c r="C19" s="1138"/>
      <c r="D19" s="677"/>
      <c r="E19" s="677"/>
      <c r="F19" s="677"/>
      <c r="G19" s="1139"/>
      <c r="H19" s="1139"/>
      <c r="I19" s="1136"/>
      <c r="J19" s="1135"/>
      <c r="K19" s="1135"/>
      <c r="L19" s="1135"/>
      <c r="M19" s="690"/>
      <c r="N19" s="594"/>
      <c r="P19" s="690"/>
      <c r="Q19" s="688"/>
    </row>
    <row r="20" spans="2:17" ht="38.25" customHeight="1" x14ac:dyDescent="0.25">
      <c r="B20" s="681"/>
      <c r="C20" s="682"/>
      <c r="D20" s="683" t="s">
        <v>112</v>
      </c>
      <c r="E20" s="683"/>
      <c r="F20" s="684"/>
      <c r="G20" s="685">
        <f>+G18/G18</f>
        <v>1</v>
      </c>
      <c r="H20" s="685">
        <f>+H18/$G$18</f>
        <v>1.0211780601634857</v>
      </c>
      <c r="I20" s="685">
        <f>+I18/$G$18</f>
        <v>1.3332889959817187E-3</v>
      </c>
      <c r="J20" s="685">
        <f t="shared" ref="J20" si="4">+J18/$G$18</f>
        <v>0.37566456618463395</v>
      </c>
      <c r="K20" s="685">
        <f>+K18/$G$18</f>
        <v>0.35581985775866531</v>
      </c>
      <c r="L20" s="685">
        <f>+L18/$G$18</f>
        <v>0</v>
      </c>
      <c r="M20" s="17"/>
    </row>
    <row r="21" spans="2:17" x14ac:dyDescent="0.25">
      <c r="L21" s="20"/>
    </row>
    <row r="22" spans="2:17" ht="13.8" x14ac:dyDescent="0.25">
      <c r="H22" s="20">
        <f>+H18-I18+K18-J18</f>
        <v>318768.12</v>
      </c>
      <c r="I22" s="63"/>
      <c r="J22" s="63"/>
      <c r="K22" s="20">
        <f>+G12-H12+I12+J12-K12</f>
        <v>0</v>
      </c>
    </row>
    <row r="23" spans="2:17" ht="13.8" x14ac:dyDescent="0.25">
      <c r="H23" s="20">
        <f>+G18-H22</f>
        <v>-2.0000000018626451E-2</v>
      </c>
      <c r="I23" s="63"/>
      <c r="J23" s="63"/>
      <c r="K23" s="20">
        <f>+G13-H13+I13+J13-K13</f>
        <v>-2.0000000005438778E-2</v>
      </c>
    </row>
    <row r="24" spans="2:17" x14ac:dyDescent="0.25">
      <c r="H24" s="20"/>
      <c r="K24" s="20">
        <f>+G14-H14+I14+J14-K14</f>
        <v>0</v>
      </c>
    </row>
    <row r="25" spans="2:17" x14ac:dyDescent="0.25">
      <c r="K25" s="20">
        <f>+G15-H15+I15+J15-K15</f>
        <v>-2.0000000018626451E-2</v>
      </c>
    </row>
    <row r="27" spans="2:17" ht="15.6" x14ac:dyDescent="0.25">
      <c r="H27" s="762"/>
    </row>
    <row r="29" spans="2:17" x14ac:dyDescent="0.25">
      <c r="H29" s="20"/>
    </row>
  </sheetData>
  <mergeCells count="7">
    <mergeCell ref="B4:L4"/>
    <mergeCell ref="B9:B10"/>
    <mergeCell ref="C9:F10"/>
    <mergeCell ref="G9:G10"/>
    <mergeCell ref="H9:H10"/>
    <mergeCell ref="I9:J9"/>
    <mergeCell ref="K9:L9"/>
  </mergeCells>
  <printOptions horizontalCentered="1" verticalCentered="1"/>
  <pageMargins left="0" right="0" top="0" bottom="0" header="0" footer="0"/>
  <pageSetup paperSize="9" scale="75" fitToWidth="0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9409-8652-403D-9E5B-2F8A019B8C34}">
  <sheetPr codeName="Hoja10"/>
  <dimension ref="A1:AG270"/>
  <sheetViews>
    <sheetView showGridLines="0" view="pageBreakPreview" topLeftCell="A6" zoomScale="70" zoomScaleNormal="100" zoomScaleSheetLayoutView="70" workbookViewId="0">
      <selection activeCell="A38" sqref="A38"/>
    </sheetView>
  </sheetViews>
  <sheetFormatPr baseColWidth="10" defaultColWidth="11.44140625" defaultRowHeight="13.8" x14ac:dyDescent="0.25"/>
  <cols>
    <col min="1" max="1" width="4.44140625" style="414" customWidth="1"/>
    <col min="2" max="2" width="7.6640625" style="414" customWidth="1"/>
    <col min="3" max="3" width="2" style="414" hidden="1" customWidth="1"/>
    <col min="4" max="4" width="7.33203125" style="414" customWidth="1"/>
    <col min="5" max="5" width="3.109375" style="415" customWidth="1"/>
    <col min="6" max="6" width="90.109375" style="414" customWidth="1"/>
    <col min="7" max="7" width="8.6640625" style="414" customWidth="1"/>
    <col min="8" max="8" width="12.33203125" style="414" customWidth="1"/>
    <col min="9" max="9" width="13.109375" style="414" customWidth="1"/>
    <col min="10" max="10" width="13.88671875" style="416" customWidth="1"/>
    <col min="11" max="11" width="17.44140625" style="417" customWidth="1"/>
    <col min="12" max="12" width="13.88671875" style="414" customWidth="1"/>
    <col min="13" max="13" width="17.44140625" style="414" customWidth="1"/>
    <col min="14" max="14" width="13.88671875" style="414" hidden="1" customWidth="1"/>
    <col min="15" max="15" width="17.44140625" style="414" hidden="1" customWidth="1"/>
    <col min="16" max="16" width="13.88671875" style="414" hidden="1" customWidth="1"/>
    <col min="17" max="17" width="17.44140625" style="414" hidden="1" customWidth="1"/>
    <col min="18" max="18" width="13.88671875" style="414" hidden="1" customWidth="1"/>
    <col min="19" max="19" width="17.44140625" style="414" hidden="1" customWidth="1"/>
    <col min="20" max="20" width="13.88671875" style="414" hidden="1" customWidth="1"/>
    <col min="21" max="21" width="17.44140625" style="414" hidden="1" customWidth="1"/>
    <col min="22" max="22" width="34.33203125" style="414" hidden="1" customWidth="1"/>
    <col min="23" max="23" width="12.88671875" style="414" customWidth="1"/>
    <col min="24" max="29" width="11.44140625" style="414"/>
    <col min="30" max="30" width="31.5546875" style="414" customWidth="1"/>
    <col min="31" max="31" width="16.33203125" style="547" customWidth="1"/>
    <col min="32" max="16384" width="11.44140625" style="414"/>
  </cols>
  <sheetData>
    <row r="1" spans="2:31" hidden="1" x14ac:dyDescent="0.25"/>
    <row r="2" spans="2:31" ht="15" hidden="1" customHeight="1" x14ac:dyDescent="0.25"/>
    <row r="3" spans="2:31" ht="15" hidden="1" customHeight="1" x14ac:dyDescent="0.25"/>
    <row r="4" spans="2:31" ht="15" hidden="1" customHeight="1" x14ac:dyDescent="0.25"/>
    <row r="5" spans="2:31" hidden="1" x14ac:dyDescent="0.25"/>
    <row r="6" spans="2:31" ht="20.25" customHeight="1" x14ac:dyDescent="0.25">
      <c r="B6" s="1230" t="s">
        <v>1027</v>
      </c>
      <c r="C6" s="1230"/>
      <c r="D6" s="1230"/>
      <c r="E6" s="1230"/>
      <c r="F6" s="1230"/>
      <c r="G6" s="1230"/>
      <c r="H6" s="1230"/>
      <c r="I6" s="1230"/>
      <c r="J6" s="1230"/>
      <c r="K6" s="1230"/>
      <c r="L6" s="1230"/>
      <c r="M6" s="1230"/>
      <c r="N6" s="1230"/>
      <c r="O6" s="1230"/>
      <c r="P6" s="1230"/>
      <c r="Q6" s="1230"/>
      <c r="R6" s="1230"/>
      <c r="S6" s="1230"/>
      <c r="T6" s="1230"/>
      <c r="U6" s="1230"/>
      <c r="V6" s="1230"/>
    </row>
    <row r="7" spans="2:31" ht="17.25" customHeight="1" x14ac:dyDescent="0.25">
      <c r="B7" s="1230"/>
      <c r="C7" s="1230"/>
      <c r="D7" s="1230"/>
      <c r="E7" s="1230"/>
      <c r="F7" s="1230"/>
      <c r="G7" s="1230"/>
      <c r="H7" s="1230"/>
      <c r="I7" s="1230"/>
      <c r="J7" s="1230"/>
      <c r="K7" s="1230"/>
      <c r="L7" s="1230"/>
      <c r="M7" s="1230"/>
      <c r="N7" s="1230"/>
      <c r="O7" s="1230"/>
      <c r="P7" s="1230"/>
      <c r="Q7" s="1230"/>
      <c r="R7" s="1230"/>
      <c r="S7" s="1230"/>
      <c r="T7" s="1230"/>
      <c r="U7" s="1230"/>
      <c r="V7" s="1230"/>
    </row>
    <row r="8" spans="2:31" s="418" customFormat="1" ht="24" customHeight="1" x14ac:dyDescent="0.25">
      <c r="B8" s="419" t="s">
        <v>111</v>
      </c>
      <c r="C8" s="420"/>
      <c r="D8" s="420"/>
      <c r="E8" s="421" t="s">
        <v>1</v>
      </c>
      <c r="F8" s="1249" t="s">
        <v>298</v>
      </c>
      <c r="G8" s="1249"/>
      <c r="H8" s="1249"/>
      <c r="I8" s="1249"/>
      <c r="J8" s="1249"/>
      <c r="K8" s="1249"/>
      <c r="L8" s="1249"/>
      <c r="M8" s="1249"/>
      <c r="N8" s="1249"/>
      <c r="O8" s="1249"/>
      <c r="P8" s="1249"/>
      <c r="Q8" s="1249"/>
      <c r="R8" s="1249"/>
      <c r="S8" s="1249"/>
      <c r="T8" s="1249"/>
      <c r="U8" s="1249"/>
      <c r="V8" s="1249"/>
      <c r="AE8" s="759"/>
    </row>
    <row r="9" spans="2:31" s="418" customFormat="1" ht="24" customHeight="1" x14ac:dyDescent="0.25">
      <c r="B9" s="419" t="s">
        <v>103</v>
      </c>
      <c r="C9" s="25"/>
      <c r="D9" s="25"/>
      <c r="E9" s="421" t="s">
        <v>1</v>
      </c>
      <c r="F9" s="422" t="s">
        <v>299</v>
      </c>
      <c r="G9" s="420"/>
      <c r="H9" s="420"/>
      <c r="I9" s="420"/>
      <c r="J9" s="420"/>
      <c r="K9" s="420"/>
      <c r="L9" s="423"/>
      <c r="M9" s="423"/>
      <c r="N9" s="423"/>
      <c r="O9" s="423"/>
      <c r="P9" s="423"/>
      <c r="Q9" s="423"/>
      <c r="R9" s="420"/>
      <c r="S9" s="420"/>
      <c r="T9" s="420"/>
      <c r="U9" s="420"/>
      <c r="V9" s="420"/>
      <c r="AE9" s="759"/>
    </row>
    <row r="10" spans="2:31" s="418" customFormat="1" ht="24" customHeight="1" x14ac:dyDescent="0.25">
      <c r="B10" s="419" t="s">
        <v>657</v>
      </c>
      <c r="C10" s="424"/>
      <c r="D10" s="424"/>
      <c r="E10" s="425" t="s">
        <v>1</v>
      </c>
      <c r="F10" s="419" t="s">
        <v>658</v>
      </c>
      <c r="G10" s="426"/>
      <c r="H10" s="427"/>
      <c r="I10" s="427"/>
      <c r="J10" s="428"/>
      <c r="K10" s="428"/>
      <c r="L10" s="428"/>
      <c r="M10" s="428"/>
      <c r="N10" s="428"/>
      <c r="O10" s="428"/>
      <c r="P10" s="428"/>
      <c r="Q10" s="428"/>
      <c r="R10" s="420"/>
      <c r="S10" s="420"/>
      <c r="T10" s="420"/>
      <c r="U10" s="420"/>
      <c r="V10" s="420"/>
      <c r="AE10" s="759"/>
    </row>
    <row r="11" spans="2:31" ht="8.25" customHeight="1" x14ac:dyDescent="0.25">
      <c r="B11" s="430"/>
      <c r="C11" s="430"/>
      <c r="D11" s="430"/>
      <c r="E11" s="431"/>
      <c r="F11" s="430"/>
      <c r="G11" s="430"/>
      <c r="H11" s="430"/>
      <c r="I11" s="430"/>
      <c r="J11" s="432"/>
      <c r="K11" s="433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</row>
    <row r="12" spans="2:31" ht="20.25" customHeight="1" x14ac:dyDescent="0.25">
      <c r="B12" s="1235" t="s">
        <v>3</v>
      </c>
      <c r="C12" s="1235" t="s">
        <v>4</v>
      </c>
      <c r="D12" s="1235"/>
      <c r="E12" s="1235"/>
      <c r="F12" s="1235"/>
      <c r="G12" s="1265" t="s">
        <v>5</v>
      </c>
      <c r="H12" s="1233" t="s">
        <v>108</v>
      </c>
      <c r="I12" s="1233" t="s">
        <v>293</v>
      </c>
      <c r="J12" s="1238" t="s">
        <v>104</v>
      </c>
      <c r="K12" s="1240"/>
      <c r="L12" s="1238" t="s">
        <v>302</v>
      </c>
      <c r="M12" s="1240"/>
      <c r="N12" s="1238" t="s">
        <v>433</v>
      </c>
      <c r="O12" s="1239"/>
      <c r="P12" s="1239"/>
      <c r="Q12" s="1240"/>
      <c r="R12" s="1238" t="s">
        <v>294</v>
      </c>
      <c r="S12" s="1239"/>
      <c r="T12" s="1239"/>
      <c r="U12" s="1240"/>
      <c r="V12" s="1234" t="s">
        <v>287</v>
      </c>
    </row>
    <row r="13" spans="2:31" ht="22.5" customHeight="1" x14ac:dyDescent="0.25">
      <c r="B13" s="1235"/>
      <c r="C13" s="1235"/>
      <c r="D13" s="1235"/>
      <c r="E13" s="1235"/>
      <c r="F13" s="1235"/>
      <c r="G13" s="1265"/>
      <c r="H13" s="1233"/>
      <c r="I13" s="1233"/>
      <c r="J13" s="1245" t="s">
        <v>6</v>
      </c>
      <c r="K13" s="1234" t="s">
        <v>7</v>
      </c>
      <c r="L13" s="1245" t="s">
        <v>6</v>
      </c>
      <c r="M13" s="1234" t="s">
        <v>7</v>
      </c>
      <c r="N13" s="1238" t="s">
        <v>114</v>
      </c>
      <c r="O13" s="1240"/>
      <c r="P13" s="1241" t="s">
        <v>434</v>
      </c>
      <c r="Q13" s="1242"/>
      <c r="R13" s="1243" t="s">
        <v>435</v>
      </c>
      <c r="S13" s="1244"/>
      <c r="T13" s="1243" t="s">
        <v>295</v>
      </c>
      <c r="U13" s="1244"/>
      <c r="V13" s="1234"/>
    </row>
    <row r="14" spans="2:31" ht="20.25" customHeight="1" x14ac:dyDescent="0.25">
      <c r="B14" s="1235"/>
      <c r="C14" s="1235"/>
      <c r="D14" s="1235"/>
      <c r="E14" s="1235"/>
      <c r="F14" s="1235"/>
      <c r="G14" s="1265"/>
      <c r="H14" s="1233"/>
      <c r="I14" s="1233"/>
      <c r="J14" s="1245"/>
      <c r="K14" s="1234"/>
      <c r="L14" s="1245"/>
      <c r="M14" s="1234"/>
      <c r="N14" s="720" t="s">
        <v>6</v>
      </c>
      <c r="O14" s="719" t="s">
        <v>7</v>
      </c>
      <c r="P14" s="720" t="s">
        <v>6</v>
      </c>
      <c r="Q14" s="719" t="s">
        <v>7</v>
      </c>
      <c r="R14" s="720" t="s">
        <v>6</v>
      </c>
      <c r="S14" s="719" t="s">
        <v>7</v>
      </c>
      <c r="T14" s="720" t="s">
        <v>6</v>
      </c>
      <c r="U14" s="719" t="s">
        <v>7</v>
      </c>
      <c r="V14" s="1234"/>
    </row>
    <row r="15" spans="2:31" ht="20.25" customHeight="1" x14ac:dyDescent="0.25">
      <c r="B15" s="1235"/>
      <c r="C15" s="1235"/>
      <c r="D15" s="1235"/>
      <c r="E15" s="1235"/>
      <c r="F15" s="1235"/>
      <c r="G15" s="1265"/>
      <c r="H15" s="718" t="s">
        <v>9</v>
      </c>
      <c r="I15" s="718" t="s">
        <v>9</v>
      </c>
      <c r="J15" s="718" t="s">
        <v>8</v>
      </c>
      <c r="K15" s="718" t="s">
        <v>10</v>
      </c>
      <c r="L15" s="718" t="s">
        <v>8</v>
      </c>
      <c r="M15" s="718" t="s">
        <v>10</v>
      </c>
      <c r="N15" s="718" t="s">
        <v>8</v>
      </c>
      <c r="O15" s="718" t="s">
        <v>10</v>
      </c>
      <c r="P15" s="718" t="s">
        <v>8</v>
      </c>
      <c r="Q15" s="718" t="s">
        <v>10</v>
      </c>
      <c r="R15" s="718" t="s">
        <v>8</v>
      </c>
      <c r="S15" s="718" t="s">
        <v>10</v>
      </c>
      <c r="T15" s="718" t="s">
        <v>8</v>
      </c>
      <c r="U15" s="718" t="s">
        <v>10</v>
      </c>
      <c r="V15" s="1234"/>
    </row>
    <row r="16" spans="2:31" ht="21" customHeight="1" x14ac:dyDescent="0.25">
      <c r="B16" s="437" t="s">
        <v>86</v>
      </c>
      <c r="C16" s="479"/>
      <c r="D16" s="489" t="s">
        <v>99</v>
      </c>
      <c r="E16" s="490"/>
      <c r="F16" s="491"/>
      <c r="G16" s="529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</row>
    <row r="17" spans="2:23" ht="21" customHeight="1" x14ac:dyDescent="0.25">
      <c r="B17" s="552">
        <v>1</v>
      </c>
      <c r="C17" s="480">
        <v>3</v>
      </c>
      <c r="D17" s="492" t="s">
        <v>659</v>
      </c>
      <c r="E17" s="493"/>
      <c r="F17" s="494"/>
      <c r="G17" s="530"/>
      <c r="H17" s="553"/>
      <c r="I17" s="553"/>
      <c r="J17" s="553"/>
      <c r="K17" s="553"/>
      <c r="L17" s="553"/>
      <c r="M17" s="553"/>
      <c r="N17" s="657"/>
      <c r="O17" s="553"/>
      <c r="P17" s="553"/>
      <c r="Q17" s="553"/>
      <c r="R17" s="553"/>
      <c r="S17" s="553"/>
      <c r="T17" s="553"/>
      <c r="U17" s="553"/>
      <c r="V17" s="553"/>
    </row>
    <row r="18" spans="2:23" ht="21" customHeight="1" x14ac:dyDescent="0.25">
      <c r="B18" s="554">
        <f>+B17+0.01</f>
        <v>1.01</v>
      </c>
      <c r="C18" s="480">
        <f>+C17+1</f>
        <v>4</v>
      </c>
      <c r="D18" s="495" t="s">
        <v>660</v>
      </c>
      <c r="E18" s="496"/>
      <c r="F18" s="497"/>
      <c r="G18" s="530" t="s">
        <v>11</v>
      </c>
      <c r="H18" s="744">
        <v>418.54</v>
      </c>
      <c r="I18" s="553"/>
      <c r="J18" s="553">
        <v>39</v>
      </c>
      <c r="K18" s="553">
        <f>+ROUND($H18*J18,2)</f>
        <v>16323.06</v>
      </c>
      <c r="L18" s="553">
        <v>37</v>
      </c>
      <c r="M18" s="553">
        <f>+ROUND($H18*L18,2)</f>
        <v>15485.98</v>
      </c>
      <c r="N18" s="553">
        <f>+IF($L18-$J18&gt;=0,$L18-$J18,0)</f>
        <v>0</v>
      </c>
      <c r="O18" s="553">
        <f>+ROUND($H18*N18,2)</f>
        <v>0</v>
      </c>
      <c r="P18" s="553"/>
      <c r="Q18" s="553">
        <f>+ROUND($H18*P18,2)</f>
        <v>0</v>
      </c>
      <c r="R18" s="553">
        <f>+IF($L18-$J18&lt;=0,-$L18+$J18,0)</f>
        <v>2</v>
      </c>
      <c r="S18" s="553">
        <f>+ROUND($H18*R18,2)</f>
        <v>837.08</v>
      </c>
      <c r="T18" s="553"/>
      <c r="U18" s="553">
        <f>+ROUND($H18*T18,2)</f>
        <v>0</v>
      </c>
      <c r="V18" s="553"/>
    </row>
    <row r="19" spans="2:23" ht="21" customHeight="1" x14ac:dyDescent="0.25">
      <c r="B19" s="554">
        <f>+B18+0.01</f>
        <v>1.02</v>
      </c>
      <c r="C19" s="480">
        <f t="shared" ref="C19:C77" si="0">+C18+1</f>
        <v>5</v>
      </c>
      <c r="D19" s="495" t="s">
        <v>661</v>
      </c>
      <c r="E19" s="496"/>
      <c r="F19" s="497"/>
      <c r="G19" s="532" t="s">
        <v>11</v>
      </c>
      <c r="H19" s="745">
        <v>773.57</v>
      </c>
      <c r="I19" s="565"/>
      <c r="J19" s="565">
        <v>39</v>
      </c>
      <c r="K19" s="565">
        <f t="shared" ref="K19:K100" si="1">+ROUND($H19*J19,2)</f>
        <v>30169.23</v>
      </c>
      <c r="L19" s="553">
        <v>37</v>
      </c>
      <c r="M19" s="565">
        <f t="shared" ref="M19:S19" si="2">+ROUND($H19*L19,2)</f>
        <v>28622.09</v>
      </c>
      <c r="N19" s="565">
        <f>+IF($L19-$J19&gt;=0,$L19-$J19,0)</f>
        <v>0</v>
      </c>
      <c r="O19" s="565">
        <f t="shared" si="2"/>
        <v>0</v>
      </c>
      <c r="P19" s="565"/>
      <c r="Q19" s="565">
        <f t="shared" si="2"/>
        <v>0</v>
      </c>
      <c r="R19" s="565">
        <f>+IF($L19-$J19&lt;=0,-$L19+$J19,0)</f>
        <v>2</v>
      </c>
      <c r="S19" s="565">
        <f t="shared" si="2"/>
        <v>1547.14</v>
      </c>
      <c r="T19" s="565"/>
      <c r="U19" s="565">
        <f t="shared" ref="U19" si="3">+ROUND($H19*T19,2)</f>
        <v>0</v>
      </c>
      <c r="V19" s="565"/>
    </row>
    <row r="20" spans="2:23" ht="21" customHeight="1" x14ac:dyDescent="0.25">
      <c r="B20" s="448"/>
      <c r="C20" s="480">
        <f t="shared" si="0"/>
        <v>6</v>
      </c>
      <c r="D20" s="542"/>
      <c r="E20" s="571"/>
      <c r="F20" s="544" t="str">
        <f>+"SUB-TOTAL   "&amp;B17&amp;":  "</f>
        <v xml:space="preserve">SUB-TOTAL   1:  </v>
      </c>
      <c r="G20" s="567"/>
      <c r="H20" s="540"/>
      <c r="I20" s="540"/>
      <c r="J20" s="540"/>
      <c r="K20" s="716">
        <f>+SUM(K18:K19)</f>
        <v>46492.29</v>
      </c>
      <c r="L20" s="540"/>
      <c r="M20" s="716">
        <f>+SUM(M18:M19)</f>
        <v>44108.07</v>
      </c>
      <c r="N20" s="716"/>
      <c r="O20" s="716">
        <f>+SUM(O18:O19)</f>
        <v>0</v>
      </c>
      <c r="P20" s="716"/>
      <c r="Q20" s="716">
        <f>+SUM(Q18:Q19)</f>
        <v>0</v>
      </c>
      <c r="R20" s="589"/>
      <c r="S20" s="716">
        <f>+SUM(S18:S19)</f>
        <v>2384.2200000000003</v>
      </c>
      <c r="T20" s="589"/>
      <c r="U20" s="716">
        <f>+SUM(U18:U19)</f>
        <v>0</v>
      </c>
      <c r="V20" s="589"/>
      <c r="W20" s="660">
        <f>+K20-M20+O20+Q20-S20</f>
        <v>0</v>
      </c>
    </row>
    <row r="21" spans="2:23" ht="21" customHeight="1" x14ac:dyDescent="0.25">
      <c r="B21" s="452">
        <f>1+B17</f>
        <v>2</v>
      </c>
      <c r="C21" s="481">
        <f t="shared" si="0"/>
        <v>7</v>
      </c>
      <c r="D21" s="453" t="s">
        <v>662</v>
      </c>
      <c r="E21" s="742"/>
      <c r="F21" s="443"/>
      <c r="G21" s="440"/>
      <c r="H21" s="438"/>
      <c r="I21" s="438"/>
      <c r="J21" s="438"/>
      <c r="K21" s="454"/>
      <c r="L21" s="438"/>
      <c r="M21" s="454"/>
      <c r="N21" s="454"/>
      <c r="O21" s="454"/>
      <c r="P21" s="454"/>
      <c r="Q21" s="454"/>
      <c r="R21" s="438"/>
      <c r="S21" s="454"/>
      <c r="T21" s="438"/>
      <c r="U21" s="454"/>
      <c r="V21" s="438"/>
    </row>
    <row r="22" spans="2:23" ht="21" customHeight="1" x14ac:dyDescent="0.25">
      <c r="B22" s="554">
        <f>+B21+0.01</f>
        <v>2.0099999999999998</v>
      </c>
      <c r="C22" s="584">
        <f>+C17+1</f>
        <v>4</v>
      </c>
      <c r="D22" s="495" t="s">
        <v>663</v>
      </c>
      <c r="E22" s="496"/>
      <c r="F22" s="497"/>
      <c r="G22" s="530" t="s">
        <v>11</v>
      </c>
      <c r="H22" s="553">
        <v>13.24</v>
      </c>
      <c r="I22" s="553"/>
      <c r="J22" s="553">
        <v>39</v>
      </c>
      <c r="K22" s="558">
        <f t="shared" ref="K22:K32" si="4">+ROUND($H22*J22,2)</f>
        <v>516.36</v>
      </c>
      <c r="L22" s="553">
        <v>37</v>
      </c>
      <c r="M22" s="558">
        <f t="shared" ref="M22:M32" si="5">+ROUND($H22*L22,2)</f>
        <v>489.88</v>
      </c>
      <c r="N22" s="558">
        <f t="shared" ref="N22:N32" si="6">+IF($L22-$J22&gt;=0,$L22-$J22,0)</f>
        <v>0</v>
      </c>
      <c r="O22" s="558">
        <f t="shared" ref="O22:O32" si="7">+ROUND($H22*N22,2)</f>
        <v>0</v>
      </c>
      <c r="P22" s="558"/>
      <c r="Q22" s="558">
        <f t="shared" ref="Q22:Q32" si="8">+ROUND($H22*P22,2)</f>
        <v>0</v>
      </c>
      <c r="R22" s="553">
        <f t="shared" ref="R22:R33" si="9">+IF($L22-$J22&lt;=0,-$L22+$J22,0)</f>
        <v>2</v>
      </c>
      <c r="S22" s="558">
        <f t="shared" ref="S22:S32" si="10">+ROUND($H22*R22,2)</f>
        <v>26.48</v>
      </c>
      <c r="T22" s="553"/>
      <c r="U22" s="558">
        <f t="shared" ref="U22:U32" si="11">+ROUND($H22*T22,2)</f>
        <v>0</v>
      </c>
      <c r="V22" s="553"/>
    </row>
    <row r="23" spans="2:23" ht="21" customHeight="1" x14ac:dyDescent="0.25">
      <c r="B23" s="554">
        <f>+B22+0.01</f>
        <v>2.0199999999999996</v>
      </c>
      <c r="C23" s="584">
        <f>+C18+1</f>
        <v>5</v>
      </c>
      <c r="D23" s="495" t="s">
        <v>664</v>
      </c>
      <c r="E23" s="496"/>
      <c r="F23" s="497"/>
      <c r="G23" s="530" t="s">
        <v>11</v>
      </c>
      <c r="H23" s="553">
        <v>51.32</v>
      </c>
      <c r="I23" s="553"/>
      <c r="J23" s="553">
        <v>39</v>
      </c>
      <c r="K23" s="558">
        <f t="shared" si="4"/>
        <v>2001.48</v>
      </c>
      <c r="L23" s="553">
        <v>37</v>
      </c>
      <c r="M23" s="558">
        <f t="shared" si="5"/>
        <v>1898.84</v>
      </c>
      <c r="N23" s="558">
        <f t="shared" si="6"/>
        <v>0</v>
      </c>
      <c r="O23" s="558">
        <f t="shared" si="7"/>
        <v>0</v>
      </c>
      <c r="P23" s="558"/>
      <c r="Q23" s="558">
        <f t="shared" si="8"/>
        <v>0</v>
      </c>
      <c r="R23" s="553">
        <f t="shared" si="9"/>
        <v>2</v>
      </c>
      <c r="S23" s="558">
        <f t="shared" si="10"/>
        <v>102.64</v>
      </c>
      <c r="T23" s="553"/>
      <c r="U23" s="558">
        <f t="shared" si="11"/>
        <v>0</v>
      </c>
      <c r="V23" s="553"/>
    </row>
    <row r="24" spans="2:23" ht="21" customHeight="1" x14ac:dyDescent="0.25">
      <c r="B24" s="554">
        <f>+B23+0.01</f>
        <v>2.0299999999999994</v>
      </c>
      <c r="C24" s="584">
        <f>+C18+1</f>
        <v>5</v>
      </c>
      <c r="D24" s="495" t="s">
        <v>665</v>
      </c>
      <c r="E24" s="496"/>
      <c r="F24" s="497"/>
      <c r="G24" s="530" t="s">
        <v>11</v>
      </c>
      <c r="H24" s="553">
        <v>6.98</v>
      </c>
      <c r="I24" s="553"/>
      <c r="J24" s="553">
        <v>78</v>
      </c>
      <c r="K24" s="558">
        <f t="shared" si="4"/>
        <v>544.44000000000005</v>
      </c>
      <c r="L24" s="553">
        <v>74</v>
      </c>
      <c r="M24" s="558">
        <f t="shared" si="5"/>
        <v>516.52</v>
      </c>
      <c r="N24" s="558">
        <f t="shared" si="6"/>
        <v>0</v>
      </c>
      <c r="O24" s="558">
        <f t="shared" si="7"/>
        <v>0</v>
      </c>
      <c r="P24" s="558"/>
      <c r="Q24" s="558">
        <f t="shared" si="8"/>
        <v>0</v>
      </c>
      <c r="R24" s="553">
        <f t="shared" si="9"/>
        <v>4</v>
      </c>
      <c r="S24" s="558">
        <f t="shared" si="10"/>
        <v>27.92</v>
      </c>
      <c r="T24" s="553"/>
      <c r="U24" s="558">
        <f t="shared" si="11"/>
        <v>0</v>
      </c>
      <c r="V24" s="553"/>
    </row>
    <row r="25" spans="2:23" ht="21" customHeight="1" x14ac:dyDescent="0.25">
      <c r="B25" s="554">
        <f t="shared" ref="B25:B33" si="12">+B24+0.01</f>
        <v>2.0399999999999991</v>
      </c>
      <c r="C25" s="584">
        <f>+C20+1</f>
        <v>7</v>
      </c>
      <c r="D25" s="495" t="s">
        <v>666</v>
      </c>
      <c r="E25" s="496"/>
      <c r="F25" s="497"/>
      <c r="G25" s="530" t="s">
        <v>11</v>
      </c>
      <c r="H25" s="553">
        <v>61.82</v>
      </c>
      <c r="I25" s="553"/>
      <c r="J25" s="553">
        <v>39</v>
      </c>
      <c r="K25" s="558">
        <f t="shared" si="4"/>
        <v>2410.98</v>
      </c>
      <c r="L25" s="553">
        <v>37</v>
      </c>
      <c r="M25" s="558">
        <f t="shared" si="5"/>
        <v>2287.34</v>
      </c>
      <c r="N25" s="558">
        <f t="shared" si="6"/>
        <v>0</v>
      </c>
      <c r="O25" s="558">
        <f t="shared" si="7"/>
        <v>0</v>
      </c>
      <c r="P25" s="558"/>
      <c r="Q25" s="558">
        <f t="shared" si="8"/>
        <v>0</v>
      </c>
      <c r="R25" s="553">
        <f t="shared" si="9"/>
        <v>2</v>
      </c>
      <c r="S25" s="558">
        <f t="shared" si="10"/>
        <v>123.64</v>
      </c>
      <c r="T25" s="553"/>
      <c r="U25" s="558">
        <f t="shared" si="11"/>
        <v>0</v>
      </c>
      <c r="V25" s="553"/>
    </row>
    <row r="26" spans="2:23" ht="21" customHeight="1" x14ac:dyDescent="0.25">
      <c r="B26" s="554">
        <f t="shared" si="12"/>
        <v>2.0499999999999989</v>
      </c>
      <c r="C26" s="584">
        <f>+C21+1</f>
        <v>8</v>
      </c>
      <c r="D26" s="495" t="s">
        <v>667</v>
      </c>
      <c r="E26" s="496"/>
      <c r="F26" s="497"/>
      <c r="G26" s="530" t="s">
        <v>11</v>
      </c>
      <c r="H26" s="553">
        <v>276.01</v>
      </c>
      <c r="I26" s="553"/>
      <c r="J26" s="553">
        <v>39</v>
      </c>
      <c r="K26" s="558">
        <f t="shared" si="4"/>
        <v>10764.39</v>
      </c>
      <c r="L26" s="553">
        <v>37</v>
      </c>
      <c r="M26" s="558">
        <f t="shared" si="5"/>
        <v>10212.370000000001</v>
      </c>
      <c r="N26" s="558">
        <f t="shared" si="6"/>
        <v>0</v>
      </c>
      <c r="O26" s="558">
        <f t="shared" si="7"/>
        <v>0</v>
      </c>
      <c r="P26" s="558"/>
      <c r="Q26" s="558">
        <f t="shared" si="8"/>
        <v>0</v>
      </c>
      <c r="R26" s="553">
        <f t="shared" si="9"/>
        <v>2</v>
      </c>
      <c r="S26" s="558">
        <f t="shared" si="10"/>
        <v>552.02</v>
      </c>
      <c r="T26" s="553"/>
      <c r="U26" s="558">
        <f t="shared" si="11"/>
        <v>0</v>
      </c>
      <c r="V26" s="553"/>
    </row>
    <row r="27" spans="2:23" ht="21" customHeight="1" x14ac:dyDescent="0.25">
      <c r="B27" s="554">
        <f t="shared" si="12"/>
        <v>2.0599999999999987</v>
      </c>
      <c r="C27" s="584">
        <f>+C22+1</f>
        <v>5</v>
      </c>
      <c r="D27" s="495" t="s">
        <v>668</v>
      </c>
      <c r="E27" s="496"/>
      <c r="F27" s="497"/>
      <c r="G27" s="530" t="s">
        <v>11</v>
      </c>
      <c r="H27" s="553">
        <v>11.3</v>
      </c>
      <c r="I27" s="553"/>
      <c r="J27" s="553">
        <v>39</v>
      </c>
      <c r="K27" s="558">
        <f t="shared" si="4"/>
        <v>440.7</v>
      </c>
      <c r="L27" s="553">
        <v>37</v>
      </c>
      <c r="M27" s="558">
        <f t="shared" si="5"/>
        <v>418.1</v>
      </c>
      <c r="N27" s="558">
        <f t="shared" si="6"/>
        <v>0</v>
      </c>
      <c r="O27" s="558">
        <f t="shared" si="7"/>
        <v>0</v>
      </c>
      <c r="P27" s="558"/>
      <c r="Q27" s="558">
        <f t="shared" si="8"/>
        <v>0</v>
      </c>
      <c r="R27" s="553">
        <f t="shared" si="9"/>
        <v>2</v>
      </c>
      <c r="S27" s="558">
        <f t="shared" si="10"/>
        <v>22.6</v>
      </c>
      <c r="T27" s="553"/>
      <c r="U27" s="558">
        <f t="shared" si="11"/>
        <v>0</v>
      </c>
      <c r="V27" s="553"/>
    </row>
    <row r="28" spans="2:23" ht="21" customHeight="1" x14ac:dyDescent="0.25">
      <c r="B28" s="554">
        <f t="shared" si="12"/>
        <v>2.0699999999999985</v>
      </c>
      <c r="C28" s="584">
        <f>+C23+1</f>
        <v>6</v>
      </c>
      <c r="D28" s="495" t="s">
        <v>669</v>
      </c>
      <c r="E28" s="496"/>
      <c r="F28" s="497"/>
      <c r="G28" s="530" t="s">
        <v>11</v>
      </c>
      <c r="H28" s="553">
        <v>0.62</v>
      </c>
      <c r="I28" s="553"/>
      <c r="J28" s="553">
        <v>78</v>
      </c>
      <c r="K28" s="558">
        <f t="shared" si="4"/>
        <v>48.36</v>
      </c>
      <c r="L28" s="553">
        <v>74</v>
      </c>
      <c r="M28" s="558">
        <f t="shared" si="5"/>
        <v>45.88</v>
      </c>
      <c r="N28" s="558">
        <f t="shared" si="6"/>
        <v>0</v>
      </c>
      <c r="O28" s="558">
        <f t="shared" si="7"/>
        <v>0</v>
      </c>
      <c r="P28" s="558"/>
      <c r="Q28" s="558">
        <f t="shared" si="8"/>
        <v>0</v>
      </c>
      <c r="R28" s="553">
        <f t="shared" si="9"/>
        <v>4</v>
      </c>
      <c r="S28" s="558">
        <f t="shared" si="10"/>
        <v>2.48</v>
      </c>
      <c r="T28" s="553"/>
      <c r="U28" s="558">
        <f t="shared" si="11"/>
        <v>0</v>
      </c>
      <c r="V28" s="553"/>
    </row>
    <row r="29" spans="2:23" ht="21" customHeight="1" x14ac:dyDescent="0.25">
      <c r="B29" s="554">
        <f t="shared" si="12"/>
        <v>2.0799999999999983</v>
      </c>
      <c r="C29" s="584">
        <f>+C23+1</f>
        <v>6</v>
      </c>
      <c r="D29" s="495" t="s">
        <v>670</v>
      </c>
      <c r="E29" s="496"/>
      <c r="F29" s="497"/>
      <c r="G29" s="530" t="s">
        <v>11</v>
      </c>
      <c r="H29" s="553">
        <v>13.63</v>
      </c>
      <c r="I29" s="553"/>
      <c r="J29" s="553">
        <v>39</v>
      </c>
      <c r="K29" s="558">
        <f t="shared" si="4"/>
        <v>531.57000000000005</v>
      </c>
      <c r="L29" s="553">
        <v>37</v>
      </c>
      <c r="M29" s="558">
        <f t="shared" si="5"/>
        <v>504.31</v>
      </c>
      <c r="N29" s="558">
        <f t="shared" si="6"/>
        <v>0</v>
      </c>
      <c r="O29" s="558">
        <f t="shared" si="7"/>
        <v>0</v>
      </c>
      <c r="P29" s="558"/>
      <c r="Q29" s="558">
        <f t="shared" si="8"/>
        <v>0</v>
      </c>
      <c r="R29" s="553">
        <f t="shared" si="9"/>
        <v>2</v>
      </c>
      <c r="S29" s="558">
        <f t="shared" si="10"/>
        <v>27.26</v>
      </c>
      <c r="T29" s="553"/>
      <c r="U29" s="558">
        <f t="shared" si="11"/>
        <v>0</v>
      </c>
      <c r="V29" s="553"/>
    </row>
    <row r="30" spans="2:23" ht="21" customHeight="1" x14ac:dyDescent="0.25">
      <c r="B30" s="554">
        <f t="shared" si="12"/>
        <v>2.0899999999999981</v>
      </c>
      <c r="C30" s="584">
        <f>+C25+1</f>
        <v>8</v>
      </c>
      <c r="D30" s="495" t="s">
        <v>671</v>
      </c>
      <c r="E30" s="496"/>
      <c r="F30" s="497"/>
      <c r="G30" s="530" t="s">
        <v>11</v>
      </c>
      <c r="H30" s="553">
        <v>15.17</v>
      </c>
      <c r="I30" s="553"/>
      <c r="J30" s="553">
        <v>39</v>
      </c>
      <c r="K30" s="558">
        <f t="shared" si="4"/>
        <v>591.63</v>
      </c>
      <c r="L30" s="553">
        <v>37</v>
      </c>
      <c r="M30" s="558">
        <f t="shared" si="5"/>
        <v>561.29</v>
      </c>
      <c r="N30" s="558">
        <f t="shared" si="6"/>
        <v>0</v>
      </c>
      <c r="O30" s="558">
        <f t="shared" si="7"/>
        <v>0</v>
      </c>
      <c r="P30" s="558"/>
      <c r="Q30" s="558">
        <f t="shared" si="8"/>
        <v>0</v>
      </c>
      <c r="R30" s="553">
        <f t="shared" si="9"/>
        <v>2</v>
      </c>
      <c r="S30" s="558">
        <f t="shared" si="10"/>
        <v>30.34</v>
      </c>
      <c r="T30" s="553"/>
      <c r="U30" s="558">
        <f t="shared" si="11"/>
        <v>0</v>
      </c>
      <c r="V30" s="553"/>
    </row>
    <row r="31" spans="2:23" ht="21" customHeight="1" x14ac:dyDescent="0.25">
      <c r="B31" s="554">
        <f t="shared" si="12"/>
        <v>2.0999999999999979</v>
      </c>
      <c r="C31" s="584">
        <f>+C26+1</f>
        <v>9</v>
      </c>
      <c r="D31" s="495" t="s">
        <v>672</v>
      </c>
      <c r="E31" s="496"/>
      <c r="F31" s="497"/>
      <c r="G31" s="530" t="s">
        <v>11</v>
      </c>
      <c r="H31" s="553">
        <v>51.32</v>
      </c>
      <c r="I31" s="553"/>
      <c r="J31" s="553">
        <v>39</v>
      </c>
      <c r="K31" s="558">
        <f t="shared" si="4"/>
        <v>2001.48</v>
      </c>
      <c r="L31" s="553">
        <v>37</v>
      </c>
      <c r="M31" s="558">
        <f t="shared" si="5"/>
        <v>1898.84</v>
      </c>
      <c r="N31" s="558">
        <f t="shared" si="6"/>
        <v>0</v>
      </c>
      <c r="O31" s="558">
        <f t="shared" si="7"/>
        <v>0</v>
      </c>
      <c r="P31" s="558"/>
      <c r="Q31" s="558">
        <f t="shared" si="8"/>
        <v>0</v>
      </c>
      <c r="R31" s="553">
        <f t="shared" si="9"/>
        <v>2</v>
      </c>
      <c r="S31" s="558">
        <f t="shared" si="10"/>
        <v>102.64</v>
      </c>
      <c r="T31" s="553"/>
      <c r="U31" s="558">
        <f t="shared" si="11"/>
        <v>0</v>
      </c>
      <c r="V31" s="553"/>
    </row>
    <row r="32" spans="2:23" ht="21" customHeight="1" x14ac:dyDescent="0.25">
      <c r="B32" s="554">
        <f t="shared" si="12"/>
        <v>2.1099999999999977</v>
      </c>
      <c r="C32" s="584">
        <f>+C27+1</f>
        <v>6</v>
      </c>
      <c r="D32" s="495" t="s">
        <v>673</v>
      </c>
      <c r="E32" s="496"/>
      <c r="F32" s="497"/>
      <c r="G32" s="539" t="s">
        <v>11</v>
      </c>
      <c r="H32" s="553">
        <v>67.47</v>
      </c>
      <c r="I32" s="553"/>
      <c r="J32" s="553">
        <v>39</v>
      </c>
      <c r="K32" s="558">
        <f t="shared" si="4"/>
        <v>2631.33</v>
      </c>
      <c r="L32" s="553">
        <v>37</v>
      </c>
      <c r="M32" s="558">
        <f t="shared" si="5"/>
        <v>2496.39</v>
      </c>
      <c r="N32" s="558">
        <f t="shared" si="6"/>
        <v>0</v>
      </c>
      <c r="O32" s="558">
        <f t="shared" si="7"/>
        <v>0</v>
      </c>
      <c r="P32" s="558"/>
      <c r="Q32" s="558">
        <f t="shared" si="8"/>
        <v>0</v>
      </c>
      <c r="R32" s="553">
        <f t="shared" si="9"/>
        <v>2</v>
      </c>
      <c r="S32" s="558">
        <f t="shared" si="10"/>
        <v>134.94</v>
      </c>
      <c r="T32" s="553"/>
      <c r="U32" s="558">
        <f t="shared" si="11"/>
        <v>0</v>
      </c>
      <c r="V32" s="553"/>
    </row>
    <row r="33" spans="2:23" s="547" customFormat="1" ht="21" customHeight="1" x14ac:dyDescent="0.25">
      <c r="B33" s="617">
        <f t="shared" si="12"/>
        <v>2.1199999999999974</v>
      </c>
      <c r="C33" s="763">
        <f>+C28+1</f>
        <v>7</v>
      </c>
      <c r="D33" s="516" t="s">
        <v>1019</v>
      </c>
      <c r="E33" s="545"/>
      <c r="F33" s="546"/>
      <c r="G33" s="564" t="s">
        <v>11</v>
      </c>
      <c r="H33" s="560"/>
      <c r="I33" s="560">
        <f>406.78*1.2</f>
        <v>488.13599999999997</v>
      </c>
      <c r="J33" s="560"/>
      <c r="K33" s="561">
        <f t="shared" ref="K33" si="13">+ROUND($H33*J33,2)</f>
        <v>0</v>
      </c>
      <c r="L33" s="560">
        <v>37</v>
      </c>
      <c r="M33" s="561">
        <f>+ROUND($I33*L33,2)</f>
        <v>18061.03</v>
      </c>
      <c r="N33" s="561"/>
      <c r="O33" s="561">
        <f t="shared" ref="O33" si="14">+ROUND($H33*N33,2)</f>
        <v>0</v>
      </c>
      <c r="P33" s="561">
        <f>+L33</f>
        <v>37</v>
      </c>
      <c r="Q33" s="561">
        <f>+ROUND($I33*P33,2)</f>
        <v>18061.03</v>
      </c>
      <c r="R33" s="560">
        <f t="shared" si="9"/>
        <v>0</v>
      </c>
      <c r="S33" s="561">
        <f t="shared" ref="S33" si="15">+ROUND($H33*R33,2)</f>
        <v>0</v>
      </c>
      <c r="T33" s="560"/>
      <c r="U33" s="561">
        <f t="shared" ref="U33" si="16">+ROUND($H33*T33,2)</f>
        <v>0</v>
      </c>
      <c r="V33" s="560"/>
    </row>
    <row r="34" spans="2:23" ht="21" customHeight="1" x14ac:dyDescent="0.25">
      <c r="B34" s="455"/>
      <c r="C34" s="480" t="e">
        <f>+#REF!+1</f>
        <v>#REF!</v>
      </c>
      <c r="D34" s="542"/>
      <c r="E34" s="571"/>
      <c r="F34" s="544" t="str">
        <f>+"SUB-TOTAL   "&amp;B21&amp;":  "</f>
        <v xml:space="preserve">SUB-TOTAL   2:  </v>
      </c>
      <c r="G34" s="440"/>
      <c r="H34" s="540"/>
      <c r="I34" s="540"/>
      <c r="J34" s="540"/>
      <c r="K34" s="716">
        <f>+SUM(K22:K33)</f>
        <v>22482.720000000001</v>
      </c>
      <c r="L34" s="540"/>
      <c r="M34" s="716">
        <f>+SUM(M22:M33)</f>
        <v>39390.789999999994</v>
      </c>
      <c r="N34" s="716"/>
      <c r="O34" s="716">
        <f>+SUM(O22:O33)</f>
        <v>0</v>
      </c>
      <c r="P34" s="716"/>
      <c r="Q34" s="716">
        <f>+SUM(Q22:Q33)</f>
        <v>18061.03</v>
      </c>
      <c r="R34" s="589"/>
      <c r="S34" s="716">
        <f>+SUM(S22:S33)</f>
        <v>1152.96</v>
      </c>
      <c r="T34" s="589"/>
      <c r="U34" s="716">
        <f>+SUM(U22:U33)</f>
        <v>0</v>
      </c>
      <c r="V34" s="589"/>
      <c r="W34" s="660">
        <f>+K34-M34+O34+Q34-S34</f>
        <v>6.3664629124104977E-12</v>
      </c>
    </row>
    <row r="35" spans="2:23" ht="21" customHeight="1" x14ac:dyDescent="0.25">
      <c r="B35" s="452">
        <f>+B21+1</f>
        <v>3</v>
      </c>
      <c r="C35" s="481" t="e">
        <f>+C34+1</f>
        <v>#REF!</v>
      </c>
      <c r="D35" s="453" t="s">
        <v>674</v>
      </c>
      <c r="E35" s="742"/>
      <c r="F35" s="443"/>
      <c r="G35" s="440"/>
      <c r="H35" s="438"/>
      <c r="I35" s="438"/>
      <c r="J35" s="438"/>
      <c r="K35" s="454"/>
      <c r="L35" s="438"/>
      <c r="M35" s="454"/>
      <c r="N35" s="454"/>
      <c r="O35" s="454"/>
      <c r="P35" s="454"/>
      <c r="Q35" s="454"/>
      <c r="R35" s="438"/>
      <c r="S35" s="454"/>
      <c r="T35" s="438"/>
      <c r="U35" s="454"/>
      <c r="V35" s="438"/>
    </row>
    <row r="36" spans="2:23" ht="21" customHeight="1" x14ac:dyDescent="0.25">
      <c r="B36" s="554">
        <f>+B35+0.01</f>
        <v>3.01</v>
      </c>
      <c r="C36" s="584" t="e">
        <f>+#REF!+1</f>
        <v>#REF!</v>
      </c>
      <c r="D36" s="495" t="s">
        <v>675</v>
      </c>
      <c r="E36" s="496"/>
      <c r="F36" s="497"/>
      <c r="G36" s="530" t="s">
        <v>11</v>
      </c>
      <c r="H36" s="553">
        <v>1302.07</v>
      </c>
      <c r="I36" s="553"/>
      <c r="J36" s="553">
        <v>39</v>
      </c>
      <c r="K36" s="558">
        <f t="shared" ref="K36:K47" si="17">+ROUND($H36*J36,2)</f>
        <v>50780.73</v>
      </c>
      <c r="L36" s="553"/>
      <c r="M36" s="558">
        <f t="shared" ref="M36:M47" si="18">+ROUND($H36*L36,2)</f>
        <v>0</v>
      </c>
      <c r="N36" s="558">
        <f t="shared" ref="N36:N47" si="19">+IF($L36-$J36&gt;=0,$L36-$J36,0)</f>
        <v>0</v>
      </c>
      <c r="O36" s="558">
        <f t="shared" ref="O36:O47" si="20">+ROUND($H36*N36,2)</f>
        <v>0</v>
      </c>
      <c r="P36" s="558"/>
      <c r="Q36" s="558">
        <f t="shared" ref="Q36:Q47" si="21">+ROUND($H36*P36,2)</f>
        <v>0</v>
      </c>
      <c r="R36" s="553">
        <f t="shared" ref="R36:R49" si="22">+IF($L36-$J36&lt;=0,-$L36+$J36,0)</f>
        <v>39</v>
      </c>
      <c r="S36" s="558">
        <f t="shared" ref="S36:S47" si="23">+ROUND($H36*R36,2)</f>
        <v>50780.73</v>
      </c>
      <c r="T36" s="553"/>
      <c r="U36" s="558">
        <f t="shared" ref="U36:U47" si="24">+ROUND($H36*T36,2)</f>
        <v>0</v>
      </c>
      <c r="V36" s="553"/>
    </row>
    <row r="37" spans="2:23" ht="21" customHeight="1" x14ac:dyDescent="0.25">
      <c r="B37" s="554">
        <f>+B36+0.01</f>
        <v>3.0199999999999996</v>
      </c>
      <c r="C37" s="584" t="e">
        <f>+#REF!+1</f>
        <v>#REF!</v>
      </c>
      <c r="D37" s="495" t="s">
        <v>676</v>
      </c>
      <c r="E37" s="496"/>
      <c r="F37" s="497"/>
      <c r="G37" s="530" t="s">
        <v>11</v>
      </c>
      <c r="H37" s="553">
        <v>265.36</v>
      </c>
      <c r="I37" s="553"/>
      <c r="J37" s="553">
        <v>39</v>
      </c>
      <c r="K37" s="558">
        <f t="shared" si="17"/>
        <v>10349.040000000001</v>
      </c>
      <c r="L37" s="553"/>
      <c r="M37" s="558">
        <f t="shared" si="18"/>
        <v>0</v>
      </c>
      <c r="N37" s="558">
        <f t="shared" si="19"/>
        <v>0</v>
      </c>
      <c r="O37" s="558">
        <f t="shared" si="20"/>
        <v>0</v>
      </c>
      <c r="P37" s="558"/>
      <c r="Q37" s="558">
        <f t="shared" si="21"/>
        <v>0</v>
      </c>
      <c r="R37" s="553">
        <f t="shared" si="22"/>
        <v>39</v>
      </c>
      <c r="S37" s="558">
        <f t="shared" si="23"/>
        <v>10349.040000000001</v>
      </c>
      <c r="T37" s="553"/>
      <c r="U37" s="558">
        <f t="shared" si="24"/>
        <v>0</v>
      </c>
      <c r="V37" s="553"/>
    </row>
    <row r="38" spans="2:23" ht="21" customHeight="1" x14ac:dyDescent="0.25">
      <c r="B38" s="554">
        <f>+B37+0.01</f>
        <v>3.0299999999999994</v>
      </c>
      <c r="C38" s="584" t="e">
        <f>+#REF!+1</f>
        <v>#REF!</v>
      </c>
      <c r="D38" s="495" t="s">
        <v>677</v>
      </c>
      <c r="E38" s="496"/>
      <c r="F38" s="497"/>
      <c r="G38" s="530" t="s">
        <v>11</v>
      </c>
      <c r="H38" s="553">
        <v>2.88</v>
      </c>
      <c r="I38" s="553"/>
      <c r="J38" s="553">
        <v>156</v>
      </c>
      <c r="K38" s="558">
        <f t="shared" si="17"/>
        <v>449.28</v>
      </c>
      <c r="L38" s="553">
        <v>148</v>
      </c>
      <c r="M38" s="558">
        <f t="shared" si="18"/>
        <v>426.24</v>
      </c>
      <c r="N38" s="558">
        <f t="shared" si="19"/>
        <v>0</v>
      </c>
      <c r="O38" s="558">
        <f t="shared" si="20"/>
        <v>0</v>
      </c>
      <c r="P38" s="558"/>
      <c r="Q38" s="558">
        <f t="shared" si="21"/>
        <v>0</v>
      </c>
      <c r="R38" s="553">
        <f t="shared" si="22"/>
        <v>8</v>
      </c>
      <c r="S38" s="558">
        <f t="shared" si="23"/>
        <v>23.04</v>
      </c>
      <c r="T38" s="553"/>
      <c r="U38" s="558">
        <f t="shared" si="24"/>
        <v>0</v>
      </c>
      <c r="V38" s="553"/>
    </row>
    <row r="39" spans="2:23" ht="21" customHeight="1" x14ac:dyDescent="0.25">
      <c r="B39" s="554">
        <f t="shared" ref="B39:B45" si="25">+B38+0.01</f>
        <v>3.0399999999999991</v>
      </c>
      <c r="C39" s="584" t="e">
        <f>+C34+1</f>
        <v>#REF!</v>
      </c>
      <c r="D39" s="495" t="s">
        <v>668</v>
      </c>
      <c r="E39" s="496"/>
      <c r="F39" s="497"/>
      <c r="G39" s="530" t="s">
        <v>11</v>
      </c>
      <c r="H39" s="553">
        <v>11.3</v>
      </c>
      <c r="I39" s="553"/>
      <c r="J39" s="553">
        <v>78</v>
      </c>
      <c r="K39" s="558">
        <f t="shared" si="17"/>
        <v>881.4</v>
      </c>
      <c r="L39" s="553">
        <v>74</v>
      </c>
      <c r="M39" s="558">
        <f t="shared" si="18"/>
        <v>836.2</v>
      </c>
      <c r="N39" s="558">
        <f t="shared" si="19"/>
        <v>0</v>
      </c>
      <c r="O39" s="558">
        <f t="shared" si="20"/>
        <v>0</v>
      </c>
      <c r="P39" s="558"/>
      <c r="Q39" s="558">
        <f t="shared" si="21"/>
        <v>0</v>
      </c>
      <c r="R39" s="553">
        <f t="shared" si="22"/>
        <v>4</v>
      </c>
      <c r="S39" s="558">
        <f t="shared" si="23"/>
        <v>45.2</v>
      </c>
      <c r="T39" s="553"/>
      <c r="U39" s="558">
        <f t="shared" si="24"/>
        <v>0</v>
      </c>
      <c r="V39" s="553"/>
    </row>
    <row r="40" spans="2:23" ht="21" customHeight="1" x14ac:dyDescent="0.25">
      <c r="B40" s="554">
        <f t="shared" si="25"/>
        <v>3.0499999999999989</v>
      </c>
      <c r="C40" s="584" t="e">
        <f>+C35+1</f>
        <v>#REF!</v>
      </c>
      <c r="D40" s="495" t="s">
        <v>669</v>
      </c>
      <c r="E40" s="496"/>
      <c r="F40" s="497"/>
      <c r="G40" s="530" t="s">
        <v>11</v>
      </c>
      <c r="H40" s="553">
        <v>0.62</v>
      </c>
      <c r="I40" s="553"/>
      <c r="J40" s="553">
        <v>273</v>
      </c>
      <c r="K40" s="558">
        <f t="shared" si="17"/>
        <v>169.26</v>
      </c>
      <c r="L40" s="553">
        <v>259</v>
      </c>
      <c r="M40" s="558">
        <f t="shared" si="18"/>
        <v>160.58000000000001</v>
      </c>
      <c r="N40" s="558">
        <f t="shared" si="19"/>
        <v>0</v>
      </c>
      <c r="O40" s="558">
        <f t="shared" si="20"/>
        <v>0</v>
      </c>
      <c r="P40" s="558"/>
      <c r="Q40" s="558">
        <f t="shared" si="21"/>
        <v>0</v>
      </c>
      <c r="R40" s="553">
        <f t="shared" si="22"/>
        <v>14</v>
      </c>
      <c r="S40" s="558">
        <f t="shared" si="23"/>
        <v>8.68</v>
      </c>
      <c r="T40" s="553"/>
      <c r="U40" s="558">
        <f t="shared" si="24"/>
        <v>0</v>
      </c>
      <c r="V40" s="553"/>
    </row>
    <row r="41" spans="2:23" ht="21" customHeight="1" x14ac:dyDescent="0.25">
      <c r="B41" s="554">
        <f t="shared" si="25"/>
        <v>3.0599999999999987</v>
      </c>
      <c r="C41" s="584" t="e">
        <f>+C36+1</f>
        <v>#REF!</v>
      </c>
      <c r="D41" s="495" t="s">
        <v>670</v>
      </c>
      <c r="E41" s="496"/>
      <c r="F41" s="497"/>
      <c r="G41" s="530" t="s">
        <v>11</v>
      </c>
      <c r="H41" s="553">
        <v>13.63</v>
      </c>
      <c r="I41" s="553"/>
      <c r="J41" s="553">
        <v>39</v>
      </c>
      <c r="K41" s="558">
        <f t="shared" si="17"/>
        <v>531.57000000000005</v>
      </c>
      <c r="L41" s="553">
        <v>37</v>
      </c>
      <c r="M41" s="558">
        <f t="shared" si="18"/>
        <v>504.31</v>
      </c>
      <c r="N41" s="558">
        <f t="shared" si="19"/>
        <v>0</v>
      </c>
      <c r="O41" s="558">
        <f t="shared" si="20"/>
        <v>0</v>
      </c>
      <c r="P41" s="558"/>
      <c r="Q41" s="558">
        <f t="shared" si="21"/>
        <v>0</v>
      </c>
      <c r="R41" s="553">
        <f t="shared" si="22"/>
        <v>2</v>
      </c>
      <c r="S41" s="558">
        <f t="shared" si="23"/>
        <v>27.26</v>
      </c>
      <c r="T41" s="553"/>
      <c r="U41" s="558">
        <f t="shared" si="24"/>
        <v>0</v>
      </c>
      <c r="V41" s="553"/>
    </row>
    <row r="42" spans="2:23" ht="21" customHeight="1" x14ac:dyDescent="0.25">
      <c r="B42" s="554">
        <f t="shared" si="25"/>
        <v>3.0699999999999985</v>
      </c>
      <c r="C42" s="584" t="e">
        <f>+C37+1</f>
        <v>#REF!</v>
      </c>
      <c r="D42" s="495" t="s">
        <v>678</v>
      </c>
      <c r="E42" s="496"/>
      <c r="F42" s="497"/>
      <c r="G42" s="530" t="s">
        <v>11</v>
      </c>
      <c r="H42" s="553">
        <v>2.06</v>
      </c>
      <c r="I42" s="553"/>
      <c r="J42" s="553">
        <v>78</v>
      </c>
      <c r="K42" s="558">
        <f t="shared" si="17"/>
        <v>160.68</v>
      </c>
      <c r="L42" s="553">
        <v>74</v>
      </c>
      <c r="M42" s="558">
        <f t="shared" si="18"/>
        <v>152.44</v>
      </c>
      <c r="N42" s="558">
        <f t="shared" si="19"/>
        <v>0</v>
      </c>
      <c r="O42" s="558">
        <f t="shared" si="20"/>
        <v>0</v>
      </c>
      <c r="P42" s="558"/>
      <c r="Q42" s="558">
        <f t="shared" si="21"/>
        <v>0</v>
      </c>
      <c r="R42" s="553">
        <f t="shared" si="22"/>
        <v>4</v>
      </c>
      <c r="S42" s="558">
        <f t="shared" si="23"/>
        <v>8.24</v>
      </c>
      <c r="T42" s="553"/>
      <c r="U42" s="558">
        <f t="shared" si="24"/>
        <v>0</v>
      </c>
      <c r="V42" s="553"/>
    </row>
    <row r="43" spans="2:23" ht="21" customHeight="1" x14ac:dyDescent="0.25">
      <c r="B43" s="554">
        <f t="shared" si="25"/>
        <v>3.0799999999999983</v>
      </c>
      <c r="C43" s="584" t="e">
        <f>+C37+1</f>
        <v>#REF!</v>
      </c>
      <c r="D43" s="495" t="s">
        <v>679</v>
      </c>
      <c r="E43" s="496"/>
      <c r="F43" s="497"/>
      <c r="G43" s="530" t="s">
        <v>11</v>
      </c>
      <c r="H43" s="553">
        <v>6.98</v>
      </c>
      <c r="I43" s="553"/>
      <c r="J43" s="553">
        <v>156</v>
      </c>
      <c r="K43" s="558">
        <f t="shared" si="17"/>
        <v>1088.8800000000001</v>
      </c>
      <c r="L43" s="553">
        <v>148</v>
      </c>
      <c r="M43" s="558">
        <f t="shared" si="18"/>
        <v>1033.04</v>
      </c>
      <c r="N43" s="558">
        <f t="shared" si="19"/>
        <v>0</v>
      </c>
      <c r="O43" s="558">
        <f t="shared" si="20"/>
        <v>0</v>
      </c>
      <c r="P43" s="558"/>
      <c r="Q43" s="558">
        <f t="shared" si="21"/>
        <v>0</v>
      </c>
      <c r="R43" s="553">
        <f t="shared" si="22"/>
        <v>8</v>
      </c>
      <c r="S43" s="558">
        <f t="shared" si="23"/>
        <v>55.84</v>
      </c>
      <c r="T43" s="553"/>
      <c r="U43" s="558">
        <f t="shared" si="24"/>
        <v>0</v>
      </c>
      <c r="V43" s="553"/>
    </row>
    <row r="44" spans="2:23" ht="21" customHeight="1" x14ac:dyDescent="0.25">
      <c r="B44" s="554">
        <f t="shared" si="25"/>
        <v>3.0899999999999981</v>
      </c>
      <c r="C44" s="584" t="e">
        <f>+C39+1</f>
        <v>#REF!</v>
      </c>
      <c r="D44" s="495" t="s">
        <v>680</v>
      </c>
      <c r="E44" s="496"/>
      <c r="F44" s="497"/>
      <c r="G44" s="530" t="s">
        <v>11</v>
      </c>
      <c r="H44" s="553">
        <v>63.87</v>
      </c>
      <c r="I44" s="553"/>
      <c r="J44" s="553">
        <v>39</v>
      </c>
      <c r="K44" s="558">
        <f t="shared" si="17"/>
        <v>2490.9299999999998</v>
      </c>
      <c r="L44" s="553">
        <v>37</v>
      </c>
      <c r="M44" s="558">
        <f t="shared" si="18"/>
        <v>2363.19</v>
      </c>
      <c r="N44" s="558">
        <f t="shared" si="19"/>
        <v>0</v>
      </c>
      <c r="O44" s="558">
        <f t="shared" si="20"/>
        <v>0</v>
      </c>
      <c r="P44" s="558"/>
      <c r="Q44" s="558">
        <f t="shared" si="21"/>
        <v>0</v>
      </c>
      <c r="R44" s="553">
        <f t="shared" si="22"/>
        <v>2</v>
      </c>
      <c r="S44" s="558">
        <f t="shared" si="23"/>
        <v>127.74</v>
      </c>
      <c r="T44" s="553"/>
      <c r="U44" s="558">
        <f t="shared" si="24"/>
        <v>0</v>
      </c>
      <c r="V44" s="553"/>
    </row>
    <row r="45" spans="2:23" ht="21" customHeight="1" x14ac:dyDescent="0.25">
      <c r="B45" s="554">
        <f t="shared" si="25"/>
        <v>3.0999999999999979</v>
      </c>
      <c r="C45" s="584" t="e">
        <f>+C40+1</f>
        <v>#REF!</v>
      </c>
      <c r="D45" s="495" t="s">
        <v>681</v>
      </c>
      <c r="E45" s="496"/>
      <c r="F45" s="497"/>
      <c r="G45" s="530" t="s">
        <v>11</v>
      </c>
      <c r="H45" s="553">
        <v>8.6300000000000008</v>
      </c>
      <c r="I45" s="553"/>
      <c r="J45" s="553">
        <v>39</v>
      </c>
      <c r="K45" s="558">
        <f t="shared" si="17"/>
        <v>336.57</v>
      </c>
      <c r="L45" s="553">
        <v>37</v>
      </c>
      <c r="M45" s="558">
        <f t="shared" si="18"/>
        <v>319.31</v>
      </c>
      <c r="N45" s="558">
        <f t="shared" si="19"/>
        <v>0</v>
      </c>
      <c r="O45" s="558">
        <f t="shared" si="20"/>
        <v>0</v>
      </c>
      <c r="P45" s="558"/>
      <c r="Q45" s="558">
        <f t="shared" si="21"/>
        <v>0</v>
      </c>
      <c r="R45" s="553">
        <f t="shared" si="22"/>
        <v>2</v>
      </c>
      <c r="S45" s="558">
        <f t="shared" si="23"/>
        <v>17.260000000000002</v>
      </c>
      <c r="T45" s="553"/>
      <c r="U45" s="558">
        <f t="shared" si="24"/>
        <v>0</v>
      </c>
      <c r="V45" s="553"/>
    </row>
    <row r="46" spans="2:23" ht="21" customHeight="1" x14ac:dyDescent="0.25">
      <c r="B46" s="554">
        <f>+B45+0.01</f>
        <v>3.1099999999999977</v>
      </c>
      <c r="C46" s="584" t="e">
        <f>+C40+1</f>
        <v>#REF!</v>
      </c>
      <c r="D46" s="495" t="s">
        <v>681</v>
      </c>
      <c r="E46" s="496"/>
      <c r="F46" s="497"/>
      <c r="G46" s="530" t="s">
        <v>11</v>
      </c>
      <c r="H46" s="553">
        <v>1.78</v>
      </c>
      <c r="I46" s="553"/>
      <c r="J46" s="553">
        <v>39</v>
      </c>
      <c r="K46" s="558">
        <f t="shared" si="17"/>
        <v>69.42</v>
      </c>
      <c r="L46" s="553">
        <v>37</v>
      </c>
      <c r="M46" s="558">
        <f t="shared" si="18"/>
        <v>65.86</v>
      </c>
      <c r="N46" s="558">
        <f t="shared" si="19"/>
        <v>0</v>
      </c>
      <c r="O46" s="558">
        <f t="shared" si="20"/>
        <v>0</v>
      </c>
      <c r="P46" s="558"/>
      <c r="Q46" s="558">
        <f t="shared" si="21"/>
        <v>0</v>
      </c>
      <c r="R46" s="553">
        <f t="shared" si="22"/>
        <v>2</v>
      </c>
      <c r="S46" s="558">
        <f t="shared" si="23"/>
        <v>3.56</v>
      </c>
      <c r="T46" s="553"/>
      <c r="U46" s="558">
        <f t="shared" si="24"/>
        <v>0</v>
      </c>
      <c r="V46" s="553"/>
    </row>
    <row r="47" spans="2:23" ht="21" customHeight="1" x14ac:dyDescent="0.25">
      <c r="B47" s="554">
        <f>+B46+0.01</f>
        <v>3.1199999999999974</v>
      </c>
      <c r="C47" s="584" t="e">
        <f>+C41+1</f>
        <v>#REF!</v>
      </c>
      <c r="D47" s="495" t="s">
        <v>682</v>
      </c>
      <c r="E47" s="496"/>
      <c r="F47" s="497"/>
      <c r="G47" s="539" t="s">
        <v>11</v>
      </c>
      <c r="H47" s="579">
        <v>5.48</v>
      </c>
      <c r="I47" s="579"/>
      <c r="J47" s="579">
        <v>78</v>
      </c>
      <c r="K47" s="717">
        <f t="shared" si="17"/>
        <v>427.44</v>
      </c>
      <c r="L47" s="579">
        <v>74</v>
      </c>
      <c r="M47" s="717">
        <f t="shared" si="18"/>
        <v>405.52</v>
      </c>
      <c r="N47" s="717">
        <f t="shared" si="19"/>
        <v>0</v>
      </c>
      <c r="O47" s="717">
        <f t="shared" si="20"/>
        <v>0</v>
      </c>
      <c r="P47" s="717"/>
      <c r="Q47" s="717">
        <f t="shared" si="21"/>
        <v>0</v>
      </c>
      <c r="R47" s="579">
        <f t="shared" si="22"/>
        <v>4</v>
      </c>
      <c r="S47" s="717">
        <f t="shared" si="23"/>
        <v>21.92</v>
      </c>
      <c r="T47" s="579"/>
      <c r="U47" s="717">
        <f t="shared" si="24"/>
        <v>0</v>
      </c>
      <c r="V47" s="579"/>
    </row>
    <row r="48" spans="2:23" s="547" customFormat="1" ht="21" customHeight="1" x14ac:dyDescent="0.25">
      <c r="B48" s="617">
        <f>+B47+0.01</f>
        <v>3.1299999999999972</v>
      </c>
      <c r="C48" s="763" t="e">
        <f>+#REF!+1</f>
        <v>#REF!</v>
      </c>
      <c r="D48" s="516" t="s">
        <v>1020</v>
      </c>
      <c r="E48" s="545"/>
      <c r="F48" s="546"/>
      <c r="G48" s="531" t="s">
        <v>11</v>
      </c>
      <c r="H48" s="560"/>
      <c r="I48" s="560">
        <f>+H36</f>
        <v>1302.07</v>
      </c>
      <c r="J48" s="560"/>
      <c r="K48" s="561">
        <f t="shared" ref="K48:K49" si="26">+ROUND($H48*J48,2)</f>
        <v>0</v>
      </c>
      <c r="L48" s="560">
        <v>37</v>
      </c>
      <c r="M48" s="561">
        <f>+ROUND($I48*L48,2)</f>
        <v>48176.59</v>
      </c>
      <c r="N48" s="561"/>
      <c r="O48" s="561">
        <f t="shared" ref="O48:O49" si="27">+ROUND($H48*N48,2)</f>
        <v>0</v>
      </c>
      <c r="P48" s="561">
        <f>+L48</f>
        <v>37</v>
      </c>
      <c r="Q48" s="561">
        <f>+ROUND($I48*P48,2)</f>
        <v>48176.59</v>
      </c>
      <c r="R48" s="560">
        <f t="shared" si="22"/>
        <v>0</v>
      </c>
      <c r="S48" s="561">
        <f t="shared" ref="S48:S49" si="28">+ROUND($H48*R48,2)</f>
        <v>0</v>
      </c>
      <c r="T48" s="560"/>
      <c r="U48" s="561">
        <f t="shared" ref="U48:U49" si="29">+ROUND($H48*T48,2)</f>
        <v>0</v>
      </c>
      <c r="V48" s="560"/>
    </row>
    <row r="49" spans="2:23" s="547" customFormat="1" ht="21" customHeight="1" x14ac:dyDescent="0.25">
      <c r="B49" s="617">
        <f>+B48+0.01</f>
        <v>3.139999999999997</v>
      </c>
      <c r="C49" s="763" t="e">
        <f>+#REF!+1</f>
        <v>#REF!</v>
      </c>
      <c r="D49" s="516" t="s">
        <v>1021</v>
      </c>
      <c r="E49" s="545"/>
      <c r="F49" s="546"/>
      <c r="G49" s="564" t="s">
        <v>11</v>
      </c>
      <c r="H49" s="633"/>
      <c r="I49" s="633">
        <f>+H37</f>
        <v>265.36</v>
      </c>
      <c r="J49" s="633"/>
      <c r="K49" s="634">
        <f t="shared" si="26"/>
        <v>0</v>
      </c>
      <c r="L49" s="633">
        <v>37</v>
      </c>
      <c r="M49" s="634">
        <f>+ROUND($I49*L49,2)</f>
        <v>9818.32</v>
      </c>
      <c r="N49" s="634"/>
      <c r="O49" s="634">
        <f t="shared" si="27"/>
        <v>0</v>
      </c>
      <c r="P49" s="634">
        <f>+L49</f>
        <v>37</v>
      </c>
      <c r="Q49" s="634">
        <f>+ROUND($I49*P49,2)</f>
        <v>9818.32</v>
      </c>
      <c r="R49" s="633">
        <f t="shared" si="22"/>
        <v>0</v>
      </c>
      <c r="S49" s="634">
        <f t="shared" si="28"/>
        <v>0</v>
      </c>
      <c r="T49" s="633"/>
      <c r="U49" s="634">
        <f t="shared" si="29"/>
        <v>0</v>
      </c>
      <c r="V49" s="633"/>
    </row>
    <row r="50" spans="2:23" ht="21" customHeight="1" x14ac:dyDescent="0.25">
      <c r="B50" s="456"/>
      <c r="C50" s="466" t="e">
        <f>+#REF!+1</f>
        <v>#REF!</v>
      </c>
      <c r="D50" s="537"/>
      <c r="E50" s="538"/>
      <c r="F50" s="533" t="str">
        <f>+"SUB-TOTAL   "&amp;B35&amp;":  "</f>
        <v xml:space="preserve">SUB-TOTAL   3:  </v>
      </c>
      <c r="G50" s="440"/>
      <c r="H50" s="438"/>
      <c r="I50" s="438"/>
      <c r="J50" s="438"/>
      <c r="K50" s="548">
        <f>+SUM(K36:K49)</f>
        <v>67735.200000000012</v>
      </c>
      <c r="L50" s="438"/>
      <c r="M50" s="548">
        <f>+SUM(M36:M49)</f>
        <v>64261.599999999999</v>
      </c>
      <c r="N50" s="454"/>
      <c r="O50" s="548">
        <f>+SUM(O36:O49)</f>
        <v>0</v>
      </c>
      <c r="P50" s="454"/>
      <c r="Q50" s="548">
        <f>+SUM(Q36:Q49)</f>
        <v>57994.909999999996</v>
      </c>
      <c r="R50" s="438"/>
      <c r="S50" s="548">
        <f>+SUM(S36:S49)</f>
        <v>61468.509999999995</v>
      </c>
      <c r="T50" s="438"/>
      <c r="U50" s="548">
        <f>+SUM(U36:U49)</f>
        <v>0</v>
      </c>
      <c r="V50" s="438"/>
      <c r="W50" s="660">
        <f>+K50-M50+O50+Q50-S50</f>
        <v>0</v>
      </c>
    </row>
    <row r="51" spans="2:23" ht="21" customHeight="1" x14ac:dyDescent="0.25">
      <c r="B51" s="452">
        <f>+B35+1</f>
        <v>4</v>
      </c>
      <c r="C51" s="481" t="e">
        <f t="shared" si="0"/>
        <v>#REF!</v>
      </c>
      <c r="D51" s="453" t="s">
        <v>683</v>
      </c>
      <c r="E51" s="445"/>
      <c r="F51" s="446"/>
      <c r="G51" s="527"/>
      <c r="H51" s="438"/>
      <c r="I51" s="438"/>
      <c r="J51" s="438"/>
      <c r="K51" s="454"/>
      <c r="L51" s="438"/>
      <c r="M51" s="454"/>
      <c r="N51" s="454"/>
      <c r="O51" s="454"/>
      <c r="P51" s="454"/>
      <c r="Q51" s="454"/>
      <c r="R51" s="438"/>
      <c r="S51" s="454"/>
      <c r="T51" s="438"/>
      <c r="U51" s="454"/>
      <c r="V51" s="438"/>
    </row>
    <row r="52" spans="2:23" ht="21" customHeight="1" x14ac:dyDescent="0.25">
      <c r="B52" s="562">
        <f>+B51+0.01</f>
        <v>4.01</v>
      </c>
      <c r="C52" s="576" t="e">
        <f t="shared" si="0"/>
        <v>#REF!</v>
      </c>
      <c r="D52" s="502" t="s">
        <v>684</v>
      </c>
      <c r="E52" s="496"/>
      <c r="F52" s="497"/>
      <c r="G52" s="530" t="s">
        <v>11</v>
      </c>
      <c r="H52" s="553">
        <v>614.53</v>
      </c>
      <c r="I52" s="553"/>
      <c r="J52" s="553">
        <v>39</v>
      </c>
      <c r="K52" s="558">
        <f t="shared" si="1"/>
        <v>23966.67</v>
      </c>
      <c r="L52" s="553"/>
      <c r="M52" s="558">
        <f t="shared" ref="M52:S60" si="30">+ROUND($H52*L52,2)</f>
        <v>0</v>
      </c>
      <c r="N52" s="558">
        <f>+IF($L52-$J52&gt;=0,$L52-$J52,0)</f>
        <v>0</v>
      </c>
      <c r="O52" s="558">
        <f t="shared" si="30"/>
        <v>0</v>
      </c>
      <c r="P52" s="558"/>
      <c r="Q52" s="558">
        <f t="shared" si="30"/>
        <v>0</v>
      </c>
      <c r="R52" s="553">
        <f>+IF($L52-$J52&lt;=0,-$L52+$J52,0)</f>
        <v>39</v>
      </c>
      <c r="S52" s="558">
        <f t="shared" si="30"/>
        <v>23966.67</v>
      </c>
      <c r="T52" s="553"/>
      <c r="U52" s="558">
        <f t="shared" ref="U52:U60" si="31">+ROUND($H52*T52,2)</f>
        <v>0</v>
      </c>
      <c r="V52" s="553"/>
    </row>
    <row r="53" spans="2:23" ht="21" customHeight="1" x14ac:dyDescent="0.25">
      <c r="B53" s="562">
        <f t="shared" ref="B53:B60" si="32">+B52+0.01</f>
        <v>4.0199999999999996</v>
      </c>
      <c r="C53" s="576" t="e">
        <f>+#REF!+1</f>
        <v>#REF!</v>
      </c>
      <c r="D53" s="502" t="s">
        <v>685</v>
      </c>
      <c r="E53" s="496"/>
      <c r="F53" s="497"/>
      <c r="G53" s="530" t="s">
        <v>11</v>
      </c>
      <c r="H53" s="553">
        <v>236.54</v>
      </c>
      <c r="I53" s="553"/>
      <c r="J53" s="553">
        <v>39</v>
      </c>
      <c r="K53" s="558">
        <f t="shared" si="1"/>
        <v>9225.06</v>
      </c>
      <c r="L53" s="553">
        <v>37</v>
      </c>
      <c r="M53" s="558">
        <f t="shared" si="30"/>
        <v>8751.98</v>
      </c>
      <c r="N53" s="558">
        <f t="shared" ref="N53:N60" si="33">+IF($L53-$J53&gt;=0,$L53-$J53,0)</f>
        <v>0</v>
      </c>
      <c r="O53" s="558">
        <f t="shared" si="30"/>
        <v>0</v>
      </c>
      <c r="P53" s="558"/>
      <c r="Q53" s="558">
        <f t="shared" si="30"/>
        <v>0</v>
      </c>
      <c r="R53" s="553">
        <f t="shared" ref="R53:R60" si="34">+IF($L53-$J53&lt;=0,-$L53+$J53,0)</f>
        <v>2</v>
      </c>
      <c r="S53" s="558">
        <f t="shared" si="30"/>
        <v>473.08</v>
      </c>
      <c r="T53" s="553"/>
      <c r="U53" s="558">
        <f t="shared" si="31"/>
        <v>0</v>
      </c>
      <c r="V53" s="553"/>
    </row>
    <row r="54" spans="2:23" ht="21" customHeight="1" x14ac:dyDescent="0.25">
      <c r="B54" s="562">
        <f t="shared" si="32"/>
        <v>4.0299999999999994</v>
      </c>
      <c r="C54" s="576" t="e">
        <f t="shared" si="0"/>
        <v>#REF!</v>
      </c>
      <c r="D54" s="502" t="s">
        <v>686</v>
      </c>
      <c r="E54" s="496"/>
      <c r="F54" s="497"/>
      <c r="G54" s="530" t="s">
        <v>13</v>
      </c>
      <c r="H54" s="553">
        <v>7.69</v>
      </c>
      <c r="I54" s="553"/>
      <c r="J54" s="553">
        <v>156</v>
      </c>
      <c r="K54" s="558">
        <f t="shared" si="1"/>
        <v>1199.6400000000001</v>
      </c>
      <c r="L54" s="553">
        <v>148</v>
      </c>
      <c r="M54" s="558">
        <f t="shared" si="30"/>
        <v>1138.1199999999999</v>
      </c>
      <c r="N54" s="558">
        <f t="shared" si="33"/>
        <v>0</v>
      </c>
      <c r="O54" s="558">
        <f t="shared" si="30"/>
        <v>0</v>
      </c>
      <c r="P54" s="558"/>
      <c r="Q54" s="558">
        <f t="shared" si="30"/>
        <v>0</v>
      </c>
      <c r="R54" s="553">
        <f t="shared" si="34"/>
        <v>8</v>
      </c>
      <c r="S54" s="558">
        <f t="shared" si="30"/>
        <v>61.52</v>
      </c>
      <c r="T54" s="553"/>
      <c r="U54" s="558">
        <f t="shared" si="31"/>
        <v>0</v>
      </c>
      <c r="V54" s="553"/>
    </row>
    <row r="55" spans="2:23" ht="21" customHeight="1" x14ac:dyDescent="0.25">
      <c r="B55" s="562">
        <f t="shared" si="32"/>
        <v>4.0399999999999991</v>
      </c>
      <c r="C55" s="576" t="e">
        <f t="shared" si="0"/>
        <v>#REF!</v>
      </c>
      <c r="D55" s="502" t="s">
        <v>668</v>
      </c>
      <c r="E55" s="498"/>
      <c r="F55" s="499"/>
      <c r="G55" s="530" t="s">
        <v>13</v>
      </c>
      <c r="H55" s="553">
        <v>11.3</v>
      </c>
      <c r="I55" s="553"/>
      <c r="J55" s="553">
        <v>78</v>
      </c>
      <c r="K55" s="558">
        <f t="shared" si="1"/>
        <v>881.4</v>
      </c>
      <c r="L55" s="553">
        <v>74</v>
      </c>
      <c r="M55" s="558">
        <f t="shared" si="30"/>
        <v>836.2</v>
      </c>
      <c r="N55" s="558">
        <f t="shared" si="33"/>
        <v>0</v>
      </c>
      <c r="O55" s="558">
        <f t="shared" si="30"/>
        <v>0</v>
      </c>
      <c r="P55" s="556"/>
      <c r="Q55" s="558">
        <f t="shared" si="30"/>
        <v>0</v>
      </c>
      <c r="R55" s="553">
        <f t="shared" si="34"/>
        <v>4</v>
      </c>
      <c r="S55" s="558">
        <f t="shared" si="30"/>
        <v>45.2</v>
      </c>
      <c r="T55" s="557"/>
      <c r="U55" s="558">
        <f t="shared" si="31"/>
        <v>0</v>
      </c>
      <c r="V55" s="557"/>
    </row>
    <row r="56" spans="2:23" ht="21" customHeight="1" x14ac:dyDescent="0.25">
      <c r="B56" s="562">
        <f t="shared" si="32"/>
        <v>4.0499999999999989</v>
      </c>
      <c r="C56" s="576" t="e">
        <f t="shared" si="0"/>
        <v>#REF!</v>
      </c>
      <c r="D56" s="502" t="s">
        <v>669</v>
      </c>
      <c r="E56" s="500"/>
      <c r="F56" s="494"/>
      <c r="G56" s="530" t="s">
        <v>11</v>
      </c>
      <c r="H56" s="553">
        <v>0.62</v>
      </c>
      <c r="I56" s="553"/>
      <c r="J56" s="553">
        <v>273</v>
      </c>
      <c r="K56" s="558">
        <f t="shared" si="1"/>
        <v>169.26</v>
      </c>
      <c r="L56" s="553">
        <v>259</v>
      </c>
      <c r="M56" s="558">
        <f t="shared" si="30"/>
        <v>160.58000000000001</v>
      </c>
      <c r="N56" s="558">
        <f t="shared" si="33"/>
        <v>0</v>
      </c>
      <c r="O56" s="558">
        <f t="shared" si="30"/>
        <v>0</v>
      </c>
      <c r="P56" s="558"/>
      <c r="Q56" s="558">
        <f t="shared" si="30"/>
        <v>0</v>
      </c>
      <c r="R56" s="553">
        <f t="shared" si="34"/>
        <v>14</v>
      </c>
      <c r="S56" s="558">
        <f t="shared" si="30"/>
        <v>8.68</v>
      </c>
      <c r="T56" s="553"/>
      <c r="U56" s="558">
        <f t="shared" si="31"/>
        <v>0</v>
      </c>
      <c r="V56" s="553"/>
    </row>
    <row r="57" spans="2:23" ht="21" customHeight="1" x14ac:dyDescent="0.25">
      <c r="B57" s="562">
        <f t="shared" si="32"/>
        <v>4.0599999999999987</v>
      </c>
      <c r="C57" s="576" t="e">
        <f>+C52+1</f>
        <v>#REF!</v>
      </c>
      <c r="D57" s="502" t="s">
        <v>670</v>
      </c>
      <c r="E57" s="496"/>
      <c r="F57" s="497"/>
      <c r="G57" s="530" t="s">
        <v>11</v>
      </c>
      <c r="H57" s="553">
        <v>13.63</v>
      </c>
      <c r="I57" s="553"/>
      <c r="J57" s="553">
        <v>39</v>
      </c>
      <c r="K57" s="558">
        <f t="shared" si="1"/>
        <v>531.57000000000005</v>
      </c>
      <c r="L57" s="553">
        <v>37</v>
      </c>
      <c r="M57" s="558">
        <f t="shared" si="30"/>
        <v>504.31</v>
      </c>
      <c r="N57" s="558">
        <f t="shared" si="33"/>
        <v>0</v>
      </c>
      <c r="O57" s="558">
        <f t="shared" si="30"/>
        <v>0</v>
      </c>
      <c r="P57" s="558"/>
      <c r="Q57" s="558">
        <f t="shared" si="30"/>
        <v>0</v>
      </c>
      <c r="R57" s="553">
        <f t="shared" si="34"/>
        <v>2</v>
      </c>
      <c r="S57" s="558">
        <f t="shared" si="30"/>
        <v>27.26</v>
      </c>
      <c r="T57" s="553"/>
      <c r="U57" s="558">
        <f t="shared" si="31"/>
        <v>0</v>
      </c>
      <c r="V57" s="553"/>
    </row>
    <row r="58" spans="2:23" ht="21" customHeight="1" x14ac:dyDescent="0.25">
      <c r="B58" s="562">
        <f t="shared" si="32"/>
        <v>4.0699999999999985</v>
      </c>
      <c r="C58" s="576" t="e">
        <f t="shared" si="0"/>
        <v>#REF!</v>
      </c>
      <c r="D58" s="502" t="s">
        <v>679</v>
      </c>
      <c r="E58" s="496"/>
      <c r="F58" s="497"/>
      <c r="G58" s="530" t="s">
        <v>11</v>
      </c>
      <c r="H58" s="553">
        <v>6.98</v>
      </c>
      <c r="I58" s="553"/>
      <c r="J58" s="553">
        <v>156</v>
      </c>
      <c r="K58" s="558">
        <f t="shared" si="1"/>
        <v>1088.8800000000001</v>
      </c>
      <c r="L58" s="553">
        <v>148</v>
      </c>
      <c r="M58" s="558">
        <f t="shared" si="30"/>
        <v>1033.04</v>
      </c>
      <c r="N58" s="558">
        <f t="shared" si="33"/>
        <v>0</v>
      </c>
      <c r="O58" s="558">
        <f t="shared" si="30"/>
        <v>0</v>
      </c>
      <c r="P58" s="558"/>
      <c r="Q58" s="558">
        <f t="shared" si="30"/>
        <v>0</v>
      </c>
      <c r="R58" s="553">
        <f t="shared" si="34"/>
        <v>8</v>
      </c>
      <c r="S58" s="558">
        <f t="shared" si="30"/>
        <v>55.84</v>
      </c>
      <c r="T58" s="553"/>
      <c r="U58" s="558">
        <f t="shared" si="31"/>
        <v>0</v>
      </c>
      <c r="V58" s="553"/>
    </row>
    <row r="59" spans="2:23" ht="21" customHeight="1" x14ac:dyDescent="0.25">
      <c r="B59" s="562">
        <f t="shared" si="32"/>
        <v>4.0799999999999983</v>
      </c>
      <c r="C59" s="576" t="e">
        <f t="shared" si="0"/>
        <v>#REF!</v>
      </c>
      <c r="D59" s="502" t="s">
        <v>687</v>
      </c>
      <c r="E59" s="498"/>
      <c r="F59" s="499"/>
      <c r="G59" s="530" t="s">
        <v>11</v>
      </c>
      <c r="H59" s="553">
        <v>2.06</v>
      </c>
      <c r="I59" s="553"/>
      <c r="J59" s="553">
        <v>78</v>
      </c>
      <c r="K59" s="558">
        <f t="shared" si="1"/>
        <v>160.68</v>
      </c>
      <c r="L59" s="553">
        <v>74</v>
      </c>
      <c r="M59" s="558">
        <f t="shared" si="30"/>
        <v>152.44</v>
      </c>
      <c r="N59" s="558">
        <f t="shared" si="33"/>
        <v>0</v>
      </c>
      <c r="O59" s="558">
        <f t="shared" si="30"/>
        <v>0</v>
      </c>
      <c r="P59" s="556"/>
      <c r="Q59" s="558">
        <f t="shared" si="30"/>
        <v>0</v>
      </c>
      <c r="R59" s="553">
        <f t="shared" si="34"/>
        <v>4</v>
      </c>
      <c r="S59" s="558">
        <f t="shared" si="30"/>
        <v>8.24</v>
      </c>
      <c r="T59" s="557"/>
      <c r="U59" s="558">
        <f t="shared" si="31"/>
        <v>0</v>
      </c>
      <c r="V59" s="557"/>
    </row>
    <row r="60" spans="2:23" ht="21" customHeight="1" x14ac:dyDescent="0.25">
      <c r="B60" s="562">
        <f t="shared" si="32"/>
        <v>4.0899999999999981</v>
      </c>
      <c r="C60" s="576" t="e">
        <f t="shared" si="0"/>
        <v>#REF!</v>
      </c>
      <c r="D60" s="502" t="s">
        <v>681</v>
      </c>
      <c r="E60" s="500"/>
      <c r="F60" s="494"/>
      <c r="G60" s="539" t="s">
        <v>13</v>
      </c>
      <c r="H60" s="579">
        <v>1.78</v>
      </c>
      <c r="I60" s="579"/>
      <c r="J60" s="579">
        <v>39</v>
      </c>
      <c r="K60" s="717">
        <f t="shared" si="1"/>
        <v>69.42</v>
      </c>
      <c r="L60" s="579">
        <v>37</v>
      </c>
      <c r="M60" s="717">
        <f t="shared" si="30"/>
        <v>65.86</v>
      </c>
      <c r="N60" s="717">
        <f t="shared" si="33"/>
        <v>0</v>
      </c>
      <c r="O60" s="717">
        <f t="shared" si="30"/>
        <v>0</v>
      </c>
      <c r="P60" s="717"/>
      <c r="Q60" s="717">
        <f t="shared" si="30"/>
        <v>0</v>
      </c>
      <c r="R60" s="579">
        <f t="shared" si="34"/>
        <v>2</v>
      </c>
      <c r="S60" s="717">
        <f t="shared" si="30"/>
        <v>3.56</v>
      </c>
      <c r="T60" s="579"/>
      <c r="U60" s="717">
        <f t="shared" si="31"/>
        <v>0</v>
      </c>
      <c r="V60" s="579"/>
    </row>
    <row r="61" spans="2:23" s="547" customFormat="1" ht="21" customHeight="1" x14ac:dyDescent="0.25">
      <c r="B61" s="559">
        <f>+B60+0.01</f>
        <v>4.0999999999999979</v>
      </c>
      <c r="C61" s="577" t="e">
        <f t="shared" si="0"/>
        <v>#REF!</v>
      </c>
      <c r="D61" s="501" t="s">
        <v>1022</v>
      </c>
      <c r="E61" s="545"/>
      <c r="F61" s="546"/>
      <c r="G61" s="564" t="s">
        <v>11</v>
      </c>
      <c r="H61" s="633"/>
      <c r="I61" s="633">
        <f>+H52</f>
        <v>614.53</v>
      </c>
      <c r="J61" s="633"/>
      <c r="K61" s="634">
        <f t="shared" ref="K61" si="35">+ROUND($H61*J61,2)</f>
        <v>0</v>
      </c>
      <c r="L61" s="633">
        <v>37</v>
      </c>
      <c r="M61" s="634">
        <f>+ROUND($I61*L61,2)</f>
        <v>22737.61</v>
      </c>
      <c r="N61" s="634">
        <f>+IF($L61-$J61&gt;=0,$L61-$J61,0)</f>
        <v>37</v>
      </c>
      <c r="O61" s="634">
        <f t="shared" ref="O61" si="36">+ROUND($H61*N61,2)</f>
        <v>0</v>
      </c>
      <c r="P61" s="634">
        <f>+L61</f>
        <v>37</v>
      </c>
      <c r="Q61" s="634">
        <f>+ROUND($I61*P61,2)</f>
        <v>22737.61</v>
      </c>
      <c r="R61" s="633">
        <f>+IF($L61-$J61&lt;=0,-$L61+$J61,0)</f>
        <v>0</v>
      </c>
      <c r="S61" s="634">
        <f t="shared" ref="S61" si="37">+ROUND($H61*R61,2)</f>
        <v>0</v>
      </c>
      <c r="T61" s="633"/>
      <c r="U61" s="634">
        <f t="shared" ref="U61" si="38">+ROUND($H61*T61,2)</f>
        <v>0</v>
      </c>
      <c r="V61" s="633"/>
    </row>
    <row r="62" spans="2:23" ht="21" customHeight="1" x14ac:dyDescent="0.25">
      <c r="B62" s="456"/>
      <c r="C62" s="483" t="e">
        <f>+#REF!+1</f>
        <v>#REF!</v>
      </c>
      <c r="D62" s="537"/>
      <c r="E62" s="580"/>
      <c r="F62" s="533" t="str">
        <f>+"SUB-TOTAL   "&amp;B51&amp;":  "</f>
        <v xml:space="preserve">SUB-TOTAL   4:  </v>
      </c>
      <c r="G62" s="440"/>
      <c r="H62" s="438"/>
      <c r="I62" s="438"/>
      <c r="J62" s="438"/>
      <c r="K62" s="548">
        <f>+SUM(K52:K61)</f>
        <v>37292.579999999994</v>
      </c>
      <c r="L62" s="438"/>
      <c r="M62" s="548">
        <f>+SUM(M52:M61)</f>
        <v>35380.14</v>
      </c>
      <c r="N62" s="438"/>
      <c r="O62" s="548">
        <f>+SUM(O52:O61)</f>
        <v>0</v>
      </c>
      <c r="P62" s="438"/>
      <c r="Q62" s="548">
        <f>+SUM(Q52:Q61)</f>
        <v>22737.61</v>
      </c>
      <c r="R62" s="438"/>
      <c r="S62" s="548">
        <f>+SUM(S52:S61)</f>
        <v>24650.050000000003</v>
      </c>
      <c r="T62" s="438"/>
      <c r="U62" s="548">
        <f>+SUM(U52:U61)</f>
        <v>0</v>
      </c>
      <c r="V62" s="438"/>
      <c r="W62" s="660">
        <f>+K62-M62+O62+Q62-S62</f>
        <v>0</v>
      </c>
    </row>
    <row r="63" spans="2:23" ht="21" customHeight="1" x14ac:dyDescent="0.25">
      <c r="B63" s="452">
        <f>+B51+1</f>
        <v>5</v>
      </c>
      <c r="C63" s="481" t="e">
        <f t="shared" si="0"/>
        <v>#REF!</v>
      </c>
      <c r="D63" s="453" t="s">
        <v>688</v>
      </c>
      <c r="E63" s="445"/>
      <c r="F63" s="446"/>
      <c r="G63" s="527"/>
      <c r="H63" s="438"/>
      <c r="I63" s="438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</row>
    <row r="64" spans="2:23" ht="21" customHeight="1" x14ac:dyDescent="0.25">
      <c r="B64" s="562">
        <f t="shared" ref="B64:B71" si="39">+B63+0.01</f>
        <v>5.01</v>
      </c>
      <c r="C64" s="576" t="e">
        <f t="shared" si="0"/>
        <v>#REF!</v>
      </c>
      <c r="D64" s="502" t="s">
        <v>689</v>
      </c>
      <c r="E64" s="496"/>
      <c r="F64" s="497"/>
      <c r="G64" s="530" t="s">
        <v>11</v>
      </c>
      <c r="H64" s="553">
        <v>27.38</v>
      </c>
      <c r="I64" s="553"/>
      <c r="J64" s="553">
        <v>39</v>
      </c>
      <c r="K64" s="553">
        <f t="shared" si="1"/>
        <v>1067.82</v>
      </c>
      <c r="L64" s="553">
        <v>37</v>
      </c>
      <c r="M64" s="553">
        <f t="shared" ref="M64:S71" si="40">+ROUND($H64*L64,2)</f>
        <v>1013.06</v>
      </c>
      <c r="N64" s="553">
        <f>+IF($L64-$J64&gt;=0,$L64-$J64,0)</f>
        <v>0</v>
      </c>
      <c r="O64" s="553">
        <f t="shared" si="40"/>
        <v>0</v>
      </c>
      <c r="P64" s="553"/>
      <c r="Q64" s="553">
        <f t="shared" si="40"/>
        <v>0</v>
      </c>
      <c r="R64" s="553">
        <f>+IF($L64-$J64&lt;=0,-$L64+$J64,0)</f>
        <v>2</v>
      </c>
      <c r="S64" s="553">
        <f t="shared" si="40"/>
        <v>54.76</v>
      </c>
      <c r="T64" s="553"/>
      <c r="U64" s="553">
        <f t="shared" ref="U64:U71" si="41">+ROUND($H64*T64,2)</f>
        <v>0</v>
      </c>
      <c r="V64" s="553"/>
    </row>
    <row r="65" spans="2:23" ht="21" customHeight="1" x14ac:dyDescent="0.25">
      <c r="B65" s="562">
        <f t="shared" si="39"/>
        <v>5.0199999999999996</v>
      </c>
      <c r="C65" s="576" t="e">
        <f t="shared" si="0"/>
        <v>#REF!</v>
      </c>
      <c r="D65" s="502" t="s">
        <v>690</v>
      </c>
      <c r="E65" s="496"/>
      <c r="F65" s="497"/>
      <c r="G65" s="530" t="s">
        <v>11</v>
      </c>
      <c r="H65" s="553">
        <v>27.46</v>
      </c>
      <c r="I65" s="553"/>
      <c r="J65" s="553">
        <v>78</v>
      </c>
      <c r="K65" s="553">
        <f t="shared" si="1"/>
        <v>2141.88</v>
      </c>
      <c r="L65" s="553">
        <v>74</v>
      </c>
      <c r="M65" s="553">
        <f t="shared" si="40"/>
        <v>2032.04</v>
      </c>
      <c r="N65" s="553">
        <f t="shared" ref="N65:N71" si="42">+IF($L65-$J65&gt;=0,$L65-$J65,0)</f>
        <v>0</v>
      </c>
      <c r="O65" s="553">
        <f t="shared" si="40"/>
        <v>0</v>
      </c>
      <c r="P65" s="553"/>
      <c r="Q65" s="553">
        <f t="shared" si="40"/>
        <v>0</v>
      </c>
      <c r="R65" s="553">
        <f t="shared" ref="R65:R71" si="43">+IF($L65-$J65&lt;=0,-$L65+$J65,0)</f>
        <v>4</v>
      </c>
      <c r="S65" s="553">
        <f t="shared" si="40"/>
        <v>109.84</v>
      </c>
      <c r="T65" s="553"/>
      <c r="U65" s="553">
        <f t="shared" si="41"/>
        <v>0</v>
      </c>
      <c r="V65" s="553"/>
    </row>
    <row r="66" spans="2:23" ht="21" customHeight="1" x14ac:dyDescent="0.25">
      <c r="B66" s="562">
        <f t="shared" si="39"/>
        <v>5.0299999999999994</v>
      </c>
      <c r="C66" s="576" t="e">
        <f t="shared" si="0"/>
        <v>#REF!</v>
      </c>
      <c r="D66" s="502" t="s">
        <v>691</v>
      </c>
      <c r="E66" s="496"/>
      <c r="F66" s="497"/>
      <c r="G66" s="530" t="s">
        <v>11</v>
      </c>
      <c r="H66" s="553">
        <v>73.94</v>
      </c>
      <c r="I66" s="553"/>
      <c r="J66" s="553">
        <v>39</v>
      </c>
      <c r="K66" s="553">
        <f t="shared" si="1"/>
        <v>2883.66</v>
      </c>
      <c r="L66" s="553">
        <v>37</v>
      </c>
      <c r="M66" s="553">
        <f t="shared" si="40"/>
        <v>2735.78</v>
      </c>
      <c r="N66" s="553">
        <f t="shared" si="42"/>
        <v>0</v>
      </c>
      <c r="O66" s="553">
        <f t="shared" si="40"/>
        <v>0</v>
      </c>
      <c r="P66" s="553"/>
      <c r="Q66" s="553">
        <f t="shared" si="40"/>
        <v>0</v>
      </c>
      <c r="R66" s="553">
        <f t="shared" si="43"/>
        <v>2</v>
      </c>
      <c r="S66" s="553">
        <f t="shared" si="40"/>
        <v>147.88</v>
      </c>
      <c r="T66" s="553"/>
      <c r="U66" s="553">
        <f t="shared" si="41"/>
        <v>0</v>
      </c>
      <c r="V66" s="553"/>
    </row>
    <row r="67" spans="2:23" ht="21" customHeight="1" x14ac:dyDescent="0.25">
      <c r="B67" s="562">
        <f t="shared" si="39"/>
        <v>5.0399999999999991</v>
      </c>
      <c r="C67" s="576" t="e">
        <f t="shared" si="0"/>
        <v>#REF!</v>
      </c>
      <c r="D67" s="502" t="s">
        <v>692</v>
      </c>
      <c r="E67" s="496"/>
      <c r="F67" s="497"/>
      <c r="G67" s="530" t="s">
        <v>11</v>
      </c>
      <c r="H67" s="553">
        <v>2.88</v>
      </c>
      <c r="I67" s="553"/>
      <c r="J67" s="553">
        <v>195</v>
      </c>
      <c r="K67" s="553">
        <f t="shared" si="1"/>
        <v>561.6</v>
      </c>
      <c r="L67" s="553">
        <v>185</v>
      </c>
      <c r="M67" s="553">
        <f t="shared" si="40"/>
        <v>532.79999999999995</v>
      </c>
      <c r="N67" s="553">
        <f t="shared" si="42"/>
        <v>0</v>
      </c>
      <c r="O67" s="553">
        <f t="shared" si="40"/>
        <v>0</v>
      </c>
      <c r="P67" s="553"/>
      <c r="Q67" s="553">
        <f t="shared" si="40"/>
        <v>0</v>
      </c>
      <c r="R67" s="553">
        <f t="shared" si="43"/>
        <v>10</v>
      </c>
      <c r="S67" s="553">
        <f t="shared" si="40"/>
        <v>28.8</v>
      </c>
      <c r="T67" s="553"/>
      <c r="U67" s="553">
        <f t="shared" si="41"/>
        <v>0</v>
      </c>
      <c r="V67" s="553"/>
    </row>
    <row r="68" spans="2:23" ht="21" customHeight="1" x14ac:dyDescent="0.25">
      <c r="B68" s="562">
        <f t="shared" si="39"/>
        <v>5.0499999999999989</v>
      </c>
      <c r="C68" s="576" t="e">
        <f t="shared" si="0"/>
        <v>#REF!</v>
      </c>
      <c r="D68" s="502" t="s">
        <v>693</v>
      </c>
      <c r="E68" s="496"/>
      <c r="F68" s="497"/>
      <c r="G68" s="530" t="s">
        <v>11</v>
      </c>
      <c r="H68" s="553">
        <v>4.6399999999999997</v>
      </c>
      <c r="I68" s="553"/>
      <c r="J68" s="553">
        <v>39</v>
      </c>
      <c r="K68" s="553">
        <f t="shared" si="1"/>
        <v>180.96</v>
      </c>
      <c r="L68" s="553">
        <v>37</v>
      </c>
      <c r="M68" s="553">
        <f t="shared" si="40"/>
        <v>171.68</v>
      </c>
      <c r="N68" s="553">
        <f t="shared" si="42"/>
        <v>0</v>
      </c>
      <c r="O68" s="553">
        <f t="shared" si="40"/>
        <v>0</v>
      </c>
      <c r="P68" s="553"/>
      <c r="Q68" s="553">
        <f t="shared" si="40"/>
        <v>0</v>
      </c>
      <c r="R68" s="553">
        <f t="shared" si="43"/>
        <v>2</v>
      </c>
      <c r="S68" s="553">
        <f t="shared" si="40"/>
        <v>9.2799999999999994</v>
      </c>
      <c r="T68" s="553"/>
      <c r="U68" s="553">
        <f t="shared" si="41"/>
        <v>0</v>
      </c>
      <c r="V68" s="553"/>
    </row>
    <row r="69" spans="2:23" ht="21" customHeight="1" x14ac:dyDescent="0.25">
      <c r="B69" s="562">
        <f t="shared" si="39"/>
        <v>5.0599999999999987</v>
      </c>
      <c r="C69" s="576" t="e">
        <f t="shared" si="0"/>
        <v>#REF!</v>
      </c>
      <c r="D69" s="502" t="s">
        <v>694</v>
      </c>
      <c r="E69" s="498"/>
      <c r="F69" s="499"/>
      <c r="G69" s="530" t="s">
        <v>11</v>
      </c>
      <c r="H69" s="553">
        <v>0.57999999999999996</v>
      </c>
      <c r="I69" s="553"/>
      <c r="J69" s="553">
        <v>78</v>
      </c>
      <c r="K69" s="553">
        <f t="shared" si="1"/>
        <v>45.24</v>
      </c>
      <c r="L69" s="553">
        <v>74</v>
      </c>
      <c r="M69" s="553">
        <f t="shared" si="40"/>
        <v>42.92</v>
      </c>
      <c r="N69" s="553">
        <f t="shared" si="42"/>
        <v>0</v>
      </c>
      <c r="O69" s="553">
        <f t="shared" si="40"/>
        <v>0</v>
      </c>
      <c r="P69" s="557"/>
      <c r="Q69" s="553">
        <f t="shared" si="40"/>
        <v>0</v>
      </c>
      <c r="R69" s="553">
        <f t="shared" si="43"/>
        <v>4</v>
      </c>
      <c r="S69" s="553">
        <f t="shared" si="40"/>
        <v>2.3199999999999998</v>
      </c>
      <c r="T69" s="557"/>
      <c r="U69" s="553">
        <f t="shared" si="41"/>
        <v>0</v>
      </c>
      <c r="V69" s="557"/>
    </row>
    <row r="70" spans="2:23" ht="21" customHeight="1" x14ac:dyDescent="0.25">
      <c r="B70" s="562">
        <f t="shared" si="39"/>
        <v>5.0699999999999985</v>
      </c>
      <c r="C70" s="576" t="e">
        <f t="shared" si="0"/>
        <v>#REF!</v>
      </c>
      <c r="D70" s="502" t="s">
        <v>695</v>
      </c>
      <c r="E70" s="500"/>
      <c r="F70" s="494"/>
      <c r="G70" s="530" t="s">
        <v>11</v>
      </c>
      <c r="H70" s="553">
        <v>5.69</v>
      </c>
      <c r="I70" s="553"/>
      <c r="J70" s="553">
        <v>78</v>
      </c>
      <c r="K70" s="553">
        <f t="shared" si="1"/>
        <v>443.82</v>
      </c>
      <c r="L70" s="553">
        <v>74</v>
      </c>
      <c r="M70" s="553">
        <f t="shared" si="40"/>
        <v>421.06</v>
      </c>
      <c r="N70" s="553">
        <f t="shared" si="42"/>
        <v>0</v>
      </c>
      <c r="O70" s="553">
        <f t="shared" si="40"/>
        <v>0</v>
      </c>
      <c r="P70" s="553"/>
      <c r="Q70" s="553">
        <f t="shared" si="40"/>
        <v>0</v>
      </c>
      <c r="R70" s="553">
        <f t="shared" si="43"/>
        <v>4</v>
      </c>
      <c r="S70" s="553">
        <f t="shared" si="40"/>
        <v>22.76</v>
      </c>
      <c r="T70" s="553"/>
      <c r="U70" s="553">
        <f t="shared" si="41"/>
        <v>0</v>
      </c>
      <c r="V70" s="553"/>
    </row>
    <row r="71" spans="2:23" ht="21" customHeight="1" x14ac:dyDescent="0.25">
      <c r="B71" s="562">
        <f t="shared" si="39"/>
        <v>5.0799999999999983</v>
      </c>
      <c r="C71" s="576" t="e">
        <f t="shared" si="0"/>
        <v>#REF!</v>
      </c>
      <c r="D71" s="502" t="s">
        <v>696</v>
      </c>
      <c r="E71" s="496"/>
      <c r="F71" s="497"/>
      <c r="G71" s="532" t="s">
        <v>13</v>
      </c>
      <c r="H71" s="565">
        <v>0.26</v>
      </c>
      <c r="I71" s="565"/>
      <c r="J71" s="565">
        <v>195</v>
      </c>
      <c r="K71" s="565">
        <f t="shared" si="1"/>
        <v>50.7</v>
      </c>
      <c r="L71" s="565">
        <v>185</v>
      </c>
      <c r="M71" s="565">
        <f t="shared" si="40"/>
        <v>48.1</v>
      </c>
      <c r="N71" s="565">
        <f t="shared" si="42"/>
        <v>0</v>
      </c>
      <c r="O71" s="565">
        <f t="shared" si="40"/>
        <v>0</v>
      </c>
      <c r="P71" s="565"/>
      <c r="Q71" s="565">
        <f t="shared" si="40"/>
        <v>0</v>
      </c>
      <c r="R71" s="565">
        <f t="shared" si="43"/>
        <v>10</v>
      </c>
      <c r="S71" s="565">
        <f t="shared" si="40"/>
        <v>2.6</v>
      </c>
      <c r="T71" s="565"/>
      <c r="U71" s="565">
        <f t="shared" si="41"/>
        <v>0</v>
      </c>
      <c r="V71" s="565"/>
    </row>
    <row r="72" spans="2:23" ht="21" customHeight="1" x14ac:dyDescent="0.25">
      <c r="B72" s="456"/>
      <c r="C72" s="483" t="e">
        <f>+#REF!+1</f>
        <v>#REF!</v>
      </c>
      <c r="D72" s="537"/>
      <c r="E72" s="538"/>
      <c r="F72" s="544" t="str">
        <f>+"SUB-TOTAL   "&amp;B63&amp;":  "</f>
        <v xml:space="preserve">SUB-TOTAL   5:  </v>
      </c>
      <c r="G72" s="440"/>
      <c r="H72" s="438"/>
      <c r="I72" s="438"/>
      <c r="J72" s="438"/>
      <c r="K72" s="548">
        <f>+SUM(K64:K71)</f>
        <v>7375.6799999999994</v>
      </c>
      <c r="L72" s="438"/>
      <c r="M72" s="548">
        <f>+SUM(M64:M71)</f>
        <v>6997.4400000000014</v>
      </c>
      <c r="N72" s="438"/>
      <c r="O72" s="548">
        <f>+SUM(O64:O71)</f>
        <v>0</v>
      </c>
      <c r="P72" s="438"/>
      <c r="Q72" s="548">
        <f>+SUM(Q64:Q71)</f>
        <v>0</v>
      </c>
      <c r="R72" s="438"/>
      <c r="S72" s="548">
        <f>+SUM(S64:S71)</f>
        <v>378.24</v>
      </c>
      <c r="T72" s="438"/>
      <c r="U72" s="548">
        <f>+SUM(U64:U71)</f>
        <v>0</v>
      </c>
      <c r="V72" s="438"/>
      <c r="W72" s="660">
        <f>+K72-M72+O72+Q72-S72</f>
        <v>-2.0463630789890885E-12</v>
      </c>
    </row>
    <row r="73" spans="2:23" ht="21" customHeight="1" x14ac:dyDescent="0.25">
      <c r="B73" s="452">
        <f>+B63+1</f>
        <v>6</v>
      </c>
      <c r="C73" s="483" t="e">
        <f t="shared" si="0"/>
        <v>#REF!</v>
      </c>
      <c r="D73" s="453" t="s">
        <v>697</v>
      </c>
      <c r="E73" s="445"/>
      <c r="F73" s="446"/>
      <c r="G73" s="440"/>
      <c r="H73" s="438"/>
      <c r="I73" s="438"/>
      <c r="J73" s="438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</row>
    <row r="74" spans="2:23" ht="21" customHeight="1" x14ac:dyDescent="0.25">
      <c r="B74" s="562">
        <f>+B73+0.01</f>
        <v>6.01</v>
      </c>
      <c r="C74" s="581" t="e">
        <f>+C64+1</f>
        <v>#REF!</v>
      </c>
      <c r="D74" s="502" t="s">
        <v>698</v>
      </c>
      <c r="E74" s="496"/>
      <c r="F74" s="497"/>
      <c r="G74" s="530" t="s">
        <v>13</v>
      </c>
      <c r="H74" s="553">
        <v>1.24</v>
      </c>
      <c r="I74" s="553"/>
      <c r="J74" s="553">
        <v>1560</v>
      </c>
      <c r="K74" s="553">
        <f t="shared" ref="K74:K85" si="44">+ROUND($H74*J74,2)</f>
        <v>1934.4</v>
      </c>
      <c r="L74" s="553">
        <v>1480</v>
      </c>
      <c r="M74" s="553">
        <f t="shared" ref="M74:S89" si="45">+ROUND($H74*L74,2)</f>
        <v>1835.2</v>
      </c>
      <c r="N74" s="553">
        <f t="shared" ref="N74:N90" si="46">+IF($L74-$J74&gt;=0,$L74-$J74,0)</f>
        <v>0</v>
      </c>
      <c r="O74" s="553">
        <f t="shared" ref="O74:O85" si="47">+ROUND($H74*N74,2)</f>
        <v>0</v>
      </c>
      <c r="P74" s="553"/>
      <c r="Q74" s="553">
        <f t="shared" ref="Q74:Q85" si="48">+ROUND($H74*P74,2)</f>
        <v>0</v>
      </c>
      <c r="R74" s="553">
        <f>+IF($L74-$J74&lt;=0,-$L74+$J74,0)</f>
        <v>80</v>
      </c>
      <c r="S74" s="553">
        <f t="shared" ref="S74:S85" si="49">+ROUND($H74*R74,2)</f>
        <v>99.2</v>
      </c>
      <c r="T74" s="553"/>
      <c r="U74" s="553">
        <f t="shared" ref="U74:U90" si="50">+ROUND($H74*T74,2)</f>
        <v>0</v>
      </c>
      <c r="V74" s="553"/>
    </row>
    <row r="75" spans="2:23" ht="21" customHeight="1" x14ac:dyDescent="0.25">
      <c r="B75" s="562">
        <f t="shared" ref="B75:B88" si="51">+B74+0.01</f>
        <v>6.02</v>
      </c>
      <c r="C75" s="576" t="e">
        <f t="shared" si="0"/>
        <v>#REF!</v>
      </c>
      <c r="D75" s="502" t="s">
        <v>699</v>
      </c>
      <c r="E75" s="496"/>
      <c r="F75" s="497"/>
      <c r="G75" s="530" t="s">
        <v>13</v>
      </c>
      <c r="H75" s="553">
        <v>1.9</v>
      </c>
      <c r="I75" s="553"/>
      <c r="J75" s="553">
        <v>1170</v>
      </c>
      <c r="K75" s="553">
        <f t="shared" si="44"/>
        <v>2223</v>
      </c>
      <c r="L75" s="553">
        <v>1110</v>
      </c>
      <c r="M75" s="553">
        <f t="shared" si="45"/>
        <v>2109</v>
      </c>
      <c r="N75" s="553">
        <f t="shared" si="46"/>
        <v>0</v>
      </c>
      <c r="O75" s="553">
        <f t="shared" si="47"/>
        <v>0</v>
      </c>
      <c r="P75" s="553"/>
      <c r="Q75" s="553">
        <f t="shared" si="48"/>
        <v>0</v>
      </c>
      <c r="R75" s="553">
        <f t="shared" ref="R75:R77" si="52">+IF($L75-$J75&lt;=0,-$L75+$J75,0)</f>
        <v>60</v>
      </c>
      <c r="S75" s="553">
        <f t="shared" si="49"/>
        <v>114</v>
      </c>
      <c r="T75" s="553"/>
      <c r="U75" s="553">
        <f t="shared" si="50"/>
        <v>0</v>
      </c>
      <c r="V75" s="553"/>
    </row>
    <row r="76" spans="2:23" ht="21" customHeight="1" x14ac:dyDescent="0.25">
      <c r="B76" s="562">
        <f t="shared" si="51"/>
        <v>6.0299999999999994</v>
      </c>
      <c r="C76" s="576" t="e">
        <f t="shared" si="0"/>
        <v>#REF!</v>
      </c>
      <c r="D76" s="502" t="s">
        <v>700</v>
      </c>
      <c r="E76" s="496"/>
      <c r="F76" s="497"/>
      <c r="G76" s="530" t="s">
        <v>13</v>
      </c>
      <c r="H76" s="553">
        <v>1.91</v>
      </c>
      <c r="I76" s="553"/>
      <c r="J76" s="553">
        <v>585</v>
      </c>
      <c r="K76" s="553">
        <f t="shared" si="44"/>
        <v>1117.3499999999999</v>
      </c>
      <c r="L76" s="553">
        <v>555</v>
      </c>
      <c r="M76" s="553">
        <f t="shared" si="45"/>
        <v>1060.05</v>
      </c>
      <c r="N76" s="553">
        <f t="shared" si="46"/>
        <v>0</v>
      </c>
      <c r="O76" s="553">
        <f t="shared" si="47"/>
        <v>0</v>
      </c>
      <c r="P76" s="553"/>
      <c r="Q76" s="553">
        <f t="shared" si="48"/>
        <v>0</v>
      </c>
      <c r="R76" s="553">
        <f t="shared" si="52"/>
        <v>30</v>
      </c>
      <c r="S76" s="553">
        <f t="shared" si="49"/>
        <v>57.3</v>
      </c>
      <c r="T76" s="553"/>
      <c r="U76" s="553">
        <f t="shared" si="50"/>
        <v>0</v>
      </c>
      <c r="V76" s="553"/>
    </row>
    <row r="77" spans="2:23" ht="21" customHeight="1" x14ac:dyDescent="0.25">
      <c r="B77" s="562">
        <f t="shared" si="51"/>
        <v>6.0399999999999991</v>
      </c>
      <c r="C77" s="576" t="e">
        <f t="shared" si="0"/>
        <v>#REF!</v>
      </c>
      <c r="D77" s="502" t="s">
        <v>701</v>
      </c>
      <c r="E77" s="496"/>
      <c r="F77" s="497"/>
      <c r="G77" s="530" t="s">
        <v>13</v>
      </c>
      <c r="H77" s="553">
        <v>18.260000000000002</v>
      </c>
      <c r="I77" s="553"/>
      <c r="J77" s="553">
        <v>117</v>
      </c>
      <c r="K77" s="553">
        <f t="shared" si="44"/>
        <v>2136.42</v>
      </c>
      <c r="L77" s="553">
        <v>111</v>
      </c>
      <c r="M77" s="553">
        <f t="shared" si="45"/>
        <v>2026.86</v>
      </c>
      <c r="N77" s="553">
        <f t="shared" si="46"/>
        <v>0</v>
      </c>
      <c r="O77" s="553">
        <f t="shared" si="47"/>
        <v>0</v>
      </c>
      <c r="P77" s="553"/>
      <c r="Q77" s="553">
        <f t="shared" si="48"/>
        <v>0</v>
      </c>
      <c r="R77" s="553">
        <f t="shared" si="52"/>
        <v>6</v>
      </c>
      <c r="S77" s="553">
        <f t="shared" si="49"/>
        <v>109.56</v>
      </c>
      <c r="T77" s="553"/>
      <c r="U77" s="553">
        <f t="shared" si="50"/>
        <v>0</v>
      </c>
      <c r="V77" s="553"/>
    </row>
    <row r="78" spans="2:23" ht="21" customHeight="1" x14ac:dyDescent="0.25">
      <c r="B78" s="562">
        <f t="shared" si="51"/>
        <v>6.0499999999999989</v>
      </c>
      <c r="C78" s="581" t="e">
        <f>+C68+1</f>
        <v>#REF!</v>
      </c>
      <c r="D78" s="502" t="s">
        <v>702</v>
      </c>
      <c r="E78" s="496"/>
      <c r="F78" s="497"/>
      <c r="G78" s="530" t="s">
        <v>13</v>
      </c>
      <c r="H78" s="553">
        <v>10.8</v>
      </c>
      <c r="I78" s="553"/>
      <c r="J78" s="553">
        <v>117</v>
      </c>
      <c r="K78" s="553">
        <f t="shared" si="44"/>
        <v>1263.5999999999999</v>
      </c>
      <c r="L78" s="553">
        <v>111</v>
      </c>
      <c r="M78" s="553">
        <f t="shared" si="45"/>
        <v>1198.8</v>
      </c>
      <c r="N78" s="553">
        <f t="shared" si="46"/>
        <v>0</v>
      </c>
      <c r="O78" s="553">
        <f t="shared" si="47"/>
        <v>0</v>
      </c>
      <c r="P78" s="553"/>
      <c r="Q78" s="553">
        <f t="shared" si="48"/>
        <v>0</v>
      </c>
      <c r="R78" s="553">
        <f>+IF($L78-$J78&lt;=0,-$L78+$J78,0)</f>
        <v>6</v>
      </c>
      <c r="S78" s="553">
        <f t="shared" si="49"/>
        <v>64.8</v>
      </c>
      <c r="T78" s="553"/>
      <c r="U78" s="553">
        <f t="shared" si="50"/>
        <v>0</v>
      </c>
      <c r="V78" s="553"/>
    </row>
    <row r="79" spans="2:23" ht="21" customHeight="1" x14ac:dyDescent="0.25">
      <c r="B79" s="562">
        <f t="shared" si="51"/>
        <v>6.0599999999999987</v>
      </c>
      <c r="C79" s="576" t="e">
        <f t="shared" ref="C79:C110" si="53">+C78+1</f>
        <v>#REF!</v>
      </c>
      <c r="D79" s="502" t="s">
        <v>703</v>
      </c>
      <c r="E79" s="496"/>
      <c r="F79" s="497"/>
      <c r="G79" s="530" t="s">
        <v>13</v>
      </c>
      <c r="H79" s="553">
        <v>17.36</v>
      </c>
      <c r="I79" s="553"/>
      <c r="J79" s="553">
        <v>117</v>
      </c>
      <c r="K79" s="553">
        <f t="shared" si="44"/>
        <v>2031.12</v>
      </c>
      <c r="L79" s="553">
        <v>111</v>
      </c>
      <c r="M79" s="553">
        <f t="shared" si="45"/>
        <v>1926.96</v>
      </c>
      <c r="N79" s="553">
        <f t="shared" si="46"/>
        <v>0</v>
      </c>
      <c r="O79" s="553">
        <f t="shared" si="47"/>
        <v>0</v>
      </c>
      <c r="P79" s="553"/>
      <c r="Q79" s="553">
        <f t="shared" si="48"/>
        <v>0</v>
      </c>
      <c r="R79" s="553">
        <f t="shared" ref="R79:R81" si="54">+IF($L79-$J79&lt;=0,-$L79+$J79,0)</f>
        <v>6</v>
      </c>
      <c r="S79" s="553">
        <f t="shared" si="49"/>
        <v>104.16</v>
      </c>
      <c r="T79" s="553"/>
      <c r="U79" s="553">
        <f t="shared" si="50"/>
        <v>0</v>
      </c>
      <c r="V79" s="553"/>
    </row>
    <row r="80" spans="2:23" ht="21" customHeight="1" x14ac:dyDescent="0.25">
      <c r="B80" s="562">
        <f t="shared" si="51"/>
        <v>6.0699999999999985</v>
      </c>
      <c r="C80" s="576" t="e">
        <f t="shared" si="53"/>
        <v>#REF!</v>
      </c>
      <c r="D80" s="502" t="s">
        <v>704</v>
      </c>
      <c r="E80" s="496"/>
      <c r="F80" s="497"/>
      <c r="G80" s="530" t="s">
        <v>13</v>
      </c>
      <c r="H80" s="553">
        <v>12.24</v>
      </c>
      <c r="I80" s="553"/>
      <c r="J80" s="553">
        <v>117</v>
      </c>
      <c r="K80" s="553">
        <f t="shared" si="44"/>
        <v>1432.08</v>
      </c>
      <c r="L80" s="553">
        <v>111</v>
      </c>
      <c r="M80" s="553">
        <f t="shared" si="45"/>
        <v>1358.64</v>
      </c>
      <c r="N80" s="553">
        <f t="shared" si="46"/>
        <v>0</v>
      </c>
      <c r="O80" s="553">
        <f t="shared" si="47"/>
        <v>0</v>
      </c>
      <c r="P80" s="553"/>
      <c r="Q80" s="553">
        <f t="shared" si="48"/>
        <v>0</v>
      </c>
      <c r="R80" s="553">
        <f t="shared" si="54"/>
        <v>6</v>
      </c>
      <c r="S80" s="553">
        <f t="shared" si="49"/>
        <v>73.44</v>
      </c>
      <c r="T80" s="553"/>
      <c r="U80" s="553">
        <f t="shared" si="50"/>
        <v>0</v>
      </c>
      <c r="V80" s="553"/>
    </row>
    <row r="81" spans="2:23" ht="21" customHeight="1" x14ac:dyDescent="0.25">
      <c r="B81" s="562">
        <f t="shared" si="51"/>
        <v>6.0799999999999983</v>
      </c>
      <c r="C81" s="576" t="e">
        <f t="shared" si="53"/>
        <v>#REF!</v>
      </c>
      <c r="D81" s="502" t="s">
        <v>14</v>
      </c>
      <c r="E81" s="496"/>
      <c r="F81" s="497"/>
      <c r="G81" s="530" t="s">
        <v>13</v>
      </c>
      <c r="H81" s="553">
        <v>6.71</v>
      </c>
      <c r="I81" s="553"/>
      <c r="J81" s="553">
        <v>117</v>
      </c>
      <c r="K81" s="553">
        <f t="shared" si="44"/>
        <v>785.07</v>
      </c>
      <c r="L81" s="553">
        <v>111</v>
      </c>
      <c r="M81" s="553">
        <f t="shared" si="45"/>
        <v>744.81</v>
      </c>
      <c r="N81" s="553">
        <f t="shared" si="46"/>
        <v>0</v>
      </c>
      <c r="O81" s="553">
        <f t="shared" si="47"/>
        <v>0</v>
      </c>
      <c r="P81" s="553"/>
      <c r="Q81" s="553">
        <f t="shared" si="48"/>
        <v>0</v>
      </c>
      <c r="R81" s="553">
        <f t="shared" si="54"/>
        <v>6</v>
      </c>
      <c r="S81" s="553">
        <f t="shared" si="49"/>
        <v>40.26</v>
      </c>
      <c r="T81" s="553"/>
      <c r="U81" s="553">
        <f t="shared" si="50"/>
        <v>0</v>
      </c>
      <c r="V81" s="553"/>
    </row>
    <row r="82" spans="2:23" ht="21" customHeight="1" x14ac:dyDescent="0.25">
      <c r="B82" s="562">
        <f t="shared" si="51"/>
        <v>6.0899999999999981</v>
      </c>
      <c r="C82" s="581" t="e">
        <f>+#REF!+1</f>
        <v>#REF!</v>
      </c>
      <c r="D82" s="502" t="s">
        <v>705</v>
      </c>
      <c r="E82" s="496"/>
      <c r="F82" s="497"/>
      <c r="G82" s="530" t="s">
        <v>13</v>
      </c>
      <c r="H82" s="553">
        <v>8.11</v>
      </c>
      <c r="I82" s="553"/>
      <c r="J82" s="553">
        <v>156</v>
      </c>
      <c r="K82" s="553">
        <f t="shared" si="44"/>
        <v>1265.1600000000001</v>
      </c>
      <c r="L82" s="553">
        <v>148</v>
      </c>
      <c r="M82" s="553">
        <f t="shared" si="45"/>
        <v>1200.28</v>
      </c>
      <c r="N82" s="553">
        <f t="shared" si="46"/>
        <v>0</v>
      </c>
      <c r="O82" s="553">
        <f t="shared" si="47"/>
        <v>0</v>
      </c>
      <c r="P82" s="553"/>
      <c r="Q82" s="553">
        <f t="shared" si="48"/>
        <v>0</v>
      </c>
      <c r="R82" s="553">
        <f>+IF($L82-$J82&lt;=0,-$L82+$J82,0)</f>
        <v>8</v>
      </c>
      <c r="S82" s="553">
        <f t="shared" si="49"/>
        <v>64.88</v>
      </c>
      <c r="T82" s="553"/>
      <c r="U82" s="553">
        <f t="shared" si="50"/>
        <v>0</v>
      </c>
      <c r="V82" s="553"/>
    </row>
    <row r="83" spans="2:23" ht="21" customHeight="1" x14ac:dyDescent="0.25">
      <c r="B83" s="562">
        <f t="shared" si="51"/>
        <v>6.0999999999999979</v>
      </c>
      <c r="C83" s="576" t="e">
        <f t="shared" si="53"/>
        <v>#REF!</v>
      </c>
      <c r="D83" s="502" t="s">
        <v>706</v>
      </c>
      <c r="E83" s="496"/>
      <c r="F83" s="497"/>
      <c r="G83" s="530" t="s">
        <v>13</v>
      </c>
      <c r="H83" s="553">
        <v>17.62</v>
      </c>
      <c r="I83" s="553"/>
      <c r="J83" s="553">
        <v>39</v>
      </c>
      <c r="K83" s="553">
        <f t="shared" si="44"/>
        <v>687.18</v>
      </c>
      <c r="L83" s="553">
        <v>37</v>
      </c>
      <c r="M83" s="553">
        <f t="shared" si="45"/>
        <v>651.94000000000005</v>
      </c>
      <c r="N83" s="553">
        <f t="shared" si="46"/>
        <v>0</v>
      </c>
      <c r="O83" s="553">
        <f t="shared" si="47"/>
        <v>0</v>
      </c>
      <c r="P83" s="553"/>
      <c r="Q83" s="553">
        <f t="shared" si="48"/>
        <v>0</v>
      </c>
      <c r="R83" s="553">
        <f t="shared" ref="R83:R85" si="55">+IF($L83-$J83&lt;=0,-$L83+$J83,0)</f>
        <v>2</v>
      </c>
      <c r="S83" s="553">
        <f t="shared" si="49"/>
        <v>35.24</v>
      </c>
      <c r="T83" s="553"/>
      <c r="U83" s="553">
        <f t="shared" si="50"/>
        <v>0</v>
      </c>
      <c r="V83" s="553"/>
    </row>
    <row r="84" spans="2:23" ht="21" customHeight="1" x14ac:dyDescent="0.25">
      <c r="B84" s="562">
        <f t="shared" si="51"/>
        <v>6.1099999999999977</v>
      </c>
      <c r="C84" s="576" t="e">
        <f t="shared" si="53"/>
        <v>#REF!</v>
      </c>
      <c r="D84" s="502" t="s">
        <v>707</v>
      </c>
      <c r="E84" s="496"/>
      <c r="F84" s="497"/>
      <c r="G84" s="530" t="s">
        <v>13</v>
      </c>
      <c r="H84" s="553">
        <v>12.24</v>
      </c>
      <c r="I84" s="553"/>
      <c r="J84" s="553">
        <v>117</v>
      </c>
      <c r="K84" s="553">
        <f t="shared" si="44"/>
        <v>1432.08</v>
      </c>
      <c r="L84" s="553">
        <v>111</v>
      </c>
      <c r="M84" s="553">
        <f t="shared" si="45"/>
        <v>1358.64</v>
      </c>
      <c r="N84" s="553">
        <f t="shared" si="46"/>
        <v>0</v>
      </c>
      <c r="O84" s="553">
        <f t="shared" si="47"/>
        <v>0</v>
      </c>
      <c r="P84" s="553"/>
      <c r="Q84" s="553">
        <f t="shared" si="48"/>
        <v>0</v>
      </c>
      <c r="R84" s="553">
        <f t="shared" si="55"/>
        <v>6</v>
      </c>
      <c r="S84" s="553">
        <f t="shared" si="49"/>
        <v>73.44</v>
      </c>
      <c r="T84" s="553"/>
      <c r="U84" s="553">
        <f t="shared" si="50"/>
        <v>0</v>
      </c>
      <c r="V84" s="553"/>
    </row>
    <row r="85" spans="2:23" ht="21" customHeight="1" x14ac:dyDescent="0.25">
      <c r="B85" s="562">
        <f t="shared" si="51"/>
        <v>6.1199999999999974</v>
      </c>
      <c r="C85" s="576" t="e">
        <f t="shared" si="53"/>
        <v>#REF!</v>
      </c>
      <c r="D85" s="502" t="s">
        <v>708</v>
      </c>
      <c r="E85" s="496"/>
      <c r="F85" s="497"/>
      <c r="G85" s="530" t="s">
        <v>13</v>
      </c>
      <c r="H85" s="553">
        <v>21.94</v>
      </c>
      <c r="I85" s="553"/>
      <c r="J85" s="553">
        <v>117</v>
      </c>
      <c r="K85" s="553">
        <f t="shared" si="44"/>
        <v>2566.98</v>
      </c>
      <c r="L85" s="553">
        <v>111</v>
      </c>
      <c r="M85" s="553">
        <f t="shared" si="45"/>
        <v>2435.34</v>
      </c>
      <c r="N85" s="553">
        <f t="shared" si="46"/>
        <v>0</v>
      </c>
      <c r="O85" s="553">
        <f t="shared" si="47"/>
        <v>0</v>
      </c>
      <c r="P85" s="553"/>
      <c r="Q85" s="553">
        <f t="shared" si="48"/>
        <v>0</v>
      </c>
      <c r="R85" s="553">
        <f t="shared" si="55"/>
        <v>6</v>
      </c>
      <c r="S85" s="553">
        <f t="shared" si="49"/>
        <v>131.63999999999999</v>
      </c>
      <c r="T85" s="553"/>
      <c r="U85" s="553">
        <f t="shared" si="50"/>
        <v>0</v>
      </c>
      <c r="V85" s="553"/>
    </row>
    <row r="86" spans="2:23" ht="21" customHeight="1" x14ac:dyDescent="0.25">
      <c r="B86" s="562">
        <f t="shared" si="51"/>
        <v>6.1299999999999972</v>
      </c>
      <c r="C86" s="581" t="e">
        <f>+C73+1</f>
        <v>#REF!</v>
      </c>
      <c r="D86" s="502" t="s">
        <v>693</v>
      </c>
      <c r="E86" s="496"/>
      <c r="F86" s="497"/>
      <c r="G86" s="530" t="s">
        <v>13</v>
      </c>
      <c r="H86" s="553">
        <v>4.6399999999999997</v>
      </c>
      <c r="I86" s="553"/>
      <c r="J86" s="553">
        <v>390</v>
      </c>
      <c r="K86" s="553">
        <f t="shared" si="1"/>
        <v>1809.6</v>
      </c>
      <c r="L86" s="553">
        <v>370</v>
      </c>
      <c r="M86" s="553">
        <f t="shared" si="45"/>
        <v>1716.8</v>
      </c>
      <c r="N86" s="553">
        <f t="shared" si="46"/>
        <v>0</v>
      </c>
      <c r="O86" s="553">
        <f t="shared" si="45"/>
        <v>0</v>
      </c>
      <c r="P86" s="553"/>
      <c r="Q86" s="553">
        <f t="shared" si="45"/>
        <v>0</v>
      </c>
      <c r="R86" s="553">
        <f>+IF($L86-$J86&lt;=0,-$L86+$J86,0)</f>
        <v>20</v>
      </c>
      <c r="S86" s="553">
        <f t="shared" si="45"/>
        <v>92.8</v>
      </c>
      <c r="T86" s="553"/>
      <c r="U86" s="553">
        <f t="shared" si="50"/>
        <v>0</v>
      </c>
      <c r="V86" s="553"/>
    </row>
    <row r="87" spans="2:23" ht="21" customHeight="1" x14ac:dyDescent="0.25">
      <c r="B87" s="562">
        <f t="shared" si="51"/>
        <v>6.139999999999997</v>
      </c>
      <c r="C87" s="576" t="e">
        <f t="shared" si="53"/>
        <v>#REF!</v>
      </c>
      <c r="D87" s="502" t="s">
        <v>694</v>
      </c>
      <c r="E87" s="496"/>
      <c r="F87" s="497"/>
      <c r="G87" s="530" t="s">
        <v>13</v>
      </c>
      <c r="H87" s="553">
        <v>0.57999999999999996</v>
      </c>
      <c r="I87" s="553"/>
      <c r="J87" s="553">
        <v>585</v>
      </c>
      <c r="K87" s="553">
        <f t="shared" si="1"/>
        <v>339.3</v>
      </c>
      <c r="L87" s="553">
        <v>555</v>
      </c>
      <c r="M87" s="553">
        <f t="shared" si="45"/>
        <v>321.89999999999998</v>
      </c>
      <c r="N87" s="553">
        <f t="shared" si="46"/>
        <v>0</v>
      </c>
      <c r="O87" s="553">
        <f t="shared" si="45"/>
        <v>0</v>
      </c>
      <c r="P87" s="553"/>
      <c r="Q87" s="553">
        <f t="shared" si="45"/>
        <v>0</v>
      </c>
      <c r="R87" s="553">
        <f t="shared" ref="R87:R90" si="56">+IF($L87-$J87&lt;=0,-$L87+$J87,0)</f>
        <v>30</v>
      </c>
      <c r="S87" s="553">
        <f t="shared" si="45"/>
        <v>17.399999999999999</v>
      </c>
      <c r="T87" s="553"/>
      <c r="U87" s="553">
        <f t="shared" si="50"/>
        <v>0</v>
      </c>
      <c r="V87" s="553"/>
    </row>
    <row r="88" spans="2:23" ht="21" customHeight="1" x14ac:dyDescent="0.25">
      <c r="B88" s="562">
        <f t="shared" si="51"/>
        <v>6.1499999999999968</v>
      </c>
      <c r="C88" s="576" t="e">
        <f t="shared" si="53"/>
        <v>#REF!</v>
      </c>
      <c r="D88" s="502" t="s">
        <v>709</v>
      </c>
      <c r="E88" s="496"/>
      <c r="F88" s="497"/>
      <c r="G88" s="530" t="s">
        <v>13</v>
      </c>
      <c r="H88" s="553">
        <v>5.69</v>
      </c>
      <c r="I88" s="553"/>
      <c r="J88" s="553">
        <v>1014</v>
      </c>
      <c r="K88" s="553">
        <f t="shared" si="1"/>
        <v>5769.66</v>
      </c>
      <c r="L88" s="553">
        <v>962</v>
      </c>
      <c r="M88" s="553">
        <f t="shared" si="45"/>
        <v>5473.78</v>
      </c>
      <c r="N88" s="553">
        <f t="shared" si="46"/>
        <v>0</v>
      </c>
      <c r="O88" s="553">
        <f t="shared" si="45"/>
        <v>0</v>
      </c>
      <c r="P88" s="553"/>
      <c r="Q88" s="553">
        <f t="shared" si="45"/>
        <v>0</v>
      </c>
      <c r="R88" s="553">
        <f t="shared" si="56"/>
        <v>52</v>
      </c>
      <c r="S88" s="553">
        <f t="shared" si="45"/>
        <v>295.88</v>
      </c>
      <c r="T88" s="553"/>
      <c r="U88" s="553">
        <f t="shared" si="50"/>
        <v>0</v>
      </c>
      <c r="V88" s="553"/>
    </row>
    <row r="89" spans="2:23" ht="21" customHeight="1" x14ac:dyDescent="0.25">
      <c r="B89" s="562">
        <f>+B88+0.01</f>
        <v>6.1599999999999966</v>
      </c>
      <c r="C89" s="576" t="e">
        <f>+C87+1</f>
        <v>#REF!</v>
      </c>
      <c r="D89" s="502" t="s">
        <v>710</v>
      </c>
      <c r="E89" s="496"/>
      <c r="F89" s="497"/>
      <c r="G89" s="530" t="s">
        <v>13</v>
      </c>
      <c r="H89" s="553">
        <v>0.62</v>
      </c>
      <c r="I89" s="553"/>
      <c r="J89" s="553">
        <v>1755</v>
      </c>
      <c r="K89" s="553">
        <f t="shared" si="1"/>
        <v>1088.0999999999999</v>
      </c>
      <c r="L89" s="553">
        <v>1665</v>
      </c>
      <c r="M89" s="553">
        <f t="shared" si="45"/>
        <v>1032.3</v>
      </c>
      <c r="N89" s="553">
        <f t="shared" si="46"/>
        <v>0</v>
      </c>
      <c r="O89" s="553">
        <f t="shared" si="45"/>
        <v>0</v>
      </c>
      <c r="P89" s="553"/>
      <c r="Q89" s="553">
        <f t="shared" si="45"/>
        <v>0</v>
      </c>
      <c r="R89" s="553">
        <f t="shared" si="56"/>
        <v>90</v>
      </c>
      <c r="S89" s="553">
        <f t="shared" si="45"/>
        <v>55.8</v>
      </c>
      <c r="T89" s="553"/>
      <c r="U89" s="553">
        <f t="shared" si="50"/>
        <v>0</v>
      </c>
      <c r="V89" s="553"/>
    </row>
    <row r="90" spans="2:23" ht="21" customHeight="1" x14ac:dyDescent="0.25">
      <c r="B90" s="562">
        <f>+B89+0.01</f>
        <v>6.1699999999999964</v>
      </c>
      <c r="C90" s="576" t="e">
        <f>+C88+1</f>
        <v>#REF!</v>
      </c>
      <c r="D90" s="502" t="s">
        <v>711</v>
      </c>
      <c r="E90" s="496"/>
      <c r="F90" s="497"/>
      <c r="G90" s="532" t="s">
        <v>13</v>
      </c>
      <c r="H90" s="565">
        <v>0.47</v>
      </c>
      <c r="I90" s="565"/>
      <c r="J90" s="565">
        <v>195</v>
      </c>
      <c r="K90" s="565">
        <f t="shared" si="1"/>
        <v>91.65</v>
      </c>
      <c r="L90" s="565">
        <v>185</v>
      </c>
      <c r="M90" s="565">
        <f t="shared" ref="M90:S90" si="57">+ROUND($H90*L90,2)</f>
        <v>86.95</v>
      </c>
      <c r="N90" s="565">
        <f t="shared" si="46"/>
        <v>0</v>
      </c>
      <c r="O90" s="565">
        <f t="shared" si="57"/>
        <v>0</v>
      </c>
      <c r="P90" s="565"/>
      <c r="Q90" s="565">
        <f t="shared" si="57"/>
        <v>0</v>
      </c>
      <c r="R90" s="565">
        <f t="shared" si="56"/>
        <v>10</v>
      </c>
      <c r="S90" s="565">
        <f t="shared" si="57"/>
        <v>4.7</v>
      </c>
      <c r="T90" s="565"/>
      <c r="U90" s="565">
        <f t="shared" si="50"/>
        <v>0</v>
      </c>
      <c r="V90" s="565"/>
    </row>
    <row r="91" spans="2:23" ht="21" customHeight="1" x14ac:dyDescent="0.25">
      <c r="B91" s="456"/>
      <c r="C91" s="466" t="e">
        <f>+C90+1</f>
        <v>#REF!</v>
      </c>
      <c r="D91" s="743"/>
      <c r="E91" s="445"/>
      <c r="F91" s="533" t="str">
        <f>+"SUB-TOTAL   "&amp;B73&amp;":  "</f>
        <v xml:space="preserve">SUB-TOTAL   6:  </v>
      </c>
      <c r="G91" s="440"/>
      <c r="H91" s="438"/>
      <c r="I91" s="438"/>
      <c r="J91" s="438"/>
      <c r="K91" s="536">
        <f>+SUM(K74:K90)</f>
        <v>27972.749999999996</v>
      </c>
      <c r="L91" s="438"/>
      <c r="M91" s="536">
        <f>+SUM(M74:M90)</f>
        <v>26538.249999999996</v>
      </c>
      <c r="N91" s="536"/>
      <c r="O91" s="536">
        <f>+SUM(O74:O90)</f>
        <v>0</v>
      </c>
      <c r="P91" s="536"/>
      <c r="Q91" s="536">
        <f>+SUM(Q74:Q90)</f>
        <v>0</v>
      </c>
      <c r="R91" s="536"/>
      <c r="S91" s="536">
        <f>+SUM(S74:S90)</f>
        <v>1434.5</v>
      </c>
      <c r="T91" s="536"/>
      <c r="U91" s="536">
        <f>+SUM(U74:U90)</f>
        <v>0</v>
      </c>
      <c r="V91" s="536"/>
      <c r="W91" s="660">
        <f>+K91-M91+O91+Q91-S91</f>
        <v>0</v>
      </c>
    </row>
    <row r="92" spans="2:23" ht="21" customHeight="1" x14ac:dyDescent="0.25">
      <c r="B92" s="452">
        <f>+B73+1</f>
        <v>7</v>
      </c>
      <c r="C92" s="466" t="e">
        <f t="shared" si="53"/>
        <v>#REF!</v>
      </c>
      <c r="D92" s="453" t="s">
        <v>712</v>
      </c>
      <c r="E92" s="460"/>
      <c r="F92" s="461"/>
      <c r="G92" s="440"/>
      <c r="H92" s="438"/>
      <c r="I92" s="438"/>
      <c r="J92" s="438"/>
      <c r="K92" s="536"/>
      <c r="L92" s="438"/>
      <c r="M92" s="536"/>
      <c r="N92" s="536"/>
      <c r="O92" s="536"/>
      <c r="P92" s="536"/>
      <c r="Q92" s="536"/>
      <c r="R92" s="536"/>
      <c r="S92" s="536"/>
      <c r="T92" s="536"/>
      <c r="U92" s="536"/>
      <c r="V92" s="536"/>
    </row>
    <row r="93" spans="2:23" ht="21" customHeight="1" x14ac:dyDescent="0.25">
      <c r="B93" s="554">
        <f t="shared" ref="B93:B97" si="58">+B92+0.01</f>
        <v>7.01</v>
      </c>
      <c r="C93" s="584" t="e">
        <f t="shared" si="53"/>
        <v>#REF!</v>
      </c>
      <c r="D93" s="495" t="s">
        <v>713</v>
      </c>
      <c r="E93" s="500"/>
      <c r="F93" s="494"/>
      <c r="G93" s="530" t="s">
        <v>11</v>
      </c>
      <c r="H93" s="553">
        <v>2.08</v>
      </c>
      <c r="I93" s="553"/>
      <c r="J93" s="553">
        <v>585</v>
      </c>
      <c r="K93" s="553">
        <f t="shared" si="1"/>
        <v>1216.8</v>
      </c>
      <c r="L93" s="553">
        <v>555</v>
      </c>
      <c r="M93" s="553">
        <f t="shared" ref="M93:S97" si="59">+ROUND($H93*L93,2)</f>
        <v>1154.4000000000001</v>
      </c>
      <c r="N93" s="553">
        <f>+IF($L93-$J93&gt;=0,$L93-$J93,0)</f>
        <v>0</v>
      </c>
      <c r="O93" s="553">
        <f t="shared" si="59"/>
        <v>0</v>
      </c>
      <c r="P93" s="553"/>
      <c r="Q93" s="553">
        <f t="shared" si="59"/>
        <v>0</v>
      </c>
      <c r="R93" s="553">
        <f>+IF($L93-$J93&lt;=0,-$L93+$J93,0)</f>
        <v>30</v>
      </c>
      <c r="S93" s="553">
        <f t="shared" si="59"/>
        <v>62.4</v>
      </c>
      <c r="T93" s="553"/>
      <c r="U93" s="553">
        <f t="shared" ref="U93:U97" si="60">+ROUND($H93*T93,2)</f>
        <v>0</v>
      </c>
      <c r="V93" s="553"/>
    </row>
    <row r="94" spans="2:23" ht="21" customHeight="1" x14ac:dyDescent="0.25">
      <c r="B94" s="554">
        <f t="shared" si="58"/>
        <v>7.02</v>
      </c>
      <c r="C94" s="584" t="e">
        <f t="shared" si="53"/>
        <v>#REF!</v>
      </c>
      <c r="D94" s="495" t="s">
        <v>52</v>
      </c>
      <c r="E94" s="496"/>
      <c r="F94" s="497"/>
      <c r="G94" s="530" t="s">
        <v>11</v>
      </c>
      <c r="H94" s="553">
        <v>11.3</v>
      </c>
      <c r="I94" s="553"/>
      <c r="J94" s="553">
        <v>39</v>
      </c>
      <c r="K94" s="553">
        <f t="shared" si="1"/>
        <v>440.7</v>
      </c>
      <c r="L94" s="553">
        <v>37</v>
      </c>
      <c r="M94" s="553">
        <f t="shared" si="59"/>
        <v>418.1</v>
      </c>
      <c r="N94" s="553">
        <f t="shared" ref="N94:N97" si="61">+IF($L94-$J94&gt;=0,$L94-$J94,0)</f>
        <v>0</v>
      </c>
      <c r="O94" s="553">
        <f t="shared" si="59"/>
        <v>0</v>
      </c>
      <c r="P94" s="553"/>
      <c r="Q94" s="553">
        <f t="shared" si="59"/>
        <v>0</v>
      </c>
      <c r="R94" s="553">
        <f t="shared" ref="R94:R97" si="62">+IF($L94-$J94&lt;=0,-$L94+$J94,0)</f>
        <v>2</v>
      </c>
      <c r="S94" s="553">
        <f t="shared" si="59"/>
        <v>22.6</v>
      </c>
      <c r="T94" s="553"/>
      <c r="U94" s="553">
        <f t="shared" si="60"/>
        <v>0</v>
      </c>
      <c r="V94" s="553"/>
    </row>
    <row r="95" spans="2:23" ht="21" customHeight="1" x14ac:dyDescent="0.25">
      <c r="B95" s="554">
        <f t="shared" si="58"/>
        <v>7.0299999999999994</v>
      </c>
      <c r="C95" s="584" t="e">
        <f t="shared" si="53"/>
        <v>#REF!</v>
      </c>
      <c r="D95" s="495" t="s">
        <v>696</v>
      </c>
      <c r="E95" s="496"/>
      <c r="F95" s="497"/>
      <c r="G95" s="530" t="s">
        <v>11</v>
      </c>
      <c r="H95" s="553">
        <v>0.26</v>
      </c>
      <c r="I95" s="553"/>
      <c r="J95" s="553">
        <v>195</v>
      </c>
      <c r="K95" s="553">
        <f t="shared" si="1"/>
        <v>50.7</v>
      </c>
      <c r="L95" s="553">
        <v>185</v>
      </c>
      <c r="M95" s="553">
        <f t="shared" si="59"/>
        <v>48.1</v>
      </c>
      <c r="N95" s="553">
        <f t="shared" si="61"/>
        <v>0</v>
      </c>
      <c r="O95" s="553">
        <f t="shared" si="59"/>
        <v>0</v>
      </c>
      <c r="P95" s="553"/>
      <c r="Q95" s="553">
        <f t="shared" si="59"/>
        <v>0</v>
      </c>
      <c r="R95" s="553">
        <f t="shared" si="62"/>
        <v>10</v>
      </c>
      <c r="S95" s="553">
        <f t="shared" si="59"/>
        <v>2.6</v>
      </c>
      <c r="T95" s="553"/>
      <c r="U95" s="553">
        <f t="shared" si="60"/>
        <v>0</v>
      </c>
      <c r="V95" s="553"/>
    </row>
    <row r="96" spans="2:23" ht="21" customHeight="1" x14ac:dyDescent="0.25">
      <c r="B96" s="554">
        <f t="shared" si="58"/>
        <v>7.0399999999999991</v>
      </c>
      <c r="C96" s="584" t="e">
        <f t="shared" si="53"/>
        <v>#REF!</v>
      </c>
      <c r="D96" s="495" t="s">
        <v>665</v>
      </c>
      <c r="E96" s="496"/>
      <c r="F96" s="497"/>
      <c r="G96" s="530" t="s">
        <v>11</v>
      </c>
      <c r="H96" s="553">
        <v>6.98</v>
      </c>
      <c r="I96" s="553"/>
      <c r="J96" s="553">
        <v>78</v>
      </c>
      <c r="K96" s="553">
        <f t="shared" si="1"/>
        <v>544.44000000000005</v>
      </c>
      <c r="L96" s="553">
        <v>74</v>
      </c>
      <c r="M96" s="553">
        <f t="shared" si="59"/>
        <v>516.52</v>
      </c>
      <c r="N96" s="553">
        <f t="shared" si="61"/>
        <v>0</v>
      </c>
      <c r="O96" s="553">
        <f t="shared" si="59"/>
        <v>0</v>
      </c>
      <c r="P96" s="553"/>
      <c r="Q96" s="553">
        <f t="shared" si="59"/>
        <v>0</v>
      </c>
      <c r="R96" s="553">
        <f t="shared" si="62"/>
        <v>4</v>
      </c>
      <c r="S96" s="553">
        <f t="shared" si="59"/>
        <v>27.92</v>
      </c>
      <c r="T96" s="553"/>
      <c r="U96" s="553">
        <f t="shared" si="60"/>
        <v>0</v>
      </c>
      <c r="V96" s="553"/>
    </row>
    <row r="97" spans="2:33" ht="21" customHeight="1" x14ac:dyDescent="0.25">
      <c r="B97" s="562">
        <f t="shared" si="58"/>
        <v>7.0499999999999989</v>
      </c>
      <c r="C97" s="576" t="e">
        <f t="shared" si="53"/>
        <v>#REF!</v>
      </c>
      <c r="D97" s="502" t="s">
        <v>670</v>
      </c>
      <c r="E97" s="496"/>
      <c r="F97" s="497"/>
      <c r="G97" s="532" t="s">
        <v>11</v>
      </c>
      <c r="H97" s="565">
        <v>13.63</v>
      </c>
      <c r="I97" s="553"/>
      <c r="J97" s="553">
        <v>39</v>
      </c>
      <c r="K97" s="553">
        <f t="shared" si="1"/>
        <v>531.57000000000005</v>
      </c>
      <c r="L97" s="553">
        <v>37</v>
      </c>
      <c r="M97" s="553">
        <f t="shared" si="59"/>
        <v>504.31</v>
      </c>
      <c r="N97" s="553">
        <f t="shared" si="61"/>
        <v>0</v>
      </c>
      <c r="O97" s="553">
        <f t="shared" si="59"/>
        <v>0</v>
      </c>
      <c r="P97" s="553"/>
      <c r="Q97" s="553">
        <f t="shared" si="59"/>
        <v>0</v>
      </c>
      <c r="R97" s="553">
        <f t="shared" si="62"/>
        <v>2</v>
      </c>
      <c r="S97" s="553">
        <f t="shared" si="59"/>
        <v>27.26</v>
      </c>
      <c r="T97" s="553"/>
      <c r="U97" s="553">
        <f t="shared" si="60"/>
        <v>0</v>
      </c>
      <c r="V97" s="553"/>
    </row>
    <row r="98" spans="2:33" ht="21" customHeight="1" x14ac:dyDescent="0.25">
      <c r="B98" s="456"/>
      <c r="C98" s="466" t="e">
        <f>+#REF!+1</f>
        <v>#REF!</v>
      </c>
      <c r="D98" s="537"/>
      <c r="E98" s="538"/>
      <c r="F98" s="533" t="str">
        <f>+"SUB-TOTAL   "&amp;B92&amp;":  "</f>
        <v xml:space="preserve">SUB-TOTAL   7:  </v>
      </c>
      <c r="G98" s="440"/>
      <c r="H98" s="438"/>
      <c r="I98" s="540"/>
      <c r="J98" s="540"/>
      <c r="K98" s="589">
        <f>+SUM(K93:K97)</f>
        <v>2784.2100000000005</v>
      </c>
      <c r="L98" s="540"/>
      <c r="M98" s="589">
        <f>+SUM(M93:M97)</f>
        <v>2641.43</v>
      </c>
      <c r="N98" s="589"/>
      <c r="O98" s="589">
        <f>+SUM(O93:O97)</f>
        <v>0</v>
      </c>
      <c r="P98" s="589"/>
      <c r="Q98" s="589">
        <f>+SUM(Q93:Q97)</f>
        <v>0</v>
      </c>
      <c r="R98" s="589"/>
      <c r="S98" s="589">
        <f>+SUM(S93:S97)</f>
        <v>142.78</v>
      </c>
      <c r="T98" s="589"/>
      <c r="U98" s="589">
        <f>+SUM(U93:U97)</f>
        <v>0</v>
      </c>
      <c r="V98" s="589"/>
      <c r="W98" s="660">
        <f>+K98-M98+O98+Q98-S98</f>
        <v>6.5369931689929217E-13</v>
      </c>
    </row>
    <row r="99" spans="2:33" ht="21" customHeight="1" x14ac:dyDescent="0.25">
      <c r="B99" s="452">
        <f>+B92+1</f>
        <v>8</v>
      </c>
      <c r="C99" s="466" t="e">
        <f t="shared" si="53"/>
        <v>#REF!</v>
      </c>
      <c r="D99" s="453" t="s">
        <v>62</v>
      </c>
      <c r="E99" s="445"/>
      <c r="F99" s="446"/>
      <c r="G99" s="440"/>
      <c r="H99" s="438"/>
      <c r="I99" s="438"/>
      <c r="J99" s="438"/>
      <c r="K99" s="438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</row>
    <row r="100" spans="2:33" ht="21" customHeight="1" x14ac:dyDescent="0.25">
      <c r="B100" s="562">
        <f t="shared" ref="B100:B110" si="63">+B99+0.01</f>
        <v>8.01</v>
      </c>
      <c r="C100" s="576" t="e">
        <f t="shared" si="53"/>
        <v>#REF!</v>
      </c>
      <c r="D100" s="502" t="s">
        <v>25</v>
      </c>
      <c r="E100" s="496"/>
      <c r="F100" s="497"/>
      <c r="G100" s="530" t="s">
        <v>13</v>
      </c>
      <c r="H100" s="553">
        <v>66.7</v>
      </c>
      <c r="I100" s="553"/>
      <c r="J100" s="553">
        <v>39</v>
      </c>
      <c r="K100" s="553">
        <f t="shared" si="1"/>
        <v>2601.3000000000002</v>
      </c>
      <c r="L100" s="553">
        <v>37</v>
      </c>
      <c r="M100" s="553">
        <f t="shared" ref="M100:S107" si="64">+ROUND($H100*L100,2)</f>
        <v>2467.9</v>
      </c>
      <c r="N100" s="553">
        <f>+IF($L100-$J100&gt;=0,$L100-$J100,0)</f>
        <v>0</v>
      </c>
      <c r="O100" s="553">
        <f t="shared" si="64"/>
        <v>0</v>
      </c>
      <c r="P100" s="553"/>
      <c r="Q100" s="553">
        <f t="shared" si="64"/>
        <v>0</v>
      </c>
      <c r="R100" s="553">
        <f>+IF($L100-$J100&lt;=0,-$L100+$J100,0)</f>
        <v>2</v>
      </c>
      <c r="S100" s="553">
        <f t="shared" si="64"/>
        <v>133.4</v>
      </c>
      <c r="T100" s="553"/>
      <c r="U100" s="553">
        <f t="shared" ref="U100:U107" si="65">+ROUND($H100*T100,2)</f>
        <v>0</v>
      </c>
      <c r="V100" s="553"/>
    </row>
    <row r="101" spans="2:33" ht="21" customHeight="1" x14ac:dyDescent="0.25">
      <c r="B101" s="562">
        <f t="shared" si="63"/>
        <v>8.02</v>
      </c>
      <c r="C101" s="576" t="e">
        <f t="shared" si="53"/>
        <v>#REF!</v>
      </c>
      <c r="D101" s="502" t="s">
        <v>714</v>
      </c>
      <c r="E101" s="496"/>
      <c r="F101" s="497"/>
      <c r="G101" s="530" t="s">
        <v>11</v>
      </c>
      <c r="H101" s="553">
        <v>3.86</v>
      </c>
      <c r="I101" s="553"/>
      <c r="J101" s="553">
        <v>234</v>
      </c>
      <c r="K101" s="553">
        <f t="shared" ref="K101:K107" si="66">+ROUND($H101*J101,2)</f>
        <v>903.24</v>
      </c>
      <c r="L101" s="553">
        <v>222</v>
      </c>
      <c r="M101" s="553">
        <f t="shared" si="64"/>
        <v>856.92</v>
      </c>
      <c r="N101" s="553">
        <f t="shared" ref="N101:N107" si="67">+IF($L101-$J101&gt;=0,$L101-$J101,0)</f>
        <v>0</v>
      </c>
      <c r="O101" s="553">
        <f t="shared" si="64"/>
        <v>0</v>
      </c>
      <c r="P101" s="553"/>
      <c r="Q101" s="553">
        <f t="shared" si="64"/>
        <v>0</v>
      </c>
      <c r="R101" s="553">
        <f t="shared" ref="R101:R110" si="68">+IF($L101-$J101&lt;=0,-$L101+$J101,0)</f>
        <v>12</v>
      </c>
      <c r="S101" s="553">
        <f t="shared" si="64"/>
        <v>46.32</v>
      </c>
      <c r="T101" s="553"/>
      <c r="U101" s="553">
        <f t="shared" si="65"/>
        <v>0</v>
      </c>
      <c r="V101" s="553"/>
    </row>
    <row r="102" spans="2:33" ht="21" customHeight="1" x14ac:dyDescent="0.25">
      <c r="B102" s="562">
        <f t="shared" si="63"/>
        <v>8.0299999999999994</v>
      </c>
      <c r="C102" s="576" t="e">
        <f t="shared" si="53"/>
        <v>#REF!</v>
      </c>
      <c r="D102" s="502" t="s">
        <v>715</v>
      </c>
      <c r="E102" s="498"/>
      <c r="F102" s="499"/>
      <c r="G102" s="530" t="s">
        <v>11</v>
      </c>
      <c r="H102" s="553">
        <v>9.51</v>
      </c>
      <c r="I102" s="553"/>
      <c r="J102" s="553">
        <v>78</v>
      </c>
      <c r="K102" s="553">
        <f t="shared" si="66"/>
        <v>741.78</v>
      </c>
      <c r="L102" s="553">
        <v>74</v>
      </c>
      <c r="M102" s="553">
        <f t="shared" si="64"/>
        <v>703.74</v>
      </c>
      <c r="N102" s="553">
        <f t="shared" si="67"/>
        <v>0</v>
      </c>
      <c r="O102" s="553">
        <f t="shared" si="64"/>
        <v>0</v>
      </c>
      <c r="P102" s="557"/>
      <c r="Q102" s="553">
        <f t="shared" si="64"/>
        <v>0</v>
      </c>
      <c r="R102" s="553">
        <f t="shared" si="68"/>
        <v>4</v>
      </c>
      <c r="S102" s="553">
        <f t="shared" si="64"/>
        <v>38.04</v>
      </c>
      <c r="T102" s="557"/>
      <c r="U102" s="553">
        <f t="shared" si="65"/>
        <v>0</v>
      </c>
      <c r="V102" s="557"/>
      <c r="AA102" s="1170"/>
      <c r="AB102" s="1160"/>
      <c r="AC102" s="1159"/>
      <c r="AD102" s="1162"/>
      <c r="AE102" s="1167"/>
      <c r="AF102" s="1163"/>
      <c r="AG102" s="1164"/>
    </row>
    <row r="103" spans="2:33" ht="21" customHeight="1" x14ac:dyDescent="0.25">
      <c r="B103" s="562">
        <f t="shared" si="63"/>
        <v>8.0399999999999991</v>
      </c>
      <c r="C103" s="576" t="e">
        <f t="shared" si="53"/>
        <v>#REF!</v>
      </c>
      <c r="D103" s="502" t="s">
        <v>24</v>
      </c>
      <c r="E103" s="500"/>
      <c r="F103" s="494"/>
      <c r="G103" s="530" t="s">
        <v>11</v>
      </c>
      <c r="H103" s="553">
        <v>5.46</v>
      </c>
      <c r="I103" s="553"/>
      <c r="J103" s="553">
        <v>39</v>
      </c>
      <c r="K103" s="553">
        <f t="shared" si="66"/>
        <v>212.94</v>
      </c>
      <c r="L103" s="553">
        <v>37</v>
      </c>
      <c r="M103" s="553">
        <f t="shared" si="64"/>
        <v>202.02</v>
      </c>
      <c r="N103" s="553">
        <f t="shared" si="67"/>
        <v>0</v>
      </c>
      <c r="O103" s="553">
        <f t="shared" si="64"/>
        <v>0</v>
      </c>
      <c r="P103" s="553"/>
      <c r="Q103" s="553">
        <f t="shared" si="64"/>
        <v>0</v>
      </c>
      <c r="R103" s="553">
        <f t="shared" si="68"/>
        <v>2</v>
      </c>
      <c r="S103" s="553">
        <f t="shared" si="64"/>
        <v>10.92</v>
      </c>
      <c r="T103" s="553"/>
      <c r="U103" s="553">
        <f t="shared" si="65"/>
        <v>0</v>
      </c>
      <c r="V103" s="553"/>
      <c r="Z103" s="1162"/>
      <c r="AA103" s="1167"/>
      <c r="AB103" s="1163"/>
      <c r="AC103" s="1164"/>
      <c r="AD103" s="1165"/>
      <c r="AE103" s="1168"/>
      <c r="AF103" s="1160"/>
      <c r="AG103" s="1161"/>
    </row>
    <row r="104" spans="2:33" ht="21" customHeight="1" x14ac:dyDescent="0.25">
      <c r="B104" s="562">
        <f t="shared" si="63"/>
        <v>8.0499999999999989</v>
      </c>
      <c r="C104" s="576" t="e">
        <f t="shared" si="53"/>
        <v>#REF!</v>
      </c>
      <c r="D104" s="502" t="s">
        <v>716</v>
      </c>
      <c r="E104" s="496"/>
      <c r="F104" s="497"/>
      <c r="G104" s="530" t="s">
        <v>11</v>
      </c>
      <c r="H104" s="553">
        <v>40.090000000000003</v>
      </c>
      <c r="I104" s="553"/>
      <c r="J104" s="553">
        <v>39</v>
      </c>
      <c r="K104" s="553">
        <f t="shared" si="66"/>
        <v>1563.51</v>
      </c>
      <c r="L104" s="553">
        <v>37</v>
      </c>
      <c r="M104" s="553">
        <f t="shared" si="64"/>
        <v>1483.33</v>
      </c>
      <c r="N104" s="553">
        <f t="shared" si="67"/>
        <v>0</v>
      </c>
      <c r="O104" s="553">
        <f t="shared" si="64"/>
        <v>0</v>
      </c>
      <c r="P104" s="553"/>
      <c r="Q104" s="553">
        <f t="shared" si="64"/>
        <v>0</v>
      </c>
      <c r="R104" s="553">
        <f t="shared" si="68"/>
        <v>2</v>
      </c>
      <c r="S104" s="553">
        <f t="shared" si="64"/>
        <v>80.180000000000007</v>
      </c>
      <c r="T104" s="553"/>
      <c r="U104" s="553">
        <f t="shared" si="65"/>
        <v>0</v>
      </c>
      <c r="V104" s="553"/>
      <c r="Z104" s="1165"/>
      <c r="AA104" s="1168"/>
      <c r="AB104" s="1160"/>
      <c r="AC104" s="1161"/>
      <c r="AD104" s="1162"/>
      <c r="AE104" s="1167"/>
      <c r="AF104" s="1163"/>
      <c r="AG104" s="1164"/>
    </row>
    <row r="105" spans="2:33" ht="21" customHeight="1" x14ac:dyDescent="0.25">
      <c r="B105" s="562">
        <f t="shared" si="63"/>
        <v>8.0599999999999987</v>
      </c>
      <c r="C105" s="576" t="e">
        <f t="shared" si="53"/>
        <v>#REF!</v>
      </c>
      <c r="D105" s="502" t="s">
        <v>717</v>
      </c>
      <c r="E105" s="496"/>
      <c r="F105" s="497"/>
      <c r="G105" s="530" t="s">
        <v>11</v>
      </c>
      <c r="H105" s="553">
        <v>11.86</v>
      </c>
      <c r="I105" s="553"/>
      <c r="J105" s="553">
        <v>39</v>
      </c>
      <c r="K105" s="553">
        <f t="shared" si="66"/>
        <v>462.54</v>
      </c>
      <c r="L105" s="553">
        <v>37</v>
      </c>
      <c r="M105" s="553">
        <f t="shared" si="64"/>
        <v>438.82</v>
      </c>
      <c r="N105" s="553">
        <f t="shared" si="67"/>
        <v>0</v>
      </c>
      <c r="O105" s="553">
        <f t="shared" si="64"/>
        <v>0</v>
      </c>
      <c r="P105" s="553"/>
      <c r="Q105" s="553">
        <f t="shared" si="64"/>
        <v>0</v>
      </c>
      <c r="R105" s="553">
        <f t="shared" si="68"/>
        <v>2</v>
      </c>
      <c r="S105" s="553">
        <f t="shared" si="64"/>
        <v>23.72</v>
      </c>
      <c r="T105" s="553"/>
      <c r="U105" s="553">
        <f t="shared" si="65"/>
        <v>0</v>
      </c>
      <c r="V105" s="553"/>
      <c r="Z105" s="1162"/>
      <c r="AA105" s="1167"/>
      <c r="AB105" s="1163"/>
      <c r="AC105" s="1164"/>
      <c r="AD105" s="1165"/>
      <c r="AE105" s="1168"/>
      <c r="AF105" s="1160"/>
      <c r="AG105" s="1161"/>
    </row>
    <row r="106" spans="2:33" ht="21" customHeight="1" x14ac:dyDescent="0.25">
      <c r="B106" s="562">
        <f t="shared" si="63"/>
        <v>8.0699999999999985</v>
      </c>
      <c r="C106" s="576" t="e">
        <f t="shared" si="53"/>
        <v>#REF!</v>
      </c>
      <c r="D106" s="502" t="s">
        <v>718</v>
      </c>
      <c r="E106" s="496"/>
      <c r="F106" s="497"/>
      <c r="G106" s="530" t="s">
        <v>11</v>
      </c>
      <c r="H106" s="553">
        <v>0.57999999999999996</v>
      </c>
      <c r="I106" s="553"/>
      <c r="J106" s="553">
        <v>39</v>
      </c>
      <c r="K106" s="553">
        <f t="shared" si="66"/>
        <v>22.62</v>
      </c>
      <c r="L106" s="553">
        <v>111</v>
      </c>
      <c r="M106" s="553">
        <f t="shared" si="64"/>
        <v>64.38</v>
      </c>
      <c r="N106" s="553">
        <f t="shared" si="67"/>
        <v>72</v>
      </c>
      <c r="O106" s="553">
        <f t="shared" si="64"/>
        <v>41.76</v>
      </c>
      <c r="P106" s="553"/>
      <c r="Q106" s="553">
        <f t="shared" si="64"/>
        <v>0</v>
      </c>
      <c r="R106" s="553">
        <f t="shared" si="68"/>
        <v>0</v>
      </c>
      <c r="S106" s="553">
        <f t="shared" si="64"/>
        <v>0</v>
      </c>
      <c r="T106" s="553"/>
      <c r="U106" s="553">
        <f t="shared" si="65"/>
        <v>0</v>
      </c>
      <c r="V106" s="553"/>
      <c r="Z106" s="1165"/>
      <c r="AA106" s="1168"/>
      <c r="AB106" s="1160"/>
      <c r="AC106" s="1161"/>
      <c r="AD106" s="1162"/>
      <c r="AE106" s="1167"/>
      <c r="AF106" s="1163"/>
      <c r="AG106" s="1164"/>
    </row>
    <row r="107" spans="2:33" ht="21" customHeight="1" x14ac:dyDescent="0.25">
      <c r="B107" s="562">
        <f t="shared" si="63"/>
        <v>8.0799999999999983</v>
      </c>
      <c r="C107" s="576" t="e">
        <f t="shared" si="53"/>
        <v>#REF!</v>
      </c>
      <c r="D107" s="502" t="s">
        <v>719</v>
      </c>
      <c r="E107" s="496"/>
      <c r="F107" s="497"/>
      <c r="G107" s="539" t="s">
        <v>11</v>
      </c>
      <c r="H107" s="579">
        <v>115.14</v>
      </c>
      <c r="I107" s="579"/>
      <c r="J107" s="579">
        <v>39</v>
      </c>
      <c r="K107" s="579">
        <f t="shared" si="66"/>
        <v>4490.46</v>
      </c>
      <c r="L107" s="579"/>
      <c r="M107" s="579">
        <f t="shared" si="64"/>
        <v>0</v>
      </c>
      <c r="N107" s="553">
        <f t="shared" si="67"/>
        <v>0</v>
      </c>
      <c r="O107" s="553">
        <f t="shared" si="64"/>
        <v>0</v>
      </c>
      <c r="P107" s="553"/>
      <c r="Q107" s="553">
        <f t="shared" si="64"/>
        <v>0</v>
      </c>
      <c r="R107" s="553">
        <f t="shared" si="68"/>
        <v>39</v>
      </c>
      <c r="S107" s="553">
        <f t="shared" si="64"/>
        <v>4490.46</v>
      </c>
      <c r="T107" s="553"/>
      <c r="U107" s="553">
        <f t="shared" si="65"/>
        <v>0</v>
      </c>
      <c r="V107" s="553"/>
      <c r="Z107" s="1162"/>
      <c r="AA107" s="1167"/>
      <c r="AB107" s="1163"/>
      <c r="AC107" s="1164"/>
      <c r="AD107" s="1165"/>
      <c r="AE107" s="1168"/>
      <c r="AF107" s="1160"/>
      <c r="AG107" s="1161"/>
    </row>
    <row r="108" spans="2:33" s="547" customFormat="1" ht="21" customHeight="1" x14ac:dyDescent="0.25">
      <c r="B108" s="559">
        <f t="shared" si="63"/>
        <v>8.0899999999999981</v>
      </c>
      <c r="C108" s="577" t="e">
        <f t="shared" si="53"/>
        <v>#REF!</v>
      </c>
      <c r="D108" s="501" t="s">
        <v>350</v>
      </c>
      <c r="E108" s="545"/>
      <c r="F108" s="546"/>
      <c r="G108" s="531" t="s">
        <v>11</v>
      </c>
      <c r="H108" s="560"/>
      <c r="I108" s="560">
        <v>30</v>
      </c>
      <c r="J108" s="560"/>
      <c r="K108" s="560">
        <f t="shared" ref="K108:K110" si="69">+ROUND($H108*J108,2)</f>
        <v>0</v>
      </c>
      <c r="L108" s="560">
        <f>+L104*4</f>
        <v>148</v>
      </c>
      <c r="M108" s="560">
        <f>+ROUND($I108*L108,2)</f>
        <v>4440</v>
      </c>
      <c r="N108" s="560"/>
      <c r="O108" s="560">
        <f t="shared" ref="O108:O110" si="70">+ROUND($H108*N108,2)</f>
        <v>0</v>
      </c>
      <c r="P108" s="560">
        <f>+L108</f>
        <v>148</v>
      </c>
      <c r="Q108" s="560">
        <f>+ROUND($I108*P108,2)</f>
        <v>4440</v>
      </c>
      <c r="R108" s="560">
        <f t="shared" si="68"/>
        <v>0</v>
      </c>
      <c r="S108" s="560">
        <f t="shared" ref="S108:S110" si="71">+ROUND($H108*R108,2)</f>
        <v>0</v>
      </c>
      <c r="T108" s="560"/>
      <c r="U108" s="560">
        <f t="shared" ref="U108:U110" si="72">+ROUND($H108*T108,2)</f>
        <v>0</v>
      </c>
      <c r="V108" s="560"/>
      <c r="Z108" s="1165"/>
      <c r="AA108" s="1168"/>
      <c r="AB108" s="1160"/>
      <c r="AC108" s="1161"/>
      <c r="AD108" s="1162"/>
      <c r="AE108" s="1167"/>
      <c r="AF108" s="1163"/>
      <c r="AG108" s="1164"/>
    </row>
    <row r="109" spans="2:33" s="547" customFormat="1" ht="21" customHeight="1" x14ac:dyDescent="0.25">
      <c r="B109" s="559">
        <f t="shared" si="63"/>
        <v>8.0999999999999979</v>
      </c>
      <c r="C109" s="577" t="e">
        <f t="shared" si="53"/>
        <v>#REF!</v>
      </c>
      <c r="D109" s="501" t="s">
        <v>1023</v>
      </c>
      <c r="E109" s="545"/>
      <c r="F109" s="546"/>
      <c r="G109" s="531" t="s">
        <v>11</v>
      </c>
      <c r="H109" s="560"/>
      <c r="I109" s="560">
        <v>2.5099999999999998</v>
      </c>
      <c r="J109" s="560"/>
      <c r="K109" s="560">
        <f t="shared" si="69"/>
        <v>0</v>
      </c>
      <c r="L109" s="560">
        <v>37</v>
      </c>
      <c r="M109" s="560">
        <f t="shared" ref="M109:M110" si="73">+ROUND($I109*L109,2)</f>
        <v>92.87</v>
      </c>
      <c r="N109" s="560"/>
      <c r="O109" s="560">
        <f t="shared" si="70"/>
        <v>0</v>
      </c>
      <c r="P109" s="560">
        <f t="shared" ref="P109:P110" si="74">+L109</f>
        <v>37</v>
      </c>
      <c r="Q109" s="560">
        <f t="shared" ref="Q109:Q110" si="75">+ROUND($I109*P109,2)</f>
        <v>92.87</v>
      </c>
      <c r="R109" s="560">
        <f t="shared" si="68"/>
        <v>0</v>
      </c>
      <c r="S109" s="560">
        <f t="shared" si="71"/>
        <v>0</v>
      </c>
      <c r="T109" s="560"/>
      <c r="U109" s="560">
        <f t="shared" si="72"/>
        <v>0</v>
      </c>
      <c r="V109" s="560"/>
      <c r="Z109" s="1162"/>
      <c r="AA109" s="1167"/>
      <c r="AB109" s="1163"/>
      <c r="AC109" s="1159"/>
      <c r="AD109" s="1165"/>
      <c r="AE109" s="1168"/>
      <c r="AF109" s="1160"/>
      <c r="AG109" s="1161"/>
    </row>
    <row r="110" spans="2:33" s="547" customFormat="1" ht="21" customHeight="1" x14ac:dyDescent="0.25">
      <c r="B110" s="559">
        <f t="shared" si="63"/>
        <v>8.1099999999999977</v>
      </c>
      <c r="C110" s="577" t="e">
        <f t="shared" si="53"/>
        <v>#REF!</v>
      </c>
      <c r="D110" s="501" t="s">
        <v>1024</v>
      </c>
      <c r="E110" s="545"/>
      <c r="F110" s="546"/>
      <c r="G110" s="564" t="s">
        <v>11</v>
      </c>
      <c r="H110" s="633"/>
      <c r="I110" s="633">
        <v>7.35</v>
      </c>
      <c r="J110" s="633"/>
      <c r="K110" s="633">
        <f t="shared" si="69"/>
        <v>0</v>
      </c>
      <c r="L110" s="633">
        <v>37</v>
      </c>
      <c r="M110" s="560">
        <f t="shared" si="73"/>
        <v>271.95</v>
      </c>
      <c r="N110" s="560"/>
      <c r="O110" s="560">
        <f t="shared" si="70"/>
        <v>0</v>
      </c>
      <c r="P110" s="560">
        <f t="shared" si="74"/>
        <v>37</v>
      </c>
      <c r="Q110" s="560">
        <f t="shared" si="75"/>
        <v>271.95</v>
      </c>
      <c r="R110" s="560">
        <f t="shared" si="68"/>
        <v>0</v>
      </c>
      <c r="S110" s="560">
        <f t="shared" si="71"/>
        <v>0</v>
      </c>
      <c r="T110" s="560"/>
      <c r="U110" s="560">
        <f t="shared" si="72"/>
        <v>0</v>
      </c>
      <c r="V110" s="560"/>
      <c r="AB110" s="1166"/>
      <c r="AD110" s="1162"/>
      <c r="AE110" s="1167"/>
      <c r="AF110" s="1163"/>
      <c r="AG110" s="1164"/>
    </row>
    <row r="111" spans="2:33" ht="21" customHeight="1" x14ac:dyDescent="0.25">
      <c r="B111" s="456"/>
      <c r="C111" s="482" t="e">
        <f>+#REF!+1</f>
        <v>#REF!</v>
      </c>
      <c r="D111" s="537"/>
      <c r="E111" s="538"/>
      <c r="F111" s="533" t="str">
        <f>+"SUB-TOTAL   "&amp;B99&amp;":  "</f>
        <v xml:space="preserve">SUB-TOTAL   8:  </v>
      </c>
      <c r="G111" s="440"/>
      <c r="H111" s="438"/>
      <c r="I111" s="540"/>
      <c r="J111" s="540"/>
      <c r="K111" s="589">
        <f>+SUM(K100:K110)</f>
        <v>10998.39</v>
      </c>
      <c r="L111" s="540"/>
      <c r="M111" s="589">
        <f>+SUM(M100:M110)</f>
        <v>11021.930000000002</v>
      </c>
      <c r="N111" s="589"/>
      <c r="O111" s="589">
        <f>+SUM(O100:O110)</f>
        <v>41.76</v>
      </c>
      <c r="P111" s="589"/>
      <c r="Q111" s="589">
        <f>+SUM(Q100:Q110)</f>
        <v>4804.82</v>
      </c>
      <c r="R111" s="589"/>
      <c r="S111" s="589">
        <f>+SUM(S100:S110)</f>
        <v>4823.04</v>
      </c>
      <c r="T111" s="589"/>
      <c r="U111" s="589">
        <f>+SUM(U100:U110)</f>
        <v>0</v>
      </c>
      <c r="V111" s="589"/>
      <c r="W111" s="660">
        <f>+K111-M111+O111+Q111-S111</f>
        <v>0</v>
      </c>
      <c r="AD111" s="1165"/>
      <c r="AE111" s="1168"/>
      <c r="AF111" s="1160"/>
      <c r="AG111" s="1161"/>
    </row>
    <row r="112" spans="2:33" ht="21" customHeight="1" x14ac:dyDescent="0.25">
      <c r="B112" s="452">
        <f>+B99+1</f>
        <v>9</v>
      </c>
      <c r="C112" s="482" t="e">
        <f t="shared" ref="C112:C160" si="76">+C111+1</f>
        <v>#REF!</v>
      </c>
      <c r="D112" s="453" t="s">
        <v>720</v>
      </c>
      <c r="E112" s="445"/>
      <c r="F112" s="446"/>
      <c r="G112" s="440"/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57"/>
      <c r="AD112" s="1162"/>
      <c r="AE112" s="1167"/>
      <c r="AF112" s="1163"/>
      <c r="AG112" s="1159"/>
    </row>
    <row r="113" spans="1:33" ht="21" customHeight="1" x14ac:dyDescent="0.25">
      <c r="B113" s="562">
        <f>+B112+0.01</f>
        <v>9.01</v>
      </c>
      <c r="C113" s="576" t="e">
        <f t="shared" si="76"/>
        <v>#REF!</v>
      </c>
      <c r="D113" s="502" t="s">
        <v>721</v>
      </c>
      <c r="E113" s="496"/>
      <c r="F113" s="497"/>
      <c r="G113" s="530" t="s">
        <v>11</v>
      </c>
      <c r="H113" s="553">
        <v>6.77</v>
      </c>
      <c r="I113" s="553"/>
      <c r="J113" s="553">
        <v>195</v>
      </c>
      <c r="K113" s="553">
        <f t="shared" ref="K113:K117" si="77">+ROUND($H113*J113,2)</f>
        <v>1320.15</v>
      </c>
      <c r="L113" s="553">
        <v>185</v>
      </c>
      <c r="M113" s="553">
        <f t="shared" ref="M113:S117" si="78">+ROUND($H113*L113,2)</f>
        <v>1252.45</v>
      </c>
      <c r="N113" s="553">
        <f>+IF($L113-$J113&gt;=0,$L113-$J113,0)</f>
        <v>0</v>
      </c>
      <c r="O113" s="553">
        <f t="shared" si="78"/>
        <v>0</v>
      </c>
      <c r="P113" s="553"/>
      <c r="Q113" s="553">
        <f t="shared" si="78"/>
        <v>0</v>
      </c>
      <c r="R113" s="553">
        <f>+IF($L113-$J113&lt;=0,-$L113+$J113,0)</f>
        <v>10</v>
      </c>
      <c r="S113" s="553">
        <f t="shared" si="78"/>
        <v>67.7</v>
      </c>
      <c r="T113" s="553"/>
      <c r="U113" s="553">
        <f t="shared" ref="U113:U117" si="79">+ROUND($H113*T113,2)</f>
        <v>0</v>
      </c>
      <c r="V113" s="553"/>
      <c r="AD113" s="1165"/>
      <c r="AE113" s="1168"/>
      <c r="AF113" s="1160"/>
      <c r="AG113" s="1161"/>
    </row>
    <row r="114" spans="1:33" ht="21" customHeight="1" x14ac:dyDescent="0.25">
      <c r="B114" s="562">
        <f t="shared" ref="B114:B117" si="80">+B113+0.01</f>
        <v>9.02</v>
      </c>
      <c r="C114" s="576" t="e">
        <f t="shared" si="76"/>
        <v>#REF!</v>
      </c>
      <c r="D114" s="502" t="s">
        <v>722</v>
      </c>
      <c r="E114" s="496"/>
      <c r="F114" s="497"/>
      <c r="G114" s="530" t="s">
        <v>11</v>
      </c>
      <c r="H114" s="553">
        <v>2.6</v>
      </c>
      <c r="I114" s="553"/>
      <c r="J114" s="553">
        <v>39</v>
      </c>
      <c r="K114" s="553">
        <f t="shared" si="77"/>
        <v>101.4</v>
      </c>
      <c r="L114" s="553">
        <v>37</v>
      </c>
      <c r="M114" s="553">
        <f t="shared" si="78"/>
        <v>96.2</v>
      </c>
      <c r="N114" s="553">
        <f t="shared" ref="N114:N117" si="81">+IF($L114-$J114&gt;=0,$L114-$J114,0)</f>
        <v>0</v>
      </c>
      <c r="O114" s="553">
        <f t="shared" si="78"/>
        <v>0</v>
      </c>
      <c r="P114" s="553"/>
      <c r="Q114" s="553">
        <f t="shared" si="78"/>
        <v>0</v>
      </c>
      <c r="R114" s="553">
        <f t="shared" ref="R114:R117" si="82">+IF($L114-$J114&lt;=0,-$L114+$J114,0)</f>
        <v>2</v>
      </c>
      <c r="S114" s="553">
        <f t="shared" si="78"/>
        <v>5.2</v>
      </c>
      <c r="T114" s="553"/>
      <c r="U114" s="553">
        <f t="shared" si="79"/>
        <v>0</v>
      </c>
      <c r="V114" s="553"/>
      <c r="AD114" s="1162"/>
      <c r="AE114" s="1167"/>
      <c r="AF114" s="1163"/>
      <c r="AG114" s="1159"/>
    </row>
    <row r="115" spans="1:33" ht="21" customHeight="1" x14ac:dyDescent="0.25">
      <c r="B115" s="562">
        <f t="shared" si="80"/>
        <v>9.0299999999999994</v>
      </c>
      <c r="C115" s="576" t="e">
        <f t="shared" si="76"/>
        <v>#REF!</v>
      </c>
      <c r="D115" s="502" t="s">
        <v>353</v>
      </c>
      <c r="E115" s="503"/>
      <c r="F115" s="504"/>
      <c r="G115" s="530" t="s">
        <v>11</v>
      </c>
      <c r="H115" s="553">
        <v>1.47</v>
      </c>
      <c r="I115" s="553"/>
      <c r="J115" s="553">
        <v>39</v>
      </c>
      <c r="K115" s="553">
        <f t="shared" si="77"/>
        <v>57.33</v>
      </c>
      <c r="L115" s="553">
        <v>37</v>
      </c>
      <c r="M115" s="553">
        <f t="shared" si="78"/>
        <v>54.39</v>
      </c>
      <c r="N115" s="553">
        <f t="shared" si="81"/>
        <v>0</v>
      </c>
      <c r="O115" s="553">
        <f t="shared" si="78"/>
        <v>0</v>
      </c>
      <c r="P115" s="563"/>
      <c r="Q115" s="553">
        <f t="shared" si="78"/>
        <v>0</v>
      </c>
      <c r="R115" s="553">
        <f t="shared" si="82"/>
        <v>2</v>
      </c>
      <c r="S115" s="553">
        <f t="shared" si="78"/>
        <v>2.94</v>
      </c>
      <c r="T115" s="563"/>
      <c r="U115" s="553">
        <f t="shared" si="79"/>
        <v>0</v>
      </c>
      <c r="V115" s="563"/>
    </row>
    <row r="116" spans="1:33" s="458" customFormat="1" ht="21" customHeight="1" x14ac:dyDescent="0.25">
      <c r="A116" s="414"/>
      <c r="B116" s="562">
        <f t="shared" si="80"/>
        <v>9.0399999999999991</v>
      </c>
      <c r="C116" s="576" t="e">
        <f t="shared" si="76"/>
        <v>#REF!</v>
      </c>
      <c r="D116" s="502" t="s">
        <v>723</v>
      </c>
      <c r="E116" s="503"/>
      <c r="F116" s="504"/>
      <c r="G116" s="530" t="s">
        <v>11</v>
      </c>
      <c r="H116" s="553">
        <v>0.4</v>
      </c>
      <c r="I116" s="553"/>
      <c r="J116" s="553">
        <v>39</v>
      </c>
      <c r="K116" s="553">
        <f t="shared" si="77"/>
        <v>15.6</v>
      </c>
      <c r="L116" s="553">
        <v>37</v>
      </c>
      <c r="M116" s="553">
        <f t="shared" si="78"/>
        <v>14.8</v>
      </c>
      <c r="N116" s="553">
        <f t="shared" si="81"/>
        <v>0</v>
      </c>
      <c r="O116" s="553">
        <f t="shared" si="78"/>
        <v>0</v>
      </c>
      <c r="P116" s="563"/>
      <c r="Q116" s="553">
        <f t="shared" si="78"/>
        <v>0</v>
      </c>
      <c r="R116" s="553">
        <f t="shared" si="82"/>
        <v>2</v>
      </c>
      <c r="S116" s="553">
        <f t="shared" si="78"/>
        <v>0.8</v>
      </c>
      <c r="T116" s="563"/>
      <c r="U116" s="553">
        <f t="shared" si="79"/>
        <v>0</v>
      </c>
      <c r="V116" s="563"/>
      <c r="AE116" s="547"/>
    </row>
    <row r="117" spans="1:33" ht="21" customHeight="1" x14ac:dyDescent="0.25">
      <c r="B117" s="562">
        <f t="shared" si="80"/>
        <v>9.0499999999999989</v>
      </c>
      <c r="C117" s="576" t="e">
        <f t="shared" si="76"/>
        <v>#REF!</v>
      </c>
      <c r="D117" s="502" t="s">
        <v>66</v>
      </c>
      <c r="E117" s="503"/>
      <c r="F117" s="504"/>
      <c r="G117" s="532" t="s">
        <v>11</v>
      </c>
      <c r="H117" s="565">
        <v>2.85</v>
      </c>
      <c r="I117" s="553"/>
      <c r="J117" s="553">
        <v>39</v>
      </c>
      <c r="K117" s="553">
        <f t="shared" si="77"/>
        <v>111.15</v>
      </c>
      <c r="L117" s="553">
        <v>74</v>
      </c>
      <c r="M117" s="553">
        <f t="shared" si="78"/>
        <v>210.9</v>
      </c>
      <c r="N117" s="553">
        <f t="shared" si="81"/>
        <v>35</v>
      </c>
      <c r="O117" s="553">
        <f t="shared" si="78"/>
        <v>99.75</v>
      </c>
      <c r="P117" s="563"/>
      <c r="Q117" s="553">
        <f t="shared" si="78"/>
        <v>0</v>
      </c>
      <c r="R117" s="553">
        <f t="shared" si="82"/>
        <v>0</v>
      </c>
      <c r="S117" s="553">
        <f t="shared" si="78"/>
        <v>0</v>
      </c>
      <c r="T117" s="563"/>
      <c r="U117" s="553">
        <f t="shared" si="79"/>
        <v>0</v>
      </c>
      <c r="V117" s="563"/>
    </row>
    <row r="118" spans="1:33" ht="21" customHeight="1" x14ac:dyDescent="0.25">
      <c r="B118" s="456"/>
      <c r="C118" s="466" t="e">
        <f>+#REF!+1</f>
        <v>#REF!</v>
      </c>
      <c r="D118" s="537"/>
      <c r="E118" s="595"/>
      <c r="F118" s="544" t="str">
        <f>+"SUB-TOTAL   "&amp;B112&amp;":  "</f>
        <v xml:space="preserve">SUB-TOTAL   9:  </v>
      </c>
      <c r="G118" s="440"/>
      <c r="H118" s="438"/>
      <c r="I118" s="540"/>
      <c r="J118" s="540"/>
      <c r="K118" s="589">
        <f>+SUM(K113:K117)</f>
        <v>1605.63</v>
      </c>
      <c r="L118" s="540"/>
      <c r="M118" s="589">
        <f>+SUM(M113:M117)</f>
        <v>1628.7400000000002</v>
      </c>
      <c r="N118" s="589"/>
      <c r="O118" s="589">
        <f>+SUM(O113:O117)</f>
        <v>99.75</v>
      </c>
      <c r="P118" s="589"/>
      <c r="Q118" s="589">
        <f>+SUM(Q113:Q117)</f>
        <v>0</v>
      </c>
      <c r="R118" s="589"/>
      <c r="S118" s="589">
        <f>+SUM(S113:S117)</f>
        <v>76.64</v>
      </c>
      <c r="T118" s="589"/>
      <c r="U118" s="589">
        <f>+SUM(U113:U117)</f>
        <v>0</v>
      </c>
      <c r="V118" s="589"/>
      <c r="W118" s="660">
        <f>+K118-M118+O118+Q118-S118</f>
        <v>-1.2789769243681803E-13</v>
      </c>
    </row>
    <row r="119" spans="1:33" s="630" customFormat="1" ht="45.75" customHeight="1" x14ac:dyDescent="0.3">
      <c r="B119" s="623"/>
      <c r="C119" s="624" t="e">
        <f>+#REF!+1</f>
        <v>#REF!</v>
      </c>
      <c r="D119" s="625" t="s">
        <v>27</v>
      </c>
      <c r="E119" s="626"/>
      <c r="F119" s="627"/>
      <c r="G119" s="628"/>
      <c r="H119" s="629"/>
      <c r="I119" s="629"/>
      <c r="J119" s="629"/>
      <c r="K119" s="629">
        <f>+K20+K34+K50+K62+K72+K91+K98+K111+K118</f>
        <v>224739.45</v>
      </c>
      <c r="L119" s="629"/>
      <c r="M119" s="629">
        <f>+M20+M34+M50+M62+M72+M91+M98+M111+M118</f>
        <v>231968.38999999996</v>
      </c>
      <c r="N119" s="629"/>
      <c r="O119" s="629">
        <f>+O20+O34+O50+O62+O72+O91+O98+O111+O118</f>
        <v>141.51</v>
      </c>
      <c r="P119" s="629"/>
      <c r="Q119" s="629">
        <f>+Q20+Q34+Q50+Q62+Q72+Q91+Q98+Q111+Q118</f>
        <v>103598.37</v>
      </c>
      <c r="R119" s="629"/>
      <c r="S119" s="629">
        <f>+S20+S34+S50+S62+S72+S91+S98+S111+S118</f>
        <v>96510.939999999988</v>
      </c>
      <c r="T119" s="629"/>
      <c r="U119" s="629">
        <f>+U20+U34+U50+U62+U72+U91+U98+U111+U118</f>
        <v>0</v>
      </c>
      <c r="V119" s="629"/>
      <c r="W119" s="660">
        <f>+K119-M119+O119+Q119-S119</f>
        <v>0</v>
      </c>
      <c r="AE119" s="1169"/>
    </row>
    <row r="120" spans="1:33" ht="21" customHeight="1" x14ac:dyDescent="0.25">
      <c r="B120" s="467" t="s">
        <v>88</v>
      </c>
      <c r="C120" s="485" t="e">
        <f t="shared" si="76"/>
        <v>#REF!</v>
      </c>
      <c r="D120" s="468" t="s">
        <v>105</v>
      </c>
      <c r="E120" s="445"/>
      <c r="F120" s="446"/>
      <c r="G120" s="528"/>
      <c r="H120" s="438"/>
      <c r="I120" s="438"/>
      <c r="J120" s="438"/>
      <c r="K120" s="438"/>
      <c r="L120" s="438"/>
      <c r="M120" s="438"/>
      <c r="N120" s="438"/>
      <c r="O120" s="438"/>
      <c r="P120" s="438"/>
      <c r="Q120" s="438"/>
      <c r="R120" s="438"/>
      <c r="S120" s="438"/>
      <c r="T120" s="438"/>
      <c r="U120" s="438"/>
      <c r="V120" s="438"/>
    </row>
    <row r="121" spans="1:33" ht="21" customHeight="1" x14ac:dyDescent="0.25">
      <c r="B121" s="439">
        <v>1</v>
      </c>
      <c r="C121" s="480" t="e">
        <f>+#REF!+1</f>
        <v>#REF!</v>
      </c>
      <c r="D121" s="441" t="s">
        <v>357</v>
      </c>
      <c r="E121" s="486"/>
      <c r="F121" s="461"/>
      <c r="G121" s="440"/>
      <c r="H121" s="438"/>
      <c r="I121" s="438"/>
      <c r="J121" s="438"/>
      <c r="K121" s="600"/>
      <c r="L121" s="438"/>
      <c r="M121" s="600"/>
      <c r="N121" s="536"/>
      <c r="O121" s="600"/>
      <c r="P121" s="536"/>
      <c r="Q121" s="600"/>
      <c r="R121" s="536"/>
      <c r="S121" s="600"/>
      <c r="T121" s="536"/>
      <c r="U121" s="600"/>
      <c r="V121" s="536"/>
    </row>
    <row r="122" spans="1:33" ht="21" customHeight="1" x14ac:dyDescent="0.25">
      <c r="B122" s="554">
        <f t="shared" ref="B122:B135" si="83">+B121+0.01</f>
        <v>1.01</v>
      </c>
      <c r="C122" s="584" t="e">
        <f t="shared" si="76"/>
        <v>#REF!</v>
      </c>
      <c r="D122" s="495" t="s">
        <v>724</v>
      </c>
      <c r="E122" s="511"/>
      <c r="F122" s="512"/>
      <c r="G122" s="530" t="s">
        <v>11</v>
      </c>
      <c r="H122" s="553">
        <v>24.63</v>
      </c>
      <c r="I122" s="553"/>
      <c r="J122" s="553">
        <v>28</v>
      </c>
      <c r="K122" s="553">
        <f t="shared" ref="K122:K135" si="84">+ROUND($H122*J122,2)</f>
        <v>689.64</v>
      </c>
      <c r="L122" s="553">
        <v>26</v>
      </c>
      <c r="M122" s="553">
        <f t="shared" ref="M122:S135" si="85">+ROUND($H122*L122,2)</f>
        <v>640.38</v>
      </c>
      <c r="N122" s="553">
        <f>+IF($L122-$J122&gt;=0,$L122-$J122,0)</f>
        <v>0</v>
      </c>
      <c r="O122" s="553">
        <f t="shared" si="85"/>
        <v>0</v>
      </c>
      <c r="P122" s="553"/>
      <c r="Q122" s="553">
        <f t="shared" si="85"/>
        <v>0</v>
      </c>
      <c r="R122" s="553">
        <f>+IF($L122-$J122&lt;=0,-$L122+$J122,0)</f>
        <v>2</v>
      </c>
      <c r="S122" s="553">
        <f t="shared" si="85"/>
        <v>49.26</v>
      </c>
      <c r="T122" s="553"/>
      <c r="U122" s="553">
        <f t="shared" ref="U122:U135" si="86">+ROUND($H122*T122,2)</f>
        <v>0</v>
      </c>
      <c r="V122" s="553"/>
    </row>
    <row r="123" spans="1:33" ht="21" customHeight="1" x14ac:dyDescent="0.25">
      <c r="B123" s="554">
        <f t="shared" si="83"/>
        <v>1.02</v>
      </c>
      <c r="C123" s="576" t="e">
        <f t="shared" si="76"/>
        <v>#REF!</v>
      </c>
      <c r="D123" s="495" t="s">
        <v>725</v>
      </c>
      <c r="E123" s="496"/>
      <c r="F123" s="497"/>
      <c r="G123" s="530" t="s">
        <v>11</v>
      </c>
      <c r="H123" s="553">
        <v>39.93</v>
      </c>
      <c r="I123" s="553"/>
      <c r="J123" s="553">
        <v>11</v>
      </c>
      <c r="K123" s="553">
        <f t="shared" si="84"/>
        <v>439.23</v>
      </c>
      <c r="L123" s="553">
        <v>11</v>
      </c>
      <c r="M123" s="553">
        <f t="shared" si="85"/>
        <v>439.23</v>
      </c>
      <c r="N123" s="553">
        <f t="shared" ref="N123:N135" si="87">+IF($L123-$J123&gt;=0,$L123-$J123,0)</f>
        <v>0</v>
      </c>
      <c r="O123" s="553">
        <f t="shared" si="85"/>
        <v>0</v>
      </c>
      <c r="P123" s="553"/>
      <c r="Q123" s="553">
        <f t="shared" si="85"/>
        <v>0</v>
      </c>
      <c r="R123" s="553">
        <f t="shared" ref="R123:R135" si="88">+IF($L123-$J123&lt;=0,-$L123+$J123,0)</f>
        <v>0</v>
      </c>
      <c r="S123" s="553">
        <f t="shared" si="85"/>
        <v>0</v>
      </c>
      <c r="T123" s="553"/>
      <c r="U123" s="553">
        <f t="shared" si="86"/>
        <v>0</v>
      </c>
      <c r="V123" s="553"/>
    </row>
    <row r="124" spans="1:33" ht="21" customHeight="1" x14ac:dyDescent="0.25">
      <c r="B124" s="554">
        <f t="shared" si="83"/>
        <v>1.03</v>
      </c>
      <c r="C124" s="576" t="e">
        <f t="shared" si="76"/>
        <v>#REF!</v>
      </c>
      <c r="D124" s="495" t="s">
        <v>726</v>
      </c>
      <c r="E124" s="496"/>
      <c r="F124" s="497"/>
      <c r="G124" s="530" t="s">
        <v>11</v>
      </c>
      <c r="H124" s="553">
        <v>15.65</v>
      </c>
      <c r="I124" s="553"/>
      <c r="J124" s="553">
        <v>28</v>
      </c>
      <c r="K124" s="553">
        <f t="shared" si="84"/>
        <v>438.2</v>
      </c>
      <c r="L124" s="553">
        <v>26</v>
      </c>
      <c r="M124" s="553">
        <f t="shared" si="85"/>
        <v>406.9</v>
      </c>
      <c r="N124" s="553">
        <f t="shared" si="87"/>
        <v>0</v>
      </c>
      <c r="O124" s="553">
        <f t="shared" si="85"/>
        <v>0</v>
      </c>
      <c r="P124" s="553"/>
      <c r="Q124" s="553">
        <f t="shared" si="85"/>
        <v>0</v>
      </c>
      <c r="R124" s="553">
        <f t="shared" si="88"/>
        <v>2</v>
      </c>
      <c r="S124" s="553">
        <f t="shared" si="85"/>
        <v>31.3</v>
      </c>
      <c r="T124" s="553"/>
      <c r="U124" s="553">
        <f t="shared" si="86"/>
        <v>0</v>
      </c>
      <c r="V124" s="553"/>
    </row>
    <row r="125" spans="1:33" ht="21" customHeight="1" x14ac:dyDescent="0.25">
      <c r="B125" s="554">
        <f t="shared" si="83"/>
        <v>1.04</v>
      </c>
      <c r="C125" s="576" t="e">
        <f t="shared" si="76"/>
        <v>#REF!</v>
      </c>
      <c r="D125" s="495" t="s">
        <v>727</v>
      </c>
      <c r="E125" s="513"/>
      <c r="F125" s="499"/>
      <c r="G125" s="530" t="s">
        <v>11</v>
      </c>
      <c r="H125" s="553">
        <v>18.2</v>
      </c>
      <c r="I125" s="553"/>
      <c r="J125" s="553">
        <v>11</v>
      </c>
      <c r="K125" s="553">
        <f t="shared" si="84"/>
        <v>200.2</v>
      </c>
      <c r="L125" s="553">
        <v>11</v>
      </c>
      <c r="M125" s="553">
        <f t="shared" si="85"/>
        <v>200.2</v>
      </c>
      <c r="N125" s="553">
        <f t="shared" si="87"/>
        <v>0</v>
      </c>
      <c r="O125" s="553">
        <f t="shared" si="85"/>
        <v>0</v>
      </c>
      <c r="P125" s="557"/>
      <c r="Q125" s="553">
        <f t="shared" si="85"/>
        <v>0</v>
      </c>
      <c r="R125" s="553">
        <f t="shared" si="88"/>
        <v>0</v>
      </c>
      <c r="S125" s="553">
        <f t="shared" si="85"/>
        <v>0</v>
      </c>
      <c r="T125" s="557"/>
      <c r="U125" s="553">
        <f t="shared" si="86"/>
        <v>0</v>
      </c>
      <c r="V125" s="557"/>
    </row>
    <row r="126" spans="1:33" ht="21" customHeight="1" x14ac:dyDescent="0.25">
      <c r="B126" s="554">
        <f t="shared" si="83"/>
        <v>1.05</v>
      </c>
      <c r="C126" s="584" t="e">
        <f t="shared" si="76"/>
        <v>#REF!</v>
      </c>
      <c r="D126" s="495" t="s">
        <v>728</v>
      </c>
      <c r="E126" s="511"/>
      <c r="F126" s="512"/>
      <c r="G126" s="530" t="s">
        <v>11</v>
      </c>
      <c r="H126" s="553">
        <v>10.59</v>
      </c>
      <c r="I126" s="553"/>
      <c r="J126" s="553">
        <v>28</v>
      </c>
      <c r="K126" s="553">
        <f t="shared" si="84"/>
        <v>296.52</v>
      </c>
      <c r="L126" s="553">
        <v>26</v>
      </c>
      <c r="M126" s="553">
        <f t="shared" si="85"/>
        <v>275.33999999999997</v>
      </c>
      <c r="N126" s="553">
        <f t="shared" si="87"/>
        <v>0</v>
      </c>
      <c r="O126" s="553">
        <f t="shared" si="85"/>
        <v>0</v>
      </c>
      <c r="P126" s="553"/>
      <c r="Q126" s="553">
        <f t="shared" si="85"/>
        <v>0</v>
      </c>
      <c r="R126" s="553">
        <f t="shared" si="88"/>
        <v>2</v>
      </c>
      <c r="S126" s="553">
        <f t="shared" si="85"/>
        <v>21.18</v>
      </c>
      <c r="T126" s="553"/>
      <c r="U126" s="553">
        <f t="shared" si="86"/>
        <v>0</v>
      </c>
      <c r="V126" s="553"/>
    </row>
    <row r="127" spans="1:33" ht="21" customHeight="1" x14ac:dyDescent="0.25">
      <c r="B127" s="554">
        <f t="shared" si="83"/>
        <v>1.06</v>
      </c>
      <c r="C127" s="584" t="e">
        <f t="shared" si="76"/>
        <v>#REF!</v>
      </c>
      <c r="D127" s="495" t="s">
        <v>729</v>
      </c>
      <c r="E127" s="496"/>
      <c r="F127" s="497"/>
      <c r="G127" s="530" t="s">
        <v>259</v>
      </c>
      <c r="H127" s="553">
        <v>13.46</v>
      </c>
      <c r="I127" s="553"/>
      <c r="J127" s="553">
        <v>11</v>
      </c>
      <c r="K127" s="553">
        <f t="shared" si="84"/>
        <v>148.06</v>
      </c>
      <c r="L127" s="553">
        <v>11</v>
      </c>
      <c r="M127" s="553">
        <f t="shared" si="85"/>
        <v>148.06</v>
      </c>
      <c r="N127" s="553">
        <f t="shared" si="87"/>
        <v>0</v>
      </c>
      <c r="O127" s="553">
        <f t="shared" si="85"/>
        <v>0</v>
      </c>
      <c r="P127" s="553"/>
      <c r="Q127" s="553">
        <f t="shared" si="85"/>
        <v>0</v>
      </c>
      <c r="R127" s="553">
        <f t="shared" si="88"/>
        <v>0</v>
      </c>
      <c r="S127" s="553">
        <f t="shared" si="85"/>
        <v>0</v>
      </c>
      <c r="T127" s="553"/>
      <c r="U127" s="553">
        <f t="shared" si="86"/>
        <v>0</v>
      </c>
      <c r="V127" s="553"/>
    </row>
    <row r="128" spans="1:33" ht="21" customHeight="1" x14ac:dyDescent="0.25">
      <c r="B128" s="554">
        <f t="shared" si="83"/>
        <v>1.07</v>
      </c>
      <c r="C128" s="584" t="e">
        <f t="shared" si="76"/>
        <v>#REF!</v>
      </c>
      <c r="D128" s="495" t="s">
        <v>730</v>
      </c>
      <c r="E128" s="496"/>
      <c r="F128" s="497"/>
      <c r="G128" s="530" t="s">
        <v>259</v>
      </c>
      <c r="H128" s="553">
        <v>12.31</v>
      </c>
      <c r="I128" s="553"/>
      <c r="J128" s="553">
        <v>28</v>
      </c>
      <c r="K128" s="553">
        <f t="shared" si="84"/>
        <v>344.68</v>
      </c>
      <c r="L128" s="553">
        <v>26</v>
      </c>
      <c r="M128" s="553">
        <f t="shared" si="85"/>
        <v>320.06</v>
      </c>
      <c r="N128" s="553">
        <f t="shared" si="87"/>
        <v>0</v>
      </c>
      <c r="O128" s="553">
        <f t="shared" si="85"/>
        <v>0</v>
      </c>
      <c r="P128" s="553"/>
      <c r="Q128" s="553">
        <f t="shared" si="85"/>
        <v>0</v>
      </c>
      <c r="R128" s="553">
        <f t="shared" si="88"/>
        <v>2</v>
      </c>
      <c r="S128" s="553">
        <f t="shared" si="85"/>
        <v>24.62</v>
      </c>
      <c r="T128" s="553"/>
      <c r="U128" s="553">
        <f t="shared" si="86"/>
        <v>0</v>
      </c>
      <c r="V128" s="553"/>
    </row>
    <row r="129" spans="2:31" ht="21" customHeight="1" x14ac:dyDescent="0.25">
      <c r="B129" s="554">
        <f t="shared" si="83"/>
        <v>1.08</v>
      </c>
      <c r="C129" s="584" t="e">
        <f t="shared" si="76"/>
        <v>#REF!</v>
      </c>
      <c r="D129" s="495" t="s">
        <v>731</v>
      </c>
      <c r="E129" s="496"/>
      <c r="F129" s="497"/>
      <c r="G129" s="530" t="s">
        <v>12</v>
      </c>
      <c r="H129" s="553">
        <v>14.33</v>
      </c>
      <c r="I129" s="553"/>
      <c r="J129" s="553">
        <v>11</v>
      </c>
      <c r="K129" s="553">
        <f t="shared" si="84"/>
        <v>157.63</v>
      </c>
      <c r="L129" s="553">
        <v>11</v>
      </c>
      <c r="M129" s="553">
        <f t="shared" si="85"/>
        <v>157.63</v>
      </c>
      <c r="N129" s="553">
        <f t="shared" si="87"/>
        <v>0</v>
      </c>
      <c r="O129" s="553">
        <f t="shared" si="85"/>
        <v>0</v>
      </c>
      <c r="P129" s="553"/>
      <c r="Q129" s="553">
        <f t="shared" si="85"/>
        <v>0</v>
      </c>
      <c r="R129" s="553">
        <f t="shared" si="88"/>
        <v>0</v>
      </c>
      <c r="S129" s="553">
        <f t="shared" si="85"/>
        <v>0</v>
      </c>
      <c r="T129" s="553"/>
      <c r="U129" s="553">
        <f t="shared" si="86"/>
        <v>0</v>
      </c>
      <c r="V129" s="553"/>
    </row>
    <row r="130" spans="2:31" ht="21" customHeight="1" x14ac:dyDescent="0.25">
      <c r="B130" s="554">
        <f t="shared" si="83"/>
        <v>1.0900000000000001</v>
      </c>
      <c r="C130" s="584" t="e">
        <f t="shared" si="76"/>
        <v>#REF!</v>
      </c>
      <c r="D130" s="495" t="s">
        <v>732</v>
      </c>
      <c r="E130" s="513"/>
      <c r="F130" s="499"/>
      <c r="G130" s="530" t="s">
        <v>12</v>
      </c>
      <c r="H130" s="553">
        <v>10.76</v>
      </c>
      <c r="I130" s="553"/>
      <c r="J130" s="553">
        <v>28</v>
      </c>
      <c r="K130" s="553">
        <f t="shared" si="84"/>
        <v>301.27999999999997</v>
      </c>
      <c r="L130" s="553">
        <v>26</v>
      </c>
      <c r="M130" s="553">
        <f t="shared" si="85"/>
        <v>279.76</v>
      </c>
      <c r="N130" s="553">
        <f t="shared" si="87"/>
        <v>0</v>
      </c>
      <c r="O130" s="553">
        <f t="shared" si="85"/>
        <v>0</v>
      </c>
      <c r="P130" s="553"/>
      <c r="Q130" s="553">
        <f t="shared" si="85"/>
        <v>0</v>
      </c>
      <c r="R130" s="553">
        <f t="shared" si="88"/>
        <v>2</v>
      </c>
      <c r="S130" s="553">
        <f t="shared" si="85"/>
        <v>21.52</v>
      </c>
      <c r="T130" s="553"/>
      <c r="U130" s="553">
        <f t="shared" si="86"/>
        <v>0</v>
      </c>
      <c r="V130" s="553"/>
    </row>
    <row r="131" spans="2:31" ht="21" customHeight="1" x14ac:dyDescent="0.25">
      <c r="B131" s="554">
        <f t="shared" si="83"/>
        <v>1.1000000000000001</v>
      </c>
      <c r="C131" s="584" t="e">
        <f t="shared" si="76"/>
        <v>#REF!</v>
      </c>
      <c r="D131" s="495" t="s">
        <v>733</v>
      </c>
      <c r="E131" s="511"/>
      <c r="F131" s="512"/>
      <c r="G131" s="530" t="s">
        <v>12</v>
      </c>
      <c r="H131" s="553">
        <v>14.22</v>
      </c>
      <c r="I131" s="553"/>
      <c r="J131" s="553">
        <v>11</v>
      </c>
      <c r="K131" s="553">
        <f t="shared" si="84"/>
        <v>156.41999999999999</v>
      </c>
      <c r="L131" s="553">
        <v>11</v>
      </c>
      <c r="M131" s="553">
        <f t="shared" si="85"/>
        <v>156.41999999999999</v>
      </c>
      <c r="N131" s="553">
        <f t="shared" si="87"/>
        <v>0</v>
      </c>
      <c r="O131" s="553">
        <f t="shared" si="85"/>
        <v>0</v>
      </c>
      <c r="P131" s="553"/>
      <c r="Q131" s="553">
        <f t="shared" si="85"/>
        <v>0</v>
      </c>
      <c r="R131" s="553">
        <f t="shared" si="88"/>
        <v>0</v>
      </c>
      <c r="S131" s="553">
        <f t="shared" si="85"/>
        <v>0</v>
      </c>
      <c r="T131" s="553"/>
      <c r="U131" s="553">
        <f t="shared" si="86"/>
        <v>0</v>
      </c>
      <c r="V131" s="553"/>
    </row>
    <row r="132" spans="2:31" ht="21" customHeight="1" x14ac:dyDescent="0.25">
      <c r="B132" s="554">
        <f t="shared" si="83"/>
        <v>1.1100000000000001</v>
      </c>
      <c r="C132" s="584" t="e">
        <f t="shared" si="76"/>
        <v>#REF!</v>
      </c>
      <c r="D132" s="495" t="s">
        <v>734</v>
      </c>
      <c r="E132" s="496"/>
      <c r="F132" s="497"/>
      <c r="G132" s="530" t="s">
        <v>12</v>
      </c>
      <c r="H132" s="553">
        <v>31.46</v>
      </c>
      <c r="I132" s="553"/>
      <c r="J132" s="553">
        <v>28</v>
      </c>
      <c r="K132" s="553">
        <f t="shared" si="84"/>
        <v>880.88</v>
      </c>
      <c r="L132" s="553">
        <v>26</v>
      </c>
      <c r="M132" s="553">
        <f t="shared" si="85"/>
        <v>817.96</v>
      </c>
      <c r="N132" s="553">
        <f t="shared" si="87"/>
        <v>0</v>
      </c>
      <c r="O132" s="553">
        <f t="shared" si="85"/>
        <v>0</v>
      </c>
      <c r="P132" s="553"/>
      <c r="Q132" s="553">
        <f t="shared" si="85"/>
        <v>0</v>
      </c>
      <c r="R132" s="553">
        <f t="shared" si="88"/>
        <v>2</v>
      </c>
      <c r="S132" s="553">
        <f t="shared" si="85"/>
        <v>62.92</v>
      </c>
      <c r="T132" s="553"/>
      <c r="U132" s="553">
        <f t="shared" si="86"/>
        <v>0</v>
      </c>
      <c r="V132" s="553"/>
    </row>
    <row r="133" spans="2:31" ht="21" customHeight="1" x14ac:dyDescent="0.25">
      <c r="B133" s="554">
        <f t="shared" si="83"/>
        <v>1.1200000000000001</v>
      </c>
      <c r="C133" s="584" t="e">
        <f t="shared" si="76"/>
        <v>#REF!</v>
      </c>
      <c r="D133" s="495" t="s">
        <v>735</v>
      </c>
      <c r="E133" s="496"/>
      <c r="F133" s="497"/>
      <c r="G133" s="530" t="s">
        <v>12</v>
      </c>
      <c r="H133" s="553">
        <v>57.31</v>
      </c>
      <c r="I133" s="553"/>
      <c r="J133" s="553">
        <v>11</v>
      </c>
      <c r="K133" s="553">
        <f t="shared" si="84"/>
        <v>630.41</v>
      </c>
      <c r="L133" s="553">
        <v>11</v>
      </c>
      <c r="M133" s="553">
        <f t="shared" si="85"/>
        <v>630.41</v>
      </c>
      <c r="N133" s="553">
        <f t="shared" si="87"/>
        <v>0</v>
      </c>
      <c r="O133" s="553">
        <f t="shared" si="85"/>
        <v>0</v>
      </c>
      <c r="P133" s="553"/>
      <c r="Q133" s="553">
        <f t="shared" si="85"/>
        <v>0</v>
      </c>
      <c r="R133" s="553">
        <f t="shared" si="88"/>
        <v>0</v>
      </c>
      <c r="S133" s="553">
        <f t="shared" si="85"/>
        <v>0</v>
      </c>
      <c r="T133" s="553"/>
      <c r="U133" s="553">
        <f t="shared" si="86"/>
        <v>0</v>
      </c>
      <c r="V133" s="553"/>
    </row>
    <row r="134" spans="2:31" ht="21" customHeight="1" x14ac:dyDescent="0.25">
      <c r="B134" s="554">
        <f t="shared" si="83"/>
        <v>1.1300000000000001</v>
      </c>
      <c r="C134" s="584" t="e">
        <f t="shared" si="76"/>
        <v>#REF!</v>
      </c>
      <c r="D134" s="495" t="s">
        <v>736</v>
      </c>
      <c r="E134" s="513"/>
      <c r="F134" s="499"/>
      <c r="G134" s="530" t="s">
        <v>12</v>
      </c>
      <c r="H134" s="553">
        <v>62.75</v>
      </c>
      <c r="I134" s="553"/>
      <c r="J134" s="553">
        <v>28</v>
      </c>
      <c r="K134" s="553">
        <f t="shared" si="84"/>
        <v>1757</v>
      </c>
      <c r="L134" s="553">
        <v>26</v>
      </c>
      <c r="M134" s="553">
        <f t="shared" si="85"/>
        <v>1631.5</v>
      </c>
      <c r="N134" s="553">
        <f t="shared" si="87"/>
        <v>0</v>
      </c>
      <c r="O134" s="553">
        <f t="shared" si="85"/>
        <v>0</v>
      </c>
      <c r="P134" s="553"/>
      <c r="Q134" s="553">
        <f t="shared" si="85"/>
        <v>0</v>
      </c>
      <c r="R134" s="553">
        <f t="shared" si="88"/>
        <v>2</v>
      </c>
      <c r="S134" s="553">
        <f t="shared" si="85"/>
        <v>125.5</v>
      </c>
      <c r="T134" s="553"/>
      <c r="U134" s="553">
        <f t="shared" si="86"/>
        <v>0</v>
      </c>
      <c r="V134" s="553"/>
    </row>
    <row r="135" spans="2:31" ht="21" customHeight="1" x14ac:dyDescent="0.25">
      <c r="B135" s="554">
        <f t="shared" si="83"/>
        <v>1.1400000000000001</v>
      </c>
      <c r="C135" s="584" t="e">
        <f t="shared" si="76"/>
        <v>#REF!</v>
      </c>
      <c r="D135" s="495" t="s">
        <v>737</v>
      </c>
      <c r="E135" s="511"/>
      <c r="F135" s="512"/>
      <c r="G135" s="530" t="s">
        <v>12</v>
      </c>
      <c r="H135" s="553">
        <v>114.62</v>
      </c>
      <c r="I135" s="553"/>
      <c r="J135" s="553">
        <v>11</v>
      </c>
      <c r="K135" s="553">
        <f t="shared" si="84"/>
        <v>1260.82</v>
      </c>
      <c r="L135" s="553">
        <v>11</v>
      </c>
      <c r="M135" s="553">
        <f t="shared" si="85"/>
        <v>1260.82</v>
      </c>
      <c r="N135" s="553">
        <f t="shared" si="87"/>
        <v>0</v>
      </c>
      <c r="O135" s="553">
        <f t="shared" si="85"/>
        <v>0</v>
      </c>
      <c r="P135" s="553"/>
      <c r="Q135" s="553">
        <f t="shared" si="85"/>
        <v>0</v>
      </c>
      <c r="R135" s="553">
        <f t="shared" si="88"/>
        <v>0</v>
      </c>
      <c r="S135" s="553">
        <f t="shared" si="85"/>
        <v>0</v>
      </c>
      <c r="T135" s="553"/>
      <c r="U135" s="553">
        <f t="shared" si="86"/>
        <v>0</v>
      </c>
      <c r="V135" s="553"/>
    </row>
    <row r="136" spans="2:31" ht="21" customHeight="1" x14ac:dyDescent="0.25">
      <c r="B136" s="598"/>
      <c r="C136" s="575" t="e">
        <f>+#REF!+1</f>
        <v>#REF!</v>
      </c>
      <c r="D136" s="542"/>
      <c r="E136" s="599"/>
      <c r="F136" s="544" t="str">
        <f>+"SUB-TOTAL   "&amp;B121&amp;":  "</f>
        <v xml:space="preserve">SUB-TOTAL   1:  </v>
      </c>
      <c r="G136" s="567"/>
      <c r="H136" s="540"/>
      <c r="I136" s="540"/>
      <c r="J136" s="540"/>
      <c r="K136" s="610">
        <f>+SUM(K122:K135)</f>
        <v>7700.9699999999993</v>
      </c>
      <c r="L136" s="540"/>
      <c r="M136" s="610">
        <f>+SUM(M122:M135)</f>
        <v>7364.67</v>
      </c>
      <c r="N136" s="540">
        <f>+IF($L136-$J136&gt;=0,$L136-$J136,0)</f>
        <v>0</v>
      </c>
      <c r="O136" s="610">
        <f>+SUM(O122:O135)</f>
        <v>0</v>
      </c>
      <c r="P136" s="540"/>
      <c r="Q136" s="610">
        <f>+SUM(Q122:Q135)</f>
        <v>0</v>
      </c>
      <c r="R136" s="540">
        <f>+IF($L136-$J136&lt;=0,-$L136+$J136,0)</f>
        <v>0</v>
      </c>
      <c r="S136" s="610">
        <f>+SUM(S122:S135)</f>
        <v>336.3</v>
      </c>
      <c r="T136" s="540"/>
      <c r="U136" s="610">
        <f>+SUM(U122:U135)</f>
        <v>0</v>
      </c>
      <c r="V136" s="540"/>
    </row>
    <row r="137" spans="2:31" ht="21" customHeight="1" x14ac:dyDescent="0.25">
      <c r="B137" s="439">
        <v>2</v>
      </c>
      <c r="C137" s="482" t="e">
        <f t="shared" si="76"/>
        <v>#REF!</v>
      </c>
      <c r="D137" s="441" t="s">
        <v>738</v>
      </c>
      <c r="E137" s="487"/>
      <c r="F137" s="469"/>
      <c r="G137" s="440"/>
      <c r="H137" s="438"/>
      <c r="I137" s="438"/>
      <c r="J137" s="438"/>
      <c r="K137" s="470"/>
      <c r="L137" s="438"/>
      <c r="M137" s="470"/>
      <c r="N137" s="470"/>
      <c r="O137" s="470"/>
      <c r="P137" s="470"/>
      <c r="Q137" s="470"/>
      <c r="R137" s="470"/>
      <c r="S137" s="470"/>
      <c r="T137" s="470"/>
      <c r="U137" s="470"/>
      <c r="V137" s="470"/>
    </row>
    <row r="138" spans="2:31" s="418" customFormat="1" ht="21" customHeight="1" x14ac:dyDescent="0.25">
      <c r="B138" s="554">
        <f t="shared" ref="B138:B144" si="89">+B137+0.01</f>
        <v>2.0099999999999998</v>
      </c>
      <c r="C138" s="577" t="e">
        <f t="shared" si="76"/>
        <v>#REF!</v>
      </c>
      <c r="D138" s="495" t="s">
        <v>537</v>
      </c>
      <c r="E138" s="517"/>
      <c r="F138" s="518"/>
      <c r="G138" s="530"/>
      <c r="H138" s="553">
        <v>61.15</v>
      </c>
      <c r="I138" s="553"/>
      <c r="J138" s="553">
        <v>4.46</v>
      </c>
      <c r="K138" s="553">
        <f t="shared" ref="K138:K144" si="90">+ROUND($H138*J138,2)</f>
        <v>272.73</v>
      </c>
      <c r="L138" s="553">
        <v>3.88</v>
      </c>
      <c r="M138" s="553">
        <f t="shared" ref="M138:S144" si="91">+ROUND($H138*L138,2)</f>
        <v>237.26</v>
      </c>
      <c r="N138" s="553">
        <f>+IF($L138-$J138&gt;=0,$L138-$J138,0)</f>
        <v>0</v>
      </c>
      <c r="O138" s="553">
        <f t="shared" si="91"/>
        <v>0</v>
      </c>
      <c r="P138" s="553"/>
      <c r="Q138" s="553">
        <f t="shared" si="91"/>
        <v>0</v>
      </c>
      <c r="R138" s="553">
        <f>+IF($L138-$J138&lt;=0,-$L138+$J138,0)</f>
        <v>0.58000000000000007</v>
      </c>
      <c r="S138" s="553">
        <f t="shared" si="91"/>
        <v>35.47</v>
      </c>
      <c r="T138" s="553"/>
      <c r="U138" s="553">
        <f t="shared" ref="U138:U144" si="92">+ROUND($H138*T138,2)</f>
        <v>0</v>
      </c>
      <c r="V138" s="553"/>
      <c r="AE138" s="759"/>
    </row>
    <row r="139" spans="2:31" s="418" customFormat="1" ht="21" customHeight="1" x14ac:dyDescent="0.25">
      <c r="B139" s="554">
        <f t="shared" si="89"/>
        <v>2.0199999999999996</v>
      </c>
      <c r="C139" s="577" t="e">
        <f t="shared" si="76"/>
        <v>#REF!</v>
      </c>
      <c r="D139" s="495" t="s">
        <v>536</v>
      </c>
      <c r="E139" s="757"/>
      <c r="F139" s="758"/>
      <c r="G139" s="530"/>
      <c r="H139" s="713">
        <v>208.14</v>
      </c>
      <c r="I139" s="713"/>
      <c r="J139" s="553">
        <v>0.65</v>
      </c>
      <c r="K139" s="553">
        <f t="shared" si="90"/>
        <v>135.29</v>
      </c>
      <c r="L139" s="553">
        <v>0.6</v>
      </c>
      <c r="M139" s="553">
        <f t="shared" si="91"/>
        <v>124.88</v>
      </c>
      <c r="N139" s="553">
        <f t="shared" ref="N139:N144" si="93">+IF($L139-$J139&gt;=0,$L139-$J139,0)</f>
        <v>0</v>
      </c>
      <c r="O139" s="553">
        <f t="shared" si="91"/>
        <v>0</v>
      </c>
      <c r="P139" s="713"/>
      <c r="Q139" s="553">
        <f t="shared" si="91"/>
        <v>0</v>
      </c>
      <c r="R139" s="553">
        <f t="shared" ref="R139:R144" si="94">+IF($L139-$J139&lt;=0,-$L139+$J139,0)</f>
        <v>5.0000000000000044E-2</v>
      </c>
      <c r="S139" s="553">
        <f t="shared" si="91"/>
        <v>10.41</v>
      </c>
      <c r="T139" s="713"/>
      <c r="U139" s="553">
        <f t="shared" si="92"/>
        <v>0</v>
      </c>
      <c r="V139" s="713"/>
      <c r="AE139" s="759"/>
    </row>
    <row r="140" spans="2:31" s="418" customFormat="1" ht="21" customHeight="1" x14ac:dyDescent="0.25">
      <c r="B140" s="554">
        <f t="shared" si="89"/>
        <v>2.0299999999999994</v>
      </c>
      <c r="C140" s="584" t="e">
        <f t="shared" si="76"/>
        <v>#REF!</v>
      </c>
      <c r="D140" s="495" t="s">
        <v>739</v>
      </c>
      <c r="E140" s="521"/>
      <c r="F140" s="522"/>
      <c r="G140" s="530" t="s">
        <v>740</v>
      </c>
      <c r="H140" s="553">
        <v>40.92</v>
      </c>
      <c r="I140" s="553"/>
      <c r="J140" s="553">
        <v>39</v>
      </c>
      <c r="K140" s="553">
        <f t="shared" si="90"/>
        <v>1595.88</v>
      </c>
      <c r="L140" s="553">
        <v>37</v>
      </c>
      <c r="M140" s="553">
        <f t="shared" si="91"/>
        <v>1514.04</v>
      </c>
      <c r="N140" s="553">
        <f t="shared" si="93"/>
        <v>0</v>
      </c>
      <c r="O140" s="553">
        <f t="shared" si="91"/>
        <v>0</v>
      </c>
      <c r="P140" s="553"/>
      <c r="Q140" s="553">
        <f t="shared" si="91"/>
        <v>0</v>
      </c>
      <c r="R140" s="553">
        <f t="shared" si="94"/>
        <v>2</v>
      </c>
      <c r="S140" s="553">
        <f t="shared" si="91"/>
        <v>81.84</v>
      </c>
      <c r="T140" s="553"/>
      <c r="U140" s="553">
        <f t="shared" si="92"/>
        <v>0</v>
      </c>
      <c r="V140" s="553"/>
      <c r="W140" s="1156"/>
      <c r="X140" s="1156"/>
      <c r="AE140" s="759"/>
    </row>
    <row r="141" spans="2:31" s="418" customFormat="1" ht="21" customHeight="1" x14ac:dyDescent="0.25">
      <c r="B141" s="554">
        <f t="shared" si="89"/>
        <v>2.0399999999999991</v>
      </c>
      <c r="C141" s="584" t="e">
        <f t="shared" si="76"/>
        <v>#REF!</v>
      </c>
      <c r="D141" s="495" t="s">
        <v>741</v>
      </c>
      <c r="E141" s="521"/>
      <c r="F141" s="522"/>
      <c r="G141" s="530" t="s">
        <v>742</v>
      </c>
      <c r="H141" s="553">
        <v>86.42</v>
      </c>
      <c r="I141" s="553"/>
      <c r="J141" s="553">
        <v>4.43</v>
      </c>
      <c r="K141" s="553">
        <f t="shared" si="90"/>
        <v>382.84</v>
      </c>
      <c r="L141" s="553">
        <v>4.29</v>
      </c>
      <c r="M141" s="553">
        <f t="shared" si="91"/>
        <v>370.74</v>
      </c>
      <c r="N141" s="553">
        <f t="shared" si="93"/>
        <v>0</v>
      </c>
      <c r="O141" s="553">
        <f t="shared" si="91"/>
        <v>0</v>
      </c>
      <c r="P141" s="553"/>
      <c r="Q141" s="553">
        <f t="shared" si="91"/>
        <v>0</v>
      </c>
      <c r="R141" s="553">
        <f t="shared" si="94"/>
        <v>0.13999999999999968</v>
      </c>
      <c r="S141" s="553">
        <f t="shared" si="91"/>
        <v>12.1</v>
      </c>
      <c r="T141" s="553"/>
      <c r="U141" s="553">
        <f t="shared" si="92"/>
        <v>0</v>
      </c>
      <c r="V141" s="553"/>
      <c r="AE141" s="759"/>
    </row>
    <row r="142" spans="2:31" s="418" customFormat="1" ht="21" customHeight="1" x14ac:dyDescent="0.25">
      <c r="B142" s="554">
        <f t="shared" si="89"/>
        <v>2.0499999999999989</v>
      </c>
      <c r="C142" s="584" t="e">
        <f t="shared" si="76"/>
        <v>#REF!</v>
      </c>
      <c r="D142" s="495" t="s">
        <v>743</v>
      </c>
      <c r="E142" s="493"/>
      <c r="F142" s="494"/>
      <c r="G142" s="530" t="s">
        <v>742</v>
      </c>
      <c r="H142" s="553">
        <v>91.56</v>
      </c>
      <c r="I142" s="553"/>
      <c r="J142" s="553">
        <v>0.65</v>
      </c>
      <c r="K142" s="553">
        <f t="shared" si="90"/>
        <v>59.51</v>
      </c>
      <c r="L142" s="553">
        <v>0.2</v>
      </c>
      <c r="M142" s="553">
        <f t="shared" si="91"/>
        <v>18.309999999999999</v>
      </c>
      <c r="N142" s="553">
        <f t="shared" si="93"/>
        <v>0</v>
      </c>
      <c r="O142" s="553">
        <f t="shared" si="91"/>
        <v>0</v>
      </c>
      <c r="P142" s="553"/>
      <c r="Q142" s="553">
        <f t="shared" si="91"/>
        <v>0</v>
      </c>
      <c r="R142" s="553">
        <f t="shared" si="94"/>
        <v>0.45</v>
      </c>
      <c r="S142" s="553">
        <f t="shared" si="91"/>
        <v>41.2</v>
      </c>
      <c r="T142" s="553"/>
      <c r="U142" s="553">
        <f t="shared" si="92"/>
        <v>0</v>
      </c>
      <c r="V142" s="553"/>
      <c r="AE142" s="759"/>
    </row>
    <row r="143" spans="2:31" s="418" customFormat="1" ht="21" customHeight="1" x14ac:dyDescent="0.25">
      <c r="B143" s="554">
        <f t="shared" si="89"/>
        <v>2.0599999999999987</v>
      </c>
      <c r="C143" s="584" t="e">
        <f t="shared" si="76"/>
        <v>#REF!</v>
      </c>
      <c r="D143" s="495" t="s">
        <v>744</v>
      </c>
      <c r="E143" s="523"/>
      <c r="F143" s="524"/>
      <c r="G143" s="530" t="s">
        <v>740</v>
      </c>
      <c r="H143" s="553">
        <v>28.25</v>
      </c>
      <c r="I143" s="553"/>
      <c r="J143" s="553">
        <v>39</v>
      </c>
      <c r="K143" s="553">
        <f t="shared" si="90"/>
        <v>1101.75</v>
      </c>
      <c r="L143" s="553">
        <v>37</v>
      </c>
      <c r="M143" s="553">
        <f t="shared" si="91"/>
        <v>1045.25</v>
      </c>
      <c r="N143" s="553">
        <f t="shared" si="93"/>
        <v>0</v>
      </c>
      <c r="O143" s="553">
        <f t="shared" si="91"/>
        <v>0</v>
      </c>
      <c r="P143" s="553"/>
      <c r="Q143" s="553">
        <f t="shared" si="91"/>
        <v>0</v>
      </c>
      <c r="R143" s="553">
        <f t="shared" si="94"/>
        <v>2</v>
      </c>
      <c r="S143" s="553">
        <f t="shared" si="91"/>
        <v>56.5</v>
      </c>
      <c r="T143" s="553"/>
      <c r="U143" s="553">
        <f t="shared" si="92"/>
        <v>0</v>
      </c>
      <c r="V143" s="553"/>
      <c r="AE143" s="759"/>
    </row>
    <row r="144" spans="2:31" s="418" customFormat="1" ht="21" customHeight="1" x14ac:dyDescent="0.25">
      <c r="B144" s="554">
        <f t="shared" si="89"/>
        <v>2.0699999999999985</v>
      </c>
      <c r="C144" s="584" t="e">
        <f t="shared" si="76"/>
        <v>#REF!</v>
      </c>
      <c r="D144" s="495" t="s">
        <v>745</v>
      </c>
      <c r="E144" s="523"/>
      <c r="F144" s="524"/>
      <c r="G144" s="532" t="s">
        <v>11</v>
      </c>
      <c r="H144" s="565">
        <v>59.13</v>
      </c>
      <c r="I144" s="565"/>
      <c r="J144" s="565">
        <v>39</v>
      </c>
      <c r="K144" s="565">
        <f t="shared" si="90"/>
        <v>2306.0700000000002</v>
      </c>
      <c r="L144" s="565">
        <v>37</v>
      </c>
      <c r="M144" s="565">
        <f t="shared" si="91"/>
        <v>2187.81</v>
      </c>
      <c r="N144" s="565">
        <f t="shared" si="93"/>
        <v>0</v>
      </c>
      <c r="O144" s="565">
        <f t="shared" si="91"/>
        <v>0</v>
      </c>
      <c r="P144" s="565"/>
      <c r="Q144" s="565">
        <f t="shared" si="91"/>
        <v>0</v>
      </c>
      <c r="R144" s="565">
        <f t="shared" si="94"/>
        <v>2</v>
      </c>
      <c r="S144" s="565">
        <f t="shared" si="91"/>
        <v>118.26</v>
      </c>
      <c r="T144" s="565"/>
      <c r="U144" s="565">
        <f t="shared" si="92"/>
        <v>0</v>
      </c>
      <c r="V144" s="565"/>
      <c r="AE144" s="759"/>
    </row>
    <row r="145" spans="2:25" ht="21" customHeight="1" x14ac:dyDescent="0.25">
      <c r="B145" s="598"/>
      <c r="C145" s="603" t="e">
        <f>+#REF!+1</f>
        <v>#REF!</v>
      </c>
      <c r="D145" s="542"/>
      <c r="E145" s="604"/>
      <c r="F145" s="544" t="str">
        <f>+"SUB-TOTAL   "&amp;B137&amp;":  "</f>
        <v xml:space="preserve">SUB-TOTAL   2:  </v>
      </c>
      <c r="G145" s="440"/>
      <c r="H145" s="438"/>
      <c r="I145" s="438"/>
      <c r="J145" s="438"/>
      <c r="K145" s="548">
        <f>+SUM(K138:K144)</f>
        <v>5854.0700000000006</v>
      </c>
      <c r="L145" s="438"/>
      <c r="M145" s="548">
        <f>+SUM(M138:M144)</f>
        <v>5498.29</v>
      </c>
      <c r="N145" s="548"/>
      <c r="O145" s="548">
        <f>+SUM(O138:O144)</f>
        <v>0</v>
      </c>
      <c r="P145" s="548"/>
      <c r="Q145" s="548">
        <f>+SUM(Q138:Q144)</f>
        <v>0</v>
      </c>
      <c r="R145" s="536"/>
      <c r="S145" s="548">
        <f>+SUM(S138:S144)</f>
        <v>355.78</v>
      </c>
      <c r="T145" s="536"/>
      <c r="U145" s="548">
        <f>+SUM(U138:U144)</f>
        <v>0</v>
      </c>
      <c r="V145" s="536"/>
    </row>
    <row r="146" spans="2:25" ht="21" customHeight="1" x14ac:dyDescent="0.25">
      <c r="B146" s="439">
        <v>3</v>
      </c>
      <c r="C146" s="480" t="e">
        <f t="shared" si="76"/>
        <v>#REF!</v>
      </c>
      <c r="D146" s="441" t="s">
        <v>746</v>
      </c>
      <c r="E146" s="442"/>
      <c r="F146" s="443"/>
      <c r="G146" s="440"/>
      <c r="H146" s="463"/>
      <c r="I146" s="463"/>
      <c r="J146" s="463"/>
      <c r="K146" s="473"/>
      <c r="L146" s="463"/>
      <c r="M146" s="473"/>
      <c r="N146" s="473"/>
      <c r="O146" s="473"/>
      <c r="P146" s="473"/>
      <c r="Q146" s="473"/>
      <c r="R146" s="463"/>
      <c r="S146" s="473"/>
      <c r="T146" s="463"/>
      <c r="U146" s="473"/>
      <c r="V146" s="463"/>
    </row>
    <row r="147" spans="2:25" ht="21" customHeight="1" x14ac:dyDescent="0.25">
      <c r="B147" s="554">
        <f>+B146+0.01</f>
        <v>3.01</v>
      </c>
      <c r="C147" s="584" t="e">
        <f t="shared" si="76"/>
        <v>#REF!</v>
      </c>
      <c r="D147" s="495" t="s">
        <v>747</v>
      </c>
      <c r="E147" s="523"/>
      <c r="F147" s="524"/>
      <c r="G147" s="530" t="s">
        <v>740</v>
      </c>
      <c r="H147" s="586">
        <v>58.67</v>
      </c>
      <c r="I147" s="586"/>
      <c r="J147" s="586">
        <v>39</v>
      </c>
      <c r="K147" s="602">
        <f t="shared" ref="K147:K160" si="95">+ROUND($H147*J147,2)</f>
        <v>2288.13</v>
      </c>
      <c r="L147" s="553">
        <v>37</v>
      </c>
      <c r="M147" s="602">
        <f t="shared" ref="M147:S148" si="96">+ROUND($H147*L147,2)</f>
        <v>2170.79</v>
      </c>
      <c r="N147" s="602">
        <f>+IF($L147-$J147&gt;=0,$L147-$J147,0)</f>
        <v>0</v>
      </c>
      <c r="O147" s="602">
        <f t="shared" si="96"/>
        <v>0</v>
      </c>
      <c r="P147" s="602"/>
      <c r="Q147" s="602">
        <f t="shared" si="96"/>
        <v>0</v>
      </c>
      <c r="R147" s="586">
        <f>+IF($L147-$J147&lt;=0,-$L147+$J147,0)</f>
        <v>2</v>
      </c>
      <c r="S147" s="602">
        <f t="shared" si="96"/>
        <v>117.34</v>
      </c>
      <c r="T147" s="586"/>
      <c r="U147" s="602">
        <f t="shared" ref="U147:U148" si="97">+ROUND($H147*T147,2)</f>
        <v>0</v>
      </c>
      <c r="V147" s="586"/>
    </row>
    <row r="148" spans="2:25" ht="21" customHeight="1" x14ac:dyDescent="0.25">
      <c r="B148" s="554">
        <f t="shared" ref="B148" si="98">+B147+0.01</f>
        <v>3.0199999999999996</v>
      </c>
      <c r="C148" s="584" t="e">
        <f t="shared" si="76"/>
        <v>#REF!</v>
      </c>
      <c r="D148" s="495" t="s">
        <v>748</v>
      </c>
      <c r="E148" s="523"/>
      <c r="F148" s="524"/>
      <c r="G148" s="530" t="s">
        <v>740</v>
      </c>
      <c r="H148" s="586">
        <v>43.29</v>
      </c>
      <c r="I148" s="586"/>
      <c r="J148" s="586">
        <v>39</v>
      </c>
      <c r="K148" s="602">
        <f t="shared" si="95"/>
        <v>1688.31</v>
      </c>
      <c r="L148" s="553">
        <v>37</v>
      </c>
      <c r="M148" s="602">
        <f t="shared" si="96"/>
        <v>1601.73</v>
      </c>
      <c r="N148" s="602">
        <f t="shared" ref="N148" si="99">+IF($L148-$J148&gt;=0,$L148-$J148,0)</f>
        <v>0</v>
      </c>
      <c r="O148" s="602">
        <f t="shared" si="96"/>
        <v>0</v>
      </c>
      <c r="P148" s="602"/>
      <c r="Q148" s="602">
        <f t="shared" si="96"/>
        <v>0</v>
      </c>
      <c r="R148" s="586">
        <f t="shared" ref="R148" si="100">+IF($L148-$J148&lt;=0,-$L148+$J148,0)</f>
        <v>2</v>
      </c>
      <c r="S148" s="602">
        <f t="shared" si="96"/>
        <v>86.58</v>
      </c>
      <c r="T148" s="586"/>
      <c r="U148" s="602">
        <f t="shared" si="97"/>
        <v>0</v>
      </c>
      <c r="V148" s="586"/>
    </row>
    <row r="149" spans="2:25" ht="21" customHeight="1" x14ac:dyDescent="0.25">
      <c r="B149" s="448"/>
      <c r="C149" s="480" t="e">
        <f>+#REF!+1</f>
        <v>#REF!</v>
      </c>
      <c r="D149" s="444"/>
      <c r="E149" s="474"/>
      <c r="F149" s="533" t="str">
        <f>+"SUB-TOTAL   "&amp;B146&amp;":  "</f>
        <v xml:space="preserve">SUB-TOTAL   3:  </v>
      </c>
      <c r="G149" s="567"/>
      <c r="H149" s="608"/>
      <c r="I149" s="608"/>
      <c r="J149" s="608"/>
      <c r="K149" s="589">
        <f>+SUM(K147:K148)</f>
        <v>3976.44</v>
      </c>
      <c r="L149" s="608"/>
      <c r="M149" s="589">
        <f>+SUM(M147:M148)</f>
        <v>3772.52</v>
      </c>
      <c r="N149" s="613">
        <f>+IF($L149-$J149&gt;=0,$L149-$J149,0)</f>
        <v>0</v>
      </c>
      <c r="O149" s="589">
        <f>+SUM(O147:O148)</f>
        <v>0</v>
      </c>
      <c r="P149" s="613"/>
      <c r="Q149" s="589">
        <f>+SUM(Q147:Q148)</f>
        <v>0</v>
      </c>
      <c r="R149" s="608"/>
      <c r="S149" s="589">
        <f>+SUM(S147:S148)</f>
        <v>203.92000000000002</v>
      </c>
      <c r="T149" s="608"/>
      <c r="U149" s="589">
        <f>+SUM(U147:U148)</f>
        <v>0</v>
      </c>
      <c r="V149" s="608"/>
    </row>
    <row r="150" spans="2:25" ht="21" customHeight="1" x14ac:dyDescent="0.25">
      <c r="B150" s="439">
        <v>4</v>
      </c>
      <c r="C150" s="480" t="e">
        <f t="shared" si="76"/>
        <v>#REF!</v>
      </c>
      <c r="D150" s="441" t="s">
        <v>749</v>
      </c>
      <c r="E150" s="488"/>
      <c r="F150" s="461"/>
      <c r="G150" s="440"/>
      <c r="H150" s="463"/>
      <c r="I150" s="463"/>
      <c r="J150" s="463"/>
      <c r="K150" s="611"/>
      <c r="L150" s="463"/>
      <c r="M150" s="611"/>
      <c r="N150" s="611"/>
      <c r="O150" s="611"/>
      <c r="P150" s="611"/>
      <c r="Q150" s="611"/>
      <c r="R150" s="612"/>
      <c r="S150" s="611"/>
      <c r="T150" s="612"/>
      <c r="U150" s="611"/>
      <c r="V150" s="612"/>
    </row>
    <row r="151" spans="2:25" ht="21" customHeight="1" x14ac:dyDescent="0.25">
      <c r="B151" s="554">
        <f>+B150+0.01</f>
        <v>4.01</v>
      </c>
      <c r="C151" s="584" t="e">
        <f t="shared" si="76"/>
        <v>#REF!</v>
      </c>
      <c r="D151" s="495" t="s">
        <v>750</v>
      </c>
      <c r="E151" s="493"/>
      <c r="F151" s="494"/>
      <c r="G151" s="530" t="s">
        <v>740</v>
      </c>
      <c r="H151" s="586">
        <v>71.260000000000005</v>
      </c>
      <c r="I151" s="586"/>
      <c r="J151" s="586">
        <v>39</v>
      </c>
      <c r="K151" s="586">
        <f t="shared" si="95"/>
        <v>2779.14</v>
      </c>
      <c r="L151" s="553">
        <v>37</v>
      </c>
      <c r="M151" s="586">
        <f t="shared" ref="M151:S153" si="101">+ROUND($H151*L151,2)</f>
        <v>2636.62</v>
      </c>
      <c r="N151" s="586">
        <f>+IF($L151-$J151&gt;=0,$L151-$J151,0)</f>
        <v>0</v>
      </c>
      <c r="O151" s="586">
        <f t="shared" si="101"/>
        <v>0</v>
      </c>
      <c r="P151" s="586"/>
      <c r="Q151" s="586">
        <f t="shared" si="101"/>
        <v>0</v>
      </c>
      <c r="R151" s="586">
        <f>+IF($L151-$J151&lt;=0,-$L151+$J151,0)</f>
        <v>2</v>
      </c>
      <c r="S151" s="586">
        <f t="shared" si="101"/>
        <v>142.52000000000001</v>
      </c>
      <c r="T151" s="586"/>
      <c r="U151" s="586">
        <f t="shared" ref="U151:U153" si="102">+ROUND($H151*T151,2)</f>
        <v>0</v>
      </c>
      <c r="V151" s="586"/>
    </row>
    <row r="152" spans="2:25" ht="21" customHeight="1" x14ac:dyDescent="0.25">
      <c r="B152" s="554">
        <f t="shared" ref="B152:B153" si="103">+B151+0.01</f>
        <v>4.0199999999999996</v>
      </c>
      <c r="C152" s="584" t="e">
        <f t="shared" si="76"/>
        <v>#REF!</v>
      </c>
      <c r="D152" s="495" t="s">
        <v>751</v>
      </c>
      <c r="E152" s="523"/>
      <c r="F152" s="524"/>
      <c r="G152" s="530" t="s">
        <v>740</v>
      </c>
      <c r="H152" s="586">
        <v>69.260000000000005</v>
      </c>
      <c r="I152" s="586"/>
      <c r="J152" s="586">
        <v>39</v>
      </c>
      <c r="K152" s="586">
        <f t="shared" si="95"/>
        <v>2701.14</v>
      </c>
      <c r="L152" s="553">
        <v>37</v>
      </c>
      <c r="M152" s="586">
        <f t="shared" si="101"/>
        <v>2562.62</v>
      </c>
      <c r="N152" s="586">
        <f t="shared" ref="N152:N153" si="104">+IF($L152-$J152&gt;=0,$L152-$J152,0)</f>
        <v>0</v>
      </c>
      <c r="O152" s="586">
        <f t="shared" si="101"/>
        <v>0</v>
      </c>
      <c r="P152" s="586"/>
      <c r="Q152" s="586">
        <f t="shared" si="101"/>
        <v>0</v>
      </c>
      <c r="R152" s="586">
        <f t="shared" ref="R152:R153" si="105">+IF($L152-$J152&lt;=0,-$L152+$J152,0)</f>
        <v>2</v>
      </c>
      <c r="S152" s="586">
        <f t="shared" si="101"/>
        <v>138.52000000000001</v>
      </c>
      <c r="T152" s="586"/>
      <c r="U152" s="586">
        <f t="shared" si="102"/>
        <v>0</v>
      </c>
      <c r="V152" s="586"/>
    </row>
    <row r="153" spans="2:25" ht="21" customHeight="1" x14ac:dyDescent="0.25">
      <c r="B153" s="554">
        <f t="shared" si="103"/>
        <v>4.0299999999999994</v>
      </c>
      <c r="C153" s="584" t="e">
        <f t="shared" si="76"/>
        <v>#REF!</v>
      </c>
      <c r="D153" s="495" t="s">
        <v>752</v>
      </c>
      <c r="E153" s="523"/>
      <c r="F153" s="524"/>
      <c r="G153" s="530" t="s">
        <v>753</v>
      </c>
      <c r="H153" s="586">
        <v>145.15</v>
      </c>
      <c r="I153" s="586"/>
      <c r="J153" s="586">
        <v>39</v>
      </c>
      <c r="K153" s="586">
        <f t="shared" si="95"/>
        <v>5660.85</v>
      </c>
      <c r="L153" s="553">
        <v>37</v>
      </c>
      <c r="M153" s="586">
        <f t="shared" si="101"/>
        <v>5370.55</v>
      </c>
      <c r="N153" s="586">
        <f t="shared" si="104"/>
        <v>0</v>
      </c>
      <c r="O153" s="586">
        <f t="shared" si="101"/>
        <v>0</v>
      </c>
      <c r="P153" s="586"/>
      <c r="Q153" s="586">
        <f t="shared" si="101"/>
        <v>0</v>
      </c>
      <c r="R153" s="586">
        <f t="shared" si="105"/>
        <v>2</v>
      </c>
      <c r="S153" s="586">
        <f t="shared" si="101"/>
        <v>290.3</v>
      </c>
      <c r="T153" s="586"/>
      <c r="U153" s="586">
        <f t="shared" si="102"/>
        <v>0</v>
      </c>
      <c r="V153" s="586"/>
    </row>
    <row r="154" spans="2:25" ht="21" customHeight="1" x14ac:dyDescent="0.25">
      <c r="B154" s="598"/>
      <c r="C154" s="583" t="e">
        <f>+#REF!+1</f>
        <v>#REF!</v>
      </c>
      <c r="D154" s="542"/>
      <c r="E154" s="543"/>
      <c r="F154" s="544" t="str">
        <f>+"SUB-TOTAL   "&amp;B150&amp;":  "</f>
        <v xml:space="preserve">SUB-TOTAL   4:  </v>
      </c>
      <c r="G154" s="567"/>
      <c r="H154" s="608"/>
      <c r="I154" s="608"/>
      <c r="J154" s="608"/>
      <c r="K154" s="609">
        <f>+SUM(K151:K153)</f>
        <v>11141.130000000001</v>
      </c>
      <c r="L154" s="608"/>
      <c r="M154" s="609">
        <f>+SUM(M151:M153)</f>
        <v>10569.79</v>
      </c>
      <c r="N154" s="608"/>
      <c r="O154" s="609">
        <f>+SUM(O151:O153)</f>
        <v>0</v>
      </c>
      <c r="P154" s="608"/>
      <c r="Q154" s="609">
        <f>+SUM(Q151:Q153)</f>
        <v>0</v>
      </c>
      <c r="R154" s="608"/>
      <c r="S154" s="609">
        <f>+SUM(S151:S153)</f>
        <v>571.34</v>
      </c>
      <c r="T154" s="608"/>
      <c r="U154" s="609">
        <f>+SUM(U151:U153)</f>
        <v>0</v>
      </c>
      <c r="V154" s="608"/>
    </row>
    <row r="155" spans="2:25" ht="21" customHeight="1" x14ac:dyDescent="0.25">
      <c r="B155" s="439">
        <v>5</v>
      </c>
      <c r="C155" s="480" t="e">
        <f t="shared" si="76"/>
        <v>#REF!</v>
      </c>
      <c r="D155" s="441" t="s">
        <v>754</v>
      </c>
      <c r="E155" s="475"/>
      <c r="F155" s="476"/>
      <c r="G155" s="440"/>
      <c r="H155" s="477"/>
      <c r="I155" s="477"/>
      <c r="J155" s="477"/>
      <c r="K155" s="477"/>
      <c r="L155" s="477"/>
      <c r="M155" s="477"/>
      <c r="N155" s="477"/>
      <c r="O155" s="477"/>
      <c r="P155" s="477"/>
      <c r="Q155" s="477"/>
      <c r="R155" s="477"/>
      <c r="S155" s="477"/>
      <c r="T155" s="477"/>
      <c r="U155" s="477"/>
      <c r="V155" s="477"/>
    </row>
    <row r="156" spans="2:25" ht="21" customHeight="1" x14ac:dyDescent="0.25">
      <c r="B156" s="554">
        <f>+B155+0.01</f>
        <v>5.01</v>
      </c>
      <c r="C156" s="530" t="e">
        <f>+#REF!+1</f>
        <v>#REF!</v>
      </c>
      <c r="D156" s="555" t="s">
        <v>755</v>
      </c>
      <c r="E156" s="614"/>
      <c r="F156" s="614"/>
      <c r="G156" s="530" t="s">
        <v>740</v>
      </c>
      <c r="H156" s="563">
        <v>70.569999999999993</v>
      </c>
      <c r="I156" s="563"/>
      <c r="J156" s="563">
        <v>39</v>
      </c>
      <c r="K156" s="563">
        <f t="shared" si="95"/>
        <v>2752.23</v>
      </c>
      <c r="L156" s="553">
        <v>37</v>
      </c>
      <c r="M156" s="563">
        <f t="shared" ref="M156:S160" si="106">+ROUND($H156*L156,2)</f>
        <v>2611.09</v>
      </c>
      <c r="N156" s="615">
        <f>+IF($L156-$J156&gt;=0,$L156-$J156,0)</f>
        <v>0</v>
      </c>
      <c r="O156" s="563">
        <f t="shared" si="106"/>
        <v>0</v>
      </c>
      <c r="P156" s="615"/>
      <c r="Q156" s="563">
        <f t="shared" si="106"/>
        <v>0</v>
      </c>
      <c r="R156" s="563">
        <f>+IF($L156-$J156&lt;=0,-$L156+$J156,0)</f>
        <v>2</v>
      </c>
      <c r="S156" s="563">
        <f t="shared" si="106"/>
        <v>141.13999999999999</v>
      </c>
      <c r="T156" s="563"/>
      <c r="U156" s="563">
        <f t="shared" ref="U156:U160" si="107">+ROUND($H156*T156,2)</f>
        <v>0</v>
      </c>
      <c r="V156" s="563"/>
      <c r="X156" s="660"/>
      <c r="Y156" s="660"/>
    </row>
    <row r="157" spans="2:25" ht="21" customHeight="1" x14ac:dyDescent="0.25">
      <c r="B157" s="554">
        <f>+B156+0.01</f>
        <v>5.0199999999999996</v>
      </c>
      <c r="C157" s="530" t="e">
        <f t="shared" si="76"/>
        <v>#REF!</v>
      </c>
      <c r="D157" s="555" t="s">
        <v>537</v>
      </c>
      <c r="E157" s="614"/>
      <c r="F157" s="614"/>
      <c r="G157" s="530"/>
      <c r="H157" s="563">
        <v>61.15</v>
      </c>
      <c r="I157" s="563"/>
      <c r="J157" s="563">
        <v>76.8</v>
      </c>
      <c r="K157" s="563">
        <f t="shared" si="95"/>
        <v>4696.32</v>
      </c>
      <c r="L157" s="553">
        <v>72</v>
      </c>
      <c r="M157" s="563">
        <f t="shared" si="106"/>
        <v>4402.8</v>
      </c>
      <c r="N157" s="615">
        <f t="shared" ref="N157:N160" si="108">+IF($L157-$J157&gt;=0,$L157-$J157,0)</f>
        <v>0</v>
      </c>
      <c r="O157" s="563">
        <f t="shared" si="106"/>
        <v>0</v>
      </c>
      <c r="P157" s="615"/>
      <c r="Q157" s="563">
        <f t="shared" si="106"/>
        <v>0</v>
      </c>
      <c r="R157" s="563">
        <f t="shared" ref="R157:R160" si="109">+IF($L157-$J157&lt;=0,-$L157+$J157,0)</f>
        <v>4.7999999999999972</v>
      </c>
      <c r="S157" s="563">
        <f t="shared" si="106"/>
        <v>293.52</v>
      </c>
      <c r="T157" s="563"/>
      <c r="U157" s="563">
        <f t="shared" si="107"/>
        <v>0</v>
      </c>
      <c r="V157" s="563"/>
    </row>
    <row r="158" spans="2:25" ht="21" customHeight="1" x14ac:dyDescent="0.25">
      <c r="B158" s="554">
        <f t="shared" ref="B158:B160" si="110">+B157+0.01</f>
        <v>5.0299999999999994</v>
      </c>
      <c r="C158" s="530" t="e">
        <f t="shared" si="76"/>
        <v>#REF!</v>
      </c>
      <c r="D158" s="555" t="s">
        <v>536</v>
      </c>
      <c r="E158" s="614"/>
      <c r="F158" s="614"/>
      <c r="G158" s="530"/>
      <c r="H158" s="563">
        <v>208.14</v>
      </c>
      <c r="I158" s="563"/>
      <c r="J158" s="563">
        <v>10.96</v>
      </c>
      <c r="K158" s="563">
        <f t="shared" si="95"/>
        <v>2281.21</v>
      </c>
      <c r="L158" s="553">
        <v>11.25</v>
      </c>
      <c r="M158" s="563">
        <f t="shared" si="106"/>
        <v>2341.58</v>
      </c>
      <c r="N158" s="615">
        <f t="shared" si="108"/>
        <v>0.28999999999999915</v>
      </c>
      <c r="O158" s="563">
        <f t="shared" si="106"/>
        <v>60.36</v>
      </c>
      <c r="P158" s="615"/>
      <c r="Q158" s="563">
        <f t="shared" si="106"/>
        <v>0</v>
      </c>
      <c r="R158" s="563">
        <f t="shared" si="109"/>
        <v>0</v>
      </c>
      <c r="S158" s="563">
        <f t="shared" si="106"/>
        <v>0</v>
      </c>
      <c r="T158" s="563"/>
      <c r="U158" s="563">
        <f t="shared" si="107"/>
        <v>0</v>
      </c>
      <c r="V158" s="563"/>
    </row>
    <row r="159" spans="2:25" ht="21" customHeight="1" x14ac:dyDescent="0.25">
      <c r="B159" s="554">
        <f t="shared" si="110"/>
        <v>5.0399999999999991</v>
      </c>
      <c r="C159" s="530" t="e">
        <f t="shared" si="76"/>
        <v>#REF!</v>
      </c>
      <c r="D159" s="555" t="s">
        <v>756</v>
      </c>
      <c r="E159" s="616"/>
      <c r="F159" s="616"/>
      <c r="G159" s="530" t="s">
        <v>11</v>
      </c>
      <c r="H159" s="553">
        <v>75.290000000000006</v>
      </c>
      <c r="I159" s="553"/>
      <c r="J159" s="553">
        <v>39</v>
      </c>
      <c r="K159" s="553">
        <f t="shared" si="95"/>
        <v>2936.31</v>
      </c>
      <c r="L159" s="553">
        <v>37</v>
      </c>
      <c r="M159" s="553">
        <f t="shared" si="106"/>
        <v>2785.73</v>
      </c>
      <c r="N159" s="615">
        <f t="shared" si="108"/>
        <v>0</v>
      </c>
      <c r="O159" s="553">
        <f t="shared" si="106"/>
        <v>0</v>
      </c>
      <c r="P159" s="558"/>
      <c r="Q159" s="553">
        <f t="shared" si="106"/>
        <v>0</v>
      </c>
      <c r="R159" s="563">
        <f t="shared" si="109"/>
        <v>2</v>
      </c>
      <c r="S159" s="553">
        <f t="shared" si="106"/>
        <v>150.58000000000001</v>
      </c>
      <c r="T159" s="553"/>
      <c r="U159" s="553">
        <f t="shared" si="107"/>
        <v>0</v>
      </c>
      <c r="V159" s="553"/>
    </row>
    <row r="160" spans="2:25" ht="21" customHeight="1" x14ac:dyDescent="0.25">
      <c r="B160" s="554">
        <f t="shared" si="110"/>
        <v>5.0499999999999989</v>
      </c>
      <c r="C160" s="530" t="e">
        <f t="shared" si="76"/>
        <v>#REF!</v>
      </c>
      <c r="D160" s="555" t="s">
        <v>757</v>
      </c>
      <c r="E160" s="616"/>
      <c r="F160" s="616"/>
      <c r="G160" s="532"/>
      <c r="H160" s="565">
        <v>68.819999999999993</v>
      </c>
      <c r="I160" s="553"/>
      <c r="J160" s="553">
        <v>87.76</v>
      </c>
      <c r="K160" s="553">
        <f t="shared" si="95"/>
        <v>6039.64</v>
      </c>
      <c r="L160" s="553">
        <v>83.25</v>
      </c>
      <c r="M160" s="553">
        <f t="shared" si="106"/>
        <v>5729.27</v>
      </c>
      <c r="N160" s="615">
        <f t="shared" si="108"/>
        <v>0</v>
      </c>
      <c r="O160" s="553">
        <f t="shared" si="106"/>
        <v>0</v>
      </c>
      <c r="P160" s="558"/>
      <c r="Q160" s="553">
        <f t="shared" si="106"/>
        <v>0</v>
      </c>
      <c r="R160" s="563">
        <f t="shared" si="109"/>
        <v>4.5100000000000051</v>
      </c>
      <c r="S160" s="553">
        <f t="shared" si="106"/>
        <v>310.38</v>
      </c>
      <c r="T160" s="553"/>
      <c r="U160" s="553">
        <f t="shared" si="107"/>
        <v>0</v>
      </c>
      <c r="V160" s="553"/>
    </row>
    <row r="161" spans="2:31" ht="21" customHeight="1" x14ac:dyDescent="0.25">
      <c r="B161" s="448"/>
      <c r="C161" s="480" t="e">
        <f>+#REF!+1</f>
        <v>#REF!</v>
      </c>
      <c r="D161" s="542"/>
      <c r="E161" s="538"/>
      <c r="F161" s="578"/>
      <c r="G161" s="440"/>
      <c r="H161" s="463"/>
      <c r="I161" s="608"/>
      <c r="J161" s="608"/>
      <c r="K161" s="610">
        <f>+SUM(K156:K160)</f>
        <v>18705.71</v>
      </c>
      <c r="L161" s="608"/>
      <c r="M161" s="610">
        <f>+SUM(M156:M160)</f>
        <v>17870.47</v>
      </c>
      <c r="N161" s="610"/>
      <c r="O161" s="610">
        <f>+SUM(O156:O160)</f>
        <v>60.36</v>
      </c>
      <c r="P161" s="610"/>
      <c r="Q161" s="610">
        <f>+SUM(Q156:Q160)</f>
        <v>0</v>
      </c>
      <c r="R161" s="610"/>
      <c r="S161" s="610">
        <f>+SUM(S156:S160)</f>
        <v>895.62</v>
      </c>
      <c r="T161" s="610"/>
      <c r="U161" s="610">
        <f>+SUM(U156:U160)</f>
        <v>0</v>
      </c>
      <c r="V161" s="610"/>
    </row>
    <row r="162" spans="2:31" ht="21" customHeight="1" x14ac:dyDescent="0.25">
      <c r="B162" s="439">
        <v>6</v>
      </c>
      <c r="C162" s="480" t="e">
        <f t="shared" ref="C162:C164" si="111">+C161+1</f>
        <v>#REF!</v>
      </c>
      <c r="D162" s="441" t="s">
        <v>758</v>
      </c>
      <c r="E162" s="474"/>
      <c r="F162" s="471"/>
      <c r="G162" s="440"/>
      <c r="H162" s="463"/>
      <c r="I162" s="463"/>
      <c r="J162" s="463"/>
      <c r="K162" s="463"/>
      <c r="L162" s="463"/>
      <c r="M162" s="463"/>
      <c r="N162" s="463"/>
      <c r="O162" s="463"/>
      <c r="P162" s="463"/>
      <c r="Q162" s="463"/>
      <c r="R162" s="463"/>
      <c r="S162" s="463"/>
      <c r="T162" s="463"/>
      <c r="U162" s="463"/>
      <c r="V162" s="463"/>
    </row>
    <row r="163" spans="2:31" ht="21" customHeight="1" x14ac:dyDescent="0.25">
      <c r="B163" s="554">
        <f>+B162+0.01</f>
        <v>6.01</v>
      </c>
      <c r="C163" s="584" t="e">
        <f t="shared" si="111"/>
        <v>#REF!</v>
      </c>
      <c r="D163" s="495" t="s">
        <v>759</v>
      </c>
      <c r="E163" s="523"/>
      <c r="F163" s="524"/>
      <c r="G163" s="530" t="s">
        <v>11</v>
      </c>
      <c r="H163" s="586">
        <v>62.53</v>
      </c>
      <c r="I163" s="586"/>
      <c r="J163" s="586">
        <v>39</v>
      </c>
      <c r="K163" s="586">
        <f t="shared" ref="K163:K164" si="112">+ROUND($H163*J163,2)</f>
        <v>2438.67</v>
      </c>
      <c r="L163" s="553">
        <v>37</v>
      </c>
      <c r="M163" s="586">
        <f t="shared" ref="M163:S164" si="113">+ROUND($H163*L163,2)</f>
        <v>2313.61</v>
      </c>
      <c r="N163" s="586">
        <f>+IF($L163-$J163&gt;=0,$L163-$J163,0)</f>
        <v>0</v>
      </c>
      <c r="O163" s="586">
        <f t="shared" si="113"/>
        <v>0</v>
      </c>
      <c r="P163" s="586"/>
      <c r="Q163" s="586">
        <f t="shared" si="113"/>
        <v>0</v>
      </c>
      <c r="R163" s="586">
        <f>+IF($L163-$J163&lt;=0,-$L163+$J163,0)</f>
        <v>2</v>
      </c>
      <c r="S163" s="586">
        <f t="shared" si="113"/>
        <v>125.06</v>
      </c>
      <c r="T163" s="586"/>
      <c r="U163" s="586">
        <f t="shared" ref="U163:U164" si="114">+ROUND($H163*T163,2)</f>
        <v>0</v>
      </c>
      <c r="V163" s="586"/>
    </row>
    <row r="164" spans="2:31" ht="21" customHeight="1" x14ac:dyDescent="0.25">
      <c r="B164" s="554">
        <f t="shared" ref="B164" si="115">+B163+0.01</f>
        <v>6.02</v>
      </c>
      <c r="C164" s="584" t="e">
        <f t="shared" si="111"/>
        <v>#REF!</v>
      </c>
      <c r="D164" s="495" t="s">
        <v>760</v>
      </c>
      <c r="E164" s="496"/>
      <c r="F164" s="497"/>
      <c r="G164" s="530" t="s">
        <v>67</v>
      </c>
      <c r="H164" s="586">
        <v>168.13</v>
      </c>
      <c r="I164" s="586"/>
      <c r="J164" s="586">
        <v>10</v>
      </c>
      <c r="K164" s="586">
        <f t="shared" si="112"/>
        <v>1681.3</v>
      </c>
      <c r="L164" s="553">
        <v>11</v>
      </c>
      <c r="M164" s="586">
        <f t="shared" si="113"/>
        <v>1849.43</v>
      </c>
      <c r="N164" s="586">
        <f t="shared" ref="N164" si="116">+IF($L164-$J164&gt;=0,$L164-$J164,0)</f>
        <v>1</v>
      </c>
      <c r="O164" s="586">
        <f t="shared" si="113"/>
        <v>168.13</v>
      </c>
      <c r="P164" s="586"/>
      <c r="Q164" s="586">
        <f t="shared" si="113"/>
        <v>0</v>
      </c>
      <c r="R164" s="586">
        <f t="shared" ref="R164" si="117">+IF($L164-$J164&lt;=0,-$L164+$J164,0)</f>
        <v>0</v>
      </c>
      <c r="S164" s="586">
        <f t="shared" si="113"/>
        <v>0</v>
      </c>
      <c r="T164" s="586"/>
      <c r="U164" s="586">
        <f t="shared" si="114"/>
        <v>0</v>
      </c>
      <c r="V164" s="586"/>
    </row>
    <row r="165" spans="2:31" ht="21" customHeight="1" x14ac:dyDescent="0.25">
      <c r="B165" s="598"/>
      <c r="C165" s="603" t="e">
        <f>+#REF!+1</f>
        <v>#REF!</v>
      </c>
      <c r="D165" s="542"/>
      <c r="E165" s="543"/>
      <c r="F165" s="544" t="str">
        <f>+"SUB-TOTAL   "&amp;B155&amp;":  "</f>
        <v xml:space="preserve">SUB-TOTAL   5:  </v>
      </c>
      <c r="G165" s="567"/>
      <c r="H165" s="608"/>
      <c r="I165" s="608"/>
      <c r="J165" s="608"/>
      <c r="K165" s="610">
        <f>+SUM(K163:K164)</f>
        <v>4119.97</v>
      </c>
      <c r="L165" s="608"/>
      <c r="M165" s="610">
        <f>+SUM(M163:M164)</f>
        <v>4163.04</v>
      </c>
      <c r="N165" s="608"/>
      <c r="O165" s="610">
        <f>+SUM(O163:O164)</f>
        <v>168.13</v>
      </c>
      <c r="P165" s="608"/>
      <c r="Q165" s="610">
        <f>+SUM(Q163:Q164)</f>
        <v>0</v>
      </c>
      <c r="R165" s="608"/>
      <c r="S165" s="610">
        <f>+SUM(S163:S164)</f>
        <v>125.06</v>
      </c>
      <c r="T165" s="608"/>
      <c r="U165" s="610">
        <f>+SUM(U163:U164)</f>
        <v>0</v>
      </c>
      <c r="V165" s="608"/>
    </row>
    <row r="166" spans="2:31" s="630" customFormat="1" ht="54" customHeight="1" x14ac:dyDescent="0.3">
      <c r="B166" s="623"/>
      <c r="C166" s="624" t="e">
        <f>+#REF!+1</f>
        <v>#REF!</v>
      </c>
      <c r="D166" s="625" t="s">
        <v>432</v>
      </c>
      <c r="E166" s="626"/>
      <c r="F166" s="627"/>
      <c r="G166" s="628"/>
      <c r="H166" s="629"/>
      <c r="I166" s="629"/>
      <c r="J166" s="629"/>
      <c r="K166" s="629">
        <f>+K136+K145+K149+K154+K161+K165</f>
        <v>51498.29</v>
      </c>
      <c r="L166" s="629"/>
      <c r="M166" s="629">
        <f>+M136+M145+M149+M154+M161+M165</f>
        <v>49238.780000000006</v>
      </c>
      <c r="N166" s="629"/>
      <c r="O166" s="629">
        <f>+O136+O145+O149+O154+O161+O165</f>
        <v>228.49</v>
      </c>
      <c r="P166" s="629"/>
      <c r="Q166" s="629">
        <f>+Q136+Q145+Q149+Q154+Q161+Q165</f>
        <v>0</v>
      </c>
      <c r="R166" s="629"/>
      <c r="S166" s="629">
        <f>+S136+S145+S149+S154+S161+S165</f>
        <v>2488.02</v>
      </c>
      <c r="T166" s="629"/>
      <c r="U166" s="629">
        <f>+U136+U145+U149+U154+U161+U165</f>
        <v>0</v>
      </c>
      <c r="V166" s="629"/>
      <c r="AE166" s="1169"/>
    </row>
    <row r="167" spans="2:31" ht="21" customHeight="1" x14ac:dyDescent="0.25">
      <c r="B167" s="437" t="s">
        <v>90</v>
      </c>
      <c r="C167" s="479"/>
      <c r="D167" s="489" t="s">
        <v>91</v>
      </c>
      <c r="E167" s="490"/>
      <c r="F167" s="491"/>
      <c r="G167" s="529"/>
      <c r="H167" s="551"/>
      <c r="I167" s="551"/>
      <c r="J167" s="551"/>
      <c r="K167" s="551"/>
      <c r="L167" s="551"/>
      <c r="M167" s="551"/>
      <c r="N167" s="551"/>
      <c r="O167" s="551"/>
      <c r="P167" s="551"/>
      <c r="Q167" s="551"/>
      <c r="R167" s="551"/>
      <c r="S167" s="551"/>
      <c r="T167" s="551"/>
      <c r="U167" s="551"/>
      <c r="V167" s="551"/>
    </row>
    <row r="168" spans="2:31" ht="21" customHeight="1" x14ac:dyDescent="0.25">
      <c r="B168" s="552">
        <v>1</v>
      </c>
      <c r="C168" s="480">
        <v>3</v>
      </c>
      <c r="D168" s="492" t="s">
        <v>659</v>
      </c>
      <c r="E168" s="493"/>
      <c r="F168" s="494"/>
      <c r="G168" s="530"/>
      <c r="H168" s="553"/>
      <c r="I168" s="553"/>
      <c r="J168" s="553"/>
      <c r="K168" s="553"/>
      <c r="L168" s="553"/>
      <c r="M168" s="553"/>
      <c r="N168" s="657"/>
      <c r="O168" s="553"/>
      <c r="P168" s="553"/>
      <c r="Q168" s="553"/>
      <c r="R168" s="553"/>
      <c r="S168" s="553"/>
      <c r="T168" s="553"/>
      <c r="U168" s="553"/>
      <c r="V168" s="553"/>
    </row>
    <row r="169" spans="2:31" ht="21" customHeight="1" x14ac:dyDescent="0.25">
      <c r="B169" s="554">
        <f>+B168+0.01</f>
        <v>1.01</v>
      </c>
      <c r="C169" s="480">
        <f>+C168+1</f>
        <v>4</v>
      </c>
      <c r="D169" s="495" t="s">
        <v>660</v>
      </c>
      <c r="E169" s="496"/>
      <c r="F169" s="497"/>
      <c r="G169" s="530" t="s">
        <v>11</v>
      </c>
      <c r="H169" s="744">
        <v>9.5399999999999991</v>
      </c>
      <c r="I169" s="553"/>
      <c r="J169" s="553">
        <v>39</v>
      </c>
      <c r="K169" s="553">
        <f>+ROUND($H169*J169,2)</f>
        <v>372.06</v>
      </c>
      <c r="L169" s="553">
        <f>+L18</f>
        <v>37</v>
      </c>
      <c r="M169" s="553">
        <f>+ROUND($H169*L169,2)</f>
        <v>352.98</v>
      </c>
      <c r="N169" s="553">
        <f>+IF($L169-$J169&gt;=0,$L169-$J169,0)</f>
        <v>0</v>
      </c>
      <c r="O169" s="553">
        <f>+ROUND($H169*N169,2)</f>
        <v>0</v>
      </c>
      <c r="P169" s="553"/>
      <c r="Q169" s="553">
        <f>+ROUND($H169*P169,2)</f>
        <v>0</v>
      </c>
      <c r="R169" s="553">
        <f>+IF($L169-$J169&lt;=0,-$L169+$J169,0)</f>
        <v>2</v>
      </c>
      <c r="S169" s="553">
        <f>+ROUND($H169*R169,2)</f>
        <v>19.079999999999998</v>
      </c>
      <c r="T169" s="553"/>
      <c r="U169" s="553">
        <f>+ROUND($H169*T169,2)</f>
        <v>0</v>
      </c>
      <c r="V169" s="553"/>
    </row>
    <row r="170" spans="2:31" ht="21" customHeight="1" x14ac:dyDescent="0.25">
      <c r="B170" s="554">
        <f>+B169+0.01</f>
        <v>1.02</v>
      </c>
      <c r="C170" s="480">
        <f t="shared" ref="C170:C228" si="118">+C169+1</f>
        <v>5</v>
      </c>
      <c r="D170" s="495" t="s">
        <v>661</v>
      </c>
      <c r="E170" s="496"/>
      <c r="F170" s="497"/>
      <c r="G170" s="532" t="s">
        <v>11</v>
      </c>
      <c r="H170" s="745">
        <v>15.87</v>
      </c>
      <c r="I170" s="565"/>
      <c r="J170" s="565">
        <v>39</v>
      </c>
      <c r="K170" s="565">
        <f t="shared" ref="K170" si="119">+ROUND($H170*J170,2)</f>
        <v>618.92999999999995</v>
      </c>
      <c r="L170" s="553">
        <f>+L19</f>
        <v>37</v>
      </c>
      <c r="M170" s="565">
        <f t="shared" ref="M170" si="120">+ROUND($H170*L170,2)</f>
        <v>587.19000000000005</v>
      </c>
      <c r="N170" s="565">
        <f>+IF($L170-$J170&gt;=0,$L170-$J170,0)</f>
        <v>0</v>
      </c>
      <c r="O170" s="565">
        <f t="shared" ref="O170" si="121">+ROUND($H170*N170,2)</f>
        <v>0</v>
      </c>
      <c r="P170" s="565"/>
      <c r="Q170" s="565">
        <f t="shared" ref="Q170" si="122">+ROUND($H170*P170,2)</f>
        <v>0</v>
      </c>
      <c r="R170" s="565">
        <f>+IF($L170-$J170&lt;=0,-$L170+$J170,0)</f>
        <v>2</v>
      </c>
      <c r="S170" s="565">
        <f t="shared" ref="S170" si="123">+ROUND($H170*R170,2)</f>
        <v>31.74</v>
      </c>
      <c r="T170" s="565"/>
      <c r="U170" s="565">
        <f t="shared" ref="U170" si="124">+ROUND($H170*T170,2)</f>
        <v>0</v>
      </c>
      <c r="V170" s="565"/>
    </row>
    <row r="171" spans="2:31" ht="21" customHeight="1" x14ac:dyDescent="0.25">
      <c r="B171" s="448"/>
      <c r="C171" s="480">
        <f t="shared" si="118"/>
        <v>6</v>
      </c>
      <c r="D171" s="542"/>
      <c r="E171" s="571"/>
      <c r="F171" s="544" t="str">
        <f>+"SUB-TOTAL   "&amp;B168&amp;":  "</f>
        <v xml:space="preserve">SUB-TOTAL   1:  </v>
      </c>
      <c r="G171" s="567"/>
      <c r="H171" s="540"/>
      <c r="I171" s="540"/>
      <c r="J171" s="540"/>
      <c r="K171" s="716">
        <f>+SUM(K169:K170)</f>
        <v>990.99</v>
      </c>
      <c r="L171" s="540"/>
      <c r="M171" s="716">
        <f>+SUM(M169:M170)</f>
        <v>940.17000000000007</v>
      </c>
      <c r="N171" s="716"/>
      <c r="O171" s="716">
        <f>+SUM(O169:O170)</f>
        <v>0</v>
      </c>
      <c r="P171" s="716"/>
      <c r="Q171" s="716">
        <f>+SUM(Q169:Q170)</f>
        <v>0</v>
      </c>
      <c r="R171" s="589"/>
      <c r="S171" s="716">
        <f>+SUM(S169:S170)</f>
        <v>50.819999999999993</v>
      </c>
      <c r="T171" s="589"/>
      <c r="U171" s="716">
        <f>+SUM(U169:U170)</f>
        <v>0</v>
      </c>
      <c r="V171" s="589"/>
      <c r="W171" s="660">
        <f>+K171-M171+O171+Q171-S171</f>
        <v>-5.6843418860808015E-14</v>
      </c>
    </row>
    <row r="172" spans="2:31" ht="21" customHeight="1" x14ac:dyDescent="0.25">
      <c r="B172" s="452">
        <f>1+B168</f>
        <v>2</v>
      </c>
      <c r="C172" s="481">
        <f t="shared" si="118"/>
        <v>7</v>
      </c>
      <c r="D172" s="453" t="s">
        <v>662</v>
      </c>
      <c r="E172" s="742"/>
      <c r="F172" s="443"/>
      <c r="G172" s="440"/>
      <c r="H172" s="438"/>
      <c r="I172" s="438"/>
      <c r="J172" s="438"/>
      <c r="K172" s="454"/>
      <c r="L172" s="438"/>
      <c r="M172" s="454"/>
      <c r="N172" s="454"/>
      <c r="O172" s="454"/>
      <c r="P172" s="454"/>
      <c r="Q172" s="454"/>
      <c r="R172" s="438"/>
      <c r="S172" s="454"/>
      <c r="T172" s="438"/>
      <c r="U172" s="454"/>
      <c r="V172" s="438"/>
    </row>
    <row r="173" spans="2:31" ht="21" customHeight="1" x14ac:dyDescent="0.25">
      <c r="B173" s="554">
        <f>+B172+0.01</f>
        <v>2.0099999999999998</v>
      </c>
      <c r="C173" s="584">
        <f>+C168+1</f>
        <v>4</v>
      </c>
      <c r="D173" s="495" t="s">
        <v>663</v>
      </c>
      <c r="E173" s="496"/>
      <c r="F173" s="497"/>
      <c r="G173" s="530" t="s">
        <v>11</v>
      </c>
      <c r="H173" s="553">
        <v>2.11</v>
      </c>
      <c r="I173" s="553"/>
      <c r="J173" s="553">
        <v>39</v>
      </c>
      <c r="K173" s="558">
        <f t="shared" ref="K173:K184" si="125">+ROUND($H173*J173,2)</f>
        <v>82.29</v>
      </c>
      <c r="L173" s="553">
        <f t="shared" ref="L173:L183" si="126">+L22</f>
        <v>37</v>
      </c>
      <c r="M173" s="558">
        <f t="shared" ref="M173:M183" si="127">+ROUND($H173*L173,2)</f>
        <v>78.069999999999993</v>
      </c>
      <c r="N173" s="558">
        <f t="shared" ref="N173:N183" si="128">+IF($L173-$J173&gt;=0,$L173-$J173,0)</f>
        <v>0</v>
      </c>
      <c r="O173" s="558">
        <f t="shared" ref="O173:O184" si="129">+ROUND($H173*N173,2)</f>
        <v>0</v>
      </c>
      <c r="P173" s="558"/>
      <c r="Q173" s="558">
        <f t="shared" ref="Q173:Q183" si="130">+ROUND($H173*P173,2)</f>
        <v>0</v>
      </c>
      <c r="R173" s="553">
        <f t="shared" ref="R173:R184" si="131">+IF($L173-$J173&lt;=0,-$L173+$J173,0)</f>
        <v>2</v>
      </c>
      <c r="S173" s="558">
        <f t="shared" ref="S173:S184" si="132">+ROUND($H173*R173,2)</f>
        <v>4.22</v>
      </c>
      <c r="T173" s="553"/>
      <c r="U173" s="558">
        <f t="shared" ref="U173:U184" si="133">+ROUND($H173*T173,2)</f>
        <v>0</v>
      </c>
      <c r="V173" s="553"/>
    </row>
    <row r="174" spans="2:31" ht="21" customHeight="1" x14ac:dyDescent="0.25">
      <c r="B174" s="554">
        <f>+B173+0.01</f>
        <v>2.0199999999999996</v>
      </c>
      <c r="C174" s="584">
        <f>+C169+1</f>
        <v>5</v>
      </c>
      <c r="D174" s="495" t="s">
        <v>664</v>
      </c>
      <c r="E174" s="496"/>
      <c r="F174" s="497"/>
      <c r="G174" s="530" t="s">
        <v>11</v>
      </c>
      <c r="H174" s="553">
        <v>0.32</v>
      </c>
      <c r="I174" s="553"/>
      <c r="J174" s="553">
        <v>39</v>
      </c>
      <c r="K174" s="558">
        <f t="shared" si="125"/>
        <v>12.48</v>
      </c>
      <c r="L174" s="553">
        <f t="shared" si="126"/>
        <v>37</v>
      </c>
      <c r="M174" s="558">
        <f t="shared" si="127"/>
        <v>11.84</v>
      </c>
      <c r="N174" s="558">
        <f t="shared" si="128"/>
        <v>0</v>
      </c>
      <c r="O174" s="558">
        <f t="shared" si="129"/>
        <v>0</v>
      </c>
      <c r="P174" s="558"/>
      <c r="Q174" s="558">
        <f t="shared" si="130"/>
        <v>0</v>
      </c>
      <c r="R174" s="553">
        <f t="shared" si="131"/>
        <v>2</v>
      </c>
      <c r="S174" s="558">
        <f t="shared" si="132"/>
        <v>0.64</v>
      </c>
      <c r="T174" s="553"/>
      <c r="U174" s="558">
        <f t="shared" si="133"/>
        <v>0</v>
      </c>
      <c r="V174" s="553"/>
    </row>
    <row r="175" spans="2:31" ht="21" customHeight="1" x14ac:dyDescent="0.25">
      <c r="B175" s="554">
        <f>+B174+0.01</f>
        <v>2.0299999999999994</v>
      </c>
      <c r="C175" s="584">
        <f>+C169+1</f>
        <v>5</v>
      </c>
      <c r="D175" s="495" t="s">
        <v>665</v>
      </c>
      <c r="E175" s="496"/>
      <c r="F175" s="497"/>
      <c r="G175" s="530" t="s">
        <v>11</v>
      </c>
      <c r="H175" s="553">
        <v>0.98</v>
      </c>
      <c r="I175" s="553"/>
      <c r="J175" s="553">
        <v>78</v>
      </c>
      <c r="K175" s="558">
        <f t="shared" si="125"/>
        <v>76.44</v>
      </c>
      <c r="L175" s="553">
        <f t="shared" si="126"/>
        <v>74</v>
      </c>
      <c r="M175" s="558">
        <f t="shared" si="127"/>
        <v>72.52</v>
      </c>
      <c r="N175" s="558">
        <f t="shared" si="128"/>
        <v>0</v>
      </c>
      <c r="O175" s="558">
        <f t="shared" si="129"/>
        <v>0</v>
      </c>
      <c r="P175" s="558"/>
      <c r="Q175" s="558">
        <f t="shared" si="130"/>
        <v>0</v>
      </c>
      <c r="R175" s="553">
        <f t="shared" si="131"/>
        <v>4</v>
      </c>
      <c r="S175" s="558">
        <f t="shared" si="132"/>
        <v>3.92</v>
      </c>
      <c r="T175" s="553"/>
      <c r="U175" s="558">
        <f t="shared" si="133"/>
        <v>0</v>
      </c>
      <c r="V175" s="553"/>
    </row>
    <row r="176" spans="2:31" ht="21" customHeight="1" x14ac:dyDescent="0.25">
      <c r="B176" s="554">
        <f t="shared" ref="B176:B184" si="134">+B175+0.01</f>
        <v>2.0399999999999991</v>
      </c>
      <c r="C176" s="584">
        <f>+C171+1</f>
        <v>7</v>
      </c>
      <c r="D176" s="495" t="s">
        <v>666</v>
      </c>
      <c r="E176" s="496"/>
      <c r="F176" s="497"/>
      <c r="G176" s="530" t="s">
        <v>11</v>
      </c>
      <c r="H176" s="553">
        <v>1</v>
      </c>
      <c r="I176" s="553"/>
      <c r="J176" s="553">
        <v>39</v>
      </c>
      <c r="K176" s="558">
        <f t="shared" si="125"/>
        <v>39</v>
      </c>
      <c r="L176" s="553">
        <f t="shared" si="126"/>
        <v>37</v>
      </c>
      <c r="M176" s="558">
        <f t="shared" si="127"/>
        <v>37</v>
      </c>
      <c r="N176" s="558">
        <f t="shared" si="128"/>
        <v>0</v>
      </c>
      <c r="O176" s="558">
        <f t="shared" si="129"/>
        <v>0</v>
      </c>
      <c r="P176" s="558"/>
      <c r="Q176" s="558">
        <f t="shared" si="130"/>
        <v>0</v>
      </c>
      <c r="R176" s="553">
        <f t="shared" si="131"/>
        <v>2</v>
      </c>
      <c r="S176" s="558">
        <f t="shared" si="132"/>
        <v>2</v>
      </c>
      <c r="T176" s="553"/>
      <c r="U176" s="558">
        <f t="shared" si="133"/>
        <v>0</v>
      </c>
      <c r="V176" s="553"/>
    </row>
    <row r="177" spans="2:23" ht="21" customHeight="1" x14ac:dyDescent="0.25">
      <c r="B177" s="554">
        <f t="shared" si="134"/>
        <v>2.0499999999999989</v>
      </c>
      <c r="C177" s="584">
        <f>+C172+1</f>
        <v>8</v>
      </c>
      <c r="D177" s="495" t="s">
        <v>667</v>
      </c>
      <c r="E177" s="496"/>
      <c r="F177" s="497"/>
      <c r="G177" s="530" t="s">
        <v>11</v>
      </c>
      <c r="H177" s="553">
        <v>0.8</v>
      </c>
      <c r="I177" s="553"/>
      <c r="J177" s="553">
        <v>39</v>
      </c>
      <c r="K177" s="558">
        <f t="shared" si="125"/>
        <v>31.2</v>
      </c>
      <c r="L177" s="553">
        <f t="shared" si="126"/>
        <v>37</v>
      </c>
      <c r="M177" s="558">
        <f t="shared" si="127"/>
        <v>29.6</v>
      </c>
      <c r="N177" s="558">
        <f t="shared" si="128"/>
        <v>0</v>
      </c>
      <c r="O177" s="558">
        <f t="shared" si="129"/>
        <v>0</v>
      </c>
      <c r="P177" s="558"/>
      <c r="Q177" s="558">
        <f t="shared" si="130"/>
        <v>0</v>
      </c>
      <c r="R177" s="553">
        <f t="shared" si="131"/>
        <v>2</v>
      </c>
      <c r="S177" s="558">
        <f t="shared" si="132"/>
        <v>1.6</v>
      </c>
      <c r="T177" s="553"/>
      <c r="U177" s="558">
        <f t="shared" si="133"/>
        <v>0</v>
      </c>
      <c r="V177" s="553"/>
    </row>
    <row r="178" spans="2:23" ht="21" customHeight="1" x14ac:dyDescent="0.25">
      <c r="B178" s="554">
        <f t="shared" si="134"/>
        <v>2.0599999999999987</v>
      </c>
      <c r="C178" s="584">
        <f>+C173+1</f>
        <v>5</v>
      </c>
      <c r="D178" s="495" t="s">
        <v>668</v>
      </c>
      <c r="E178" s="496"/>
      <c r="F178" s="497"/>
      <c r="G178" s="530" t="s">
        <v>11</v>
      </c>
      <c r="H178" s="553">
        <v>0.34</v>
      </c>
      <c r="I178" s="553"/>
      <c r="J178" s="553">
        <v>39</v>
      </c>
      <c r="K178" s="558">
        <f t="shared" si="125"/>
        <v>13.26</v>
      </c>
      <c r="L178" s="553">
        <f t="shared" si="126"/>
        <v>37</v>
      </c>
      <c r="M178" s="558">
        <f t="shared" si="127"/>
        <v>12.58</v>
      </c>
      <c r="N178" s="558">
        <f t="shared" si="128"/>
        <v>0</v>
      </c>
      <c r="O178" s="558">
        <f t="shared" si="129"/>
        <v>0</v>
      </c>
      <c r="P178" s="558"/>
      <c r="Q178" s="558">
        <f t="shared" si="130"/>
        <v>0</v>
      </c>
      <c r="R178" s="553">
        <f t="shared" si="131"/>
        <v>2</v>
      </c>
      <c r="S178" s="558">
        <f t="shared" si="132"/>
        <v>0.68</v>
      </c>
      <c r="T178" s="553"/>
      <c r="U178" s="558">
        <f t="shared" si="133"/>
        <v>0</v>
      </c>
      <c r="V178" s="553"/>
    </row>
    <row r="179" spans="2:23" ht="21" customHeight="1" x14ac:dyDescent="0.25">
      <c r="B179" s="554">
        <f t="shared" si="134"/>
        <v>2.0699999999999985</v>
      </c>
      <c r="C179" s="584">
        <f>+C174+1</f>
        <v>6</v>
      </c>
      <c r="D179" s="495" t="s">
        <v>669</v>
      </c>
      <c r="E179" s="496"/>
      <c r="F179" s="497"/>
      <c r="G179" s="530" t="s">
        <v>11</v>
      </c>
      <c r="H179" s="553">
        <v>0.24</v>
      </c>
      <c r="I179" s="553"/>
      <c r="J179" s="553">
        <v>78</v>
      </c>
      <c r="K179" s="558">
        <f t="shared" si="125"/>
        <v>18.72</v>
      </c>
      <c r="L179" s="553">
        <f t="shared" si="126"/>
        <v>74</v>
      </c>
      <c r="M179" s="558">
        <f t="shared" si="127"/>
        <v>17.760000000000002</v>
      </c>
      <c r="N179" s="558">
        <f t="shared" si="128"/>
        <v>0</v>
      </c>
      <c r="O179" s="558">
        <f t="shared" si="129"/>
        <v>0</v>
      </c>
      <c r="P179" s="558"/>
      <c r="Q179" s="558">
        <f t="shared" si="130"/>
        <v>0</v>
      </c>
      <c r="R179" s="553">
        <f t="shared" si="131"/>
        <v>4</v>
      </c>
      <c r="S179" s="558">
        <f t="shared" si="132"/>
        <v>0.96</v>
      </c>
      <c r="T179" s="553"/>
      <c r="U179" s="558">
        <f t="shared" si="133"/>
        <v>0</v>
      </c>
      <c r="V179" s="553"/>
    </row>
    <row r="180" spans="2:23" ht="21" customHeight="1" x14ac:dyDescent="0.25">
      <c r="B180" s="554">
        <f t="shared" si="134"/>
        <v>2.0799999999999983</v>
      </c>
      <c r="C180" s="584">
        <f>+C174+1</f>
        <v>6</v>
      </c>
      <c r="D180" s="495" t="s">
        <v>670</v>
      </c>
      <c r="E180" s="496"/>
      <c r="F180" s="497"/>
      <c r="G180" s="530" t="s">
        <v>11</v>
      </c>
      <c r="H180" s="553">
        <v>0.12</v>
      </c>
      <c r="I180" s="553"/>
      <c r="J180" s="553">
        <v>39</v>
      </c>
      <c r="K180" s="558">
        <f t="shared" si="125"/>
        <v>4.68</v>
      </c>
      <c r="L180" s="553">
        <f t="shared" si="126"/>
        <v>37</v>
      </c>
      <c r="M180" s="558">
        <f t="shared" si="127"/>
        <v>4.4400000000000004</v>
      </c>
      <c r="N180" s="558">
        <f t="shared" si="128"/>
        <v>0</v>
      </c>
      <c r="O180" s="558">
        <f t="shared" si="129"/>
        <v>0</v>
      </c>
      <c r="P180" s="558"/>
      <c r="Q180" s="558">
        <f t="shared" si="130"/>
        <v>0</v>
      </c>
      <c r="R180" s="553">
        <f t="shared" si="131"/>
        <v>2</v>
      </c>
      <c r="S180" s="558">
        <f t="shared" si="132"/>
        <v>0.24</v>
      </c>
      <c r="T180" s="553"/>
      <c r="U180" s="558">
        <f t="shared" si="133"/>
        <v>0</v>
      </c>
      <c r="V180" s="553"/>
    </row>
    <row r="181" spans="2:23" ht="21" customHeight="1" x14ac:dyDescent="0.25">
      <c r="B181" s="554">
        <f t="shared" si="134"/>
        <v>2.0899999999999981</v>
      </c>
      <c r="C181" s="584">
        <f>+C176+1</f>
        <v>8</v>
      </c>
      <c r="D181" s="495" t="s">
        <v>671</v>
      </c>
      <c r="E181" s="496"/>
      <c r="F181" s="497"/>
      <c r="G181" s="530" t="s">
        <v>11</v>
      </c>
      <c r="H181" s="553">
        <v>0.26</v>
      </c>
      <c r="I181" s="553"/>
      <c r="J181" s="553">
        <v>39</v>
      </c>
      <c r="K181" s="558">
        <f t="shared" si="125"/>
        <v>10.14</v>
      </c>
      <c r="L181" s="553">
        <f t="shared" si="126"/>
        <v>37</v>
      </c>
      <c r="M181" s="558">
        <f t="shared" si="127"/>
        <v>9.6199999999999992</v>
      </c>
      <c r="N181" s="558">
        <f t="shared" si="128"/>
        <v>0</v>
      </c>
      <c r="O181" s="558">
        <f t="shared" si="129"/>
        <v>0</v>
      </c>
      <c r="P181" s="558"/>
      <c r="Q181" s="558">
        <f t="shared" si="130"/>
        <v>0</v>
      </c>
      <c r="R181" s="553">
        <f t="shared" si="131"/>
        <v>2</v>
      </c>
      <c r="S181" s="558">
        <f t="shared" si="132"/>
        <v>0.52</v>
      </c>
      <c r="T181" s="553"/>
      <c r="U181" s="558">
        <f t="shared" si="133"/>
        <v>0</v>
      </c>
      <c r="V181" s="553"/>
    </row>
    <row r="182" spans="2:23" ht="21" customHeight="1" x14ac:dyDescent="0.25">
      <c r="B182" s="554">
        <f t="shared" si="134"/>
        <v>2.0999999999999979</v>
      </c>
      <c r="C182" s="584">
        <f>+C177+1</f>
        <v>9</v>
      </c>
      <c r="D182" s="495" t="s">
        <v>672</v>
      </c>
      <c r="E182" s="496"/>
      <c r="F182" s="497"/>
      <c r="G182" s="530" t="s">
        <v>11</v>
      </c>
      <c r="H182" s="553">
        <v>0.16</v>
      </c>
      <c r="I182" s="553"/>
      <c r="J182" s="553">
        <v>39</v>
      </c>
      <c r="K182" s="558">
        <f t="shared" si="125"/>
        <v>6.24</v>
      </c>
      <c r="L182" s="553">
        <f t="shared" si="126"/>
        <v>37</v>
      </c>
      <c r="M182" s="558">
        <f t="shared" si="127"/>
        <v>5.92</v>
      </c>
      <c r="N182" s="558">
        <f t="shared" si="128"/>
        <v>0</v>
      </c>
      <c r="O182" s="558">
        <f t="shared" si="129"/>
        <v>0</v>
      </c>
      <c r="P182" s="558"/>
      <c r="Q182" s="558">
        <f t="shared" si="130"/>
        <v>0</v>
      </c>
      <c r="R182" s="553">
        <f t="shared" si="131"/>
        <v>2</v>
      </c>
      <c r="S182" s="558">
        <f t="shared" si="132"/>
        <v>0.32</v>
      </c>
      <c r="T182" s="553"/>
      <c r="U182" s="558">
        <f t="shared" si="133"/>
        <v>0</v>
      </c>
      <c r="V182" s="553"/>
    </row>
    <row r="183" spans="2:23" ht="21" customHeight="1" x14ac:dyDescent="0.25">
      <c r="B183" s="554">
        <f t="shared" si="134"/>
        <v>2.1099999999999977</v>
      </c>
      <c r="C183" s="584">
        <f>+C178+1</f>
        <v>6</v>
      </c>
      <c r="D183" s="495" t="s">
        <v>673</v>
      </c>
      <c r="E183" s="496"/>
      <c r="F183" s="497"/>
      <c r="G183" s="530" t="s">
        <v>11</v>
      </c>
      <c r="H183" s="553">
        <v>0.18</v>
      </c>
      <c r="I183" s="553"/>
      <c r="J183" s="553">
        <v>39</v>
      </c>
      <c r="K183" s="558">
        <f t="shared" si="125"/>
        <v>7.02</v>
      </c>
      <c r="L183" s="553">
        <f t="shared" si="126"/>
        <v>37</v>
      </c>
      <c r="M183" s="558">
        <f t="shared" si="127"/>
        <v>6.66</v>
      </c>
      <c r="N183" s="558">
        <f t="shared" si="128"/>
        <v>0</v>
      </c>
      <c r="O183" s="558">
        <f t="shared" si="129"/>
        <v>0</v>
      </c>
      <c r="P183" s="558"/>
      <c r="Q183" s="558">
        <f t="shared" si="130"/>
        <v>0</v>
      </c>
      <c r="R183" s="553">
        <f t="shared" si="131"/>
        <v>2</v>
      </c>
      <c r="S183" s="558">
        <f t="shared" si="132"/>
        <v>0.36</v>
      </c>
      <c r="T183" s="553"/>
      <c r="U183" s="558">
        <f t="shared" si="133"/>
        <v>0</v>
      </c>
      <c r="V183" s="553"/>
    </row>
    <row r="184" spans="2:23" s="547" customFormat="1" ht="21" customHeight="1" x14ac:dyDescent="0.25">
      <c r="B184" s="617">
        <f t="shared" si="134"/>
        <v>2.1199999999999974</v>
      </c>
      <c r="C184" s="763">
        <f>+C179+1</f>
        <v>7</v>
      </c>
      <c r="D184" s="516" t="s">
        <v>1019</v>
      </c>
      <c r="E184" s="545"/>
      <c r="F184" s="546"/>
      <c r="G184" s="564" t="s">
        <v>11</v>
      </c>
      <c r="H184" s="633"/>
      <c r="I184" s="633">
        <f>+H173</f>
        <v>2.11</v>
      </c>
      <c r="J184" s="633"/>
      <c r="K184" s="634">
        <f t="shared" si="125"/>
        <v>0</v>
      </c>
      <c r="L184" s="633">
        <v>37</v>
      </c>
      <c r="M184" s="634">
        <f>+ROUND($I184*L184,2)</f>
        <v>78.069999999999993</v>
      </c>
      <c r="N184" s="634"/>
      <c r="O184" s="634">
        <f t="shared" si="129"/>
        <v>0</v>
      </c>
      <c r="P184" s="634">
        <f>+L184</f>
        <v>37</v>
      </c>
      <c r="Q184" s="634">
        <f>+ROUND($I184*P184,2)</f>
        <v>78.069999999999993</v>
      </c>
      <c r="R184" s="633">
        <f t="shared" si="131"/>
        <v>0</v>
      </c>
      <c r="S184" s="634">
        <f t="shared" si="132"/>
        <v>0</v>
      </c>
      <c r="T184" s="633"/>
      <c r="U184" s="634">
        <f t="shared" si="133"/>
        <v>0</v>
      </c>
      <c r="V184" s="633"/>
    </row>
    <row r="185" spans="2:23" ht="21" customHeight="1" x14ac:dyDescent="0.25">
      <c r="B185" s="455"/>
      <c r="C185" s="480" t="e">
        <f>+#REF!+1</f>
        <v>#REF!</v>
      </c>
      <c r="D185" s="542"/>
      <c r="E185" s="571"/>
      <c r="F185" s="544" t="str">
        <f>+"SUB-TOTAL   "&amp;B172&amp;":  "</f>
        <v xml:space="preserve">SUB-TOTAL   2:  </v>
      </c>
      <c r="G185" s="440"/>
      <c r="H185" s="438"/>
      <c r="I185" s="438"/>
      <c r="J185" s="438"/>
      <c r="K185" s="548">
        <f>+SUM(K173:K184)</f>
        <v>301.46999999999997</v>
      </c>
      <c r="L185" s="438"/>
      <c r="M185" s="548">
        <f>+SUM(M173:M184)</f>
        <v>364.08000000000004</v>
      </c>
      <c r="N185" s="716"/>
      <c r="O185" s="548">
        <f>+SUM(O173:O184)</f>
        <v>0</v>
      </c>
      <c r="P185" s="716"/>
      <c r="Q185" s="548">
        <f>+SUM(Q173:Q184)</f>
        <v>78.069999999999993</v>
      </c>
      <c r="R185" s="589"/>
      <c r="S185" s="548">
        <f>+SUM(S173:S184)</f>
        <v>15.459999999999999</v>
      </c>
      <c r="T185" s="589"/>
      <c r="U185" s="548">
        <f>+SUM(U173:U184)</f>
        <v>0</v>
      </c>
      <c r="V185" s="589"/>
      <c r="W185" s="660">
        <f>+K185-M185+O185+Q185-S185</f>
        <v>-7.638334409421077E-14</v>
      </c>
    </row>
    <row r="186" spans="2:23" ht="21" customHeight="1" x14ac:dyDescent="0.25">
      <c r="B186" s="452">
        <f>+B172+1</f>
        <v>3</v>
      </c>
      <c r="C186" s="481" t="e">
        <f>+C185+1</f>
        <v>#REF!</v>
      </c>
      <c r="D186" s="453" t="s">
        <v>674</v>
      </c>
      <c r="E186" s="742"/>
      <c r="F186" s="443"/>
      <c r="G186" s="440"/>
      <c r="H186" s="438"/>
      <c r="I186" s="438"/>
      <c r="J186" s="438"/>
      <c r="K186" s="454"/>
      <c r="L186" s="438"/>
      <c r="M186" s="454"/>
      <c r="N186" s="454"/>
      <c r="O186" s="454"/>
      <c r="P186" s="454"/>
      <c r="Q186" s="454"/>
      <c r="R186" s="438"/>
      <c r="S186" s="454"/>
      <c r="T186" s="438"/>
      <c r="U186" s="454"/>
      <c r="V186" s="438"/>
    </row>
    <row r="187" spans="2:23" ht="21" customHeight="1" x14ac:dyDescent="0.25">
      <c r="B187" s="554">
        <f>+B186+0.01</f>
        <v>3.01</v>
      </c>
      <c r="C187" s="584" t="e">
        <f>+#REF!+1</f>
        <v>#REF!</v>
      </c>
      <c r="D187" s="495" t="s">
        <v>675</v>
      </c>
      <c r="E187" s="496"/>
      <c r="F187" s="497"/>
      <c r="G187" s="530" t="s">
        <v>11</v>
      </c>
      <c r="H187" s="553">
        <v>10.58</v>
      </c>
      <c r="I187" s="553"/>
      <c r="J187" s="553">
        <v>39</v>
      </c>
      <c r="K187" s="558">
        <f t="shared" ref="K187:K200" si="135">+ROUND($H187*J187,2)</f>
        <v>412.62</v>
      </c>
      <c r="L187" s="553">
        <f t="shared" ref="L187:L198" si="136">+L36</f>
        <v>0</v>
      </c>
      <c r="M187" s="558">
        <f t="shared" ref="M187:M198" si="137">+ROUND($H187*L187,2)</f>
        <v>0</v>
      </c>
      <c r="N187" s="558">
        <f t="shared" ref="N187:N198" si="138">+IF($L187-$J187&gt;=0,$L187-$J187,0)</f>
        <v>0</v>
      </c>
      <c r="O187" s="558">
        <f t="shared" ref="O187:O200" si="139">+ROUND($H187*N187,2)</f>
        <v>0</v>
      </c>
      <c r="P187" s="558"/>
      <c r="Q187" s="558">
        <f t="shared" ref="Q187:Q198" si="140">+ROUND($H187*P187,2)</f>
        <v>0</v>
      </c>
      <c r="R187" s="553">
        <f t="shared" ref="R187:R200" si="141">+IF($L187-$J187&lt;=0,-$L187+$J187,0)</f>
        <v>39</v>
      </c>
      <c r="S187" s="558">
        <f t="shared" ref="S187:S200" si="142">+ROUND($H187*R187,2)</f>
        <v>412.62</v>
      </c>
      <c r="T187" s="553"/>
      <c r="U187" s="558">
        <f t="shared" ref="U187:U200" si="143">+ROUND($H187*T187,2)</f>
        <v>0</v>
      </c>
      <c r="V187" s="553"/>
    </row>
    <row r="188" spans="2:23" ht="21" customHeight="1" x14ac:dyDescent="0.25">
      <c r="B188" s="554">
        <f>+B187+0.01</f>
        <v>3.0199999999999996</v>
      </c>
      <c r="C188" s="584" t="e">
        <f>+#REF!+1</f>
        <v>#REF!</v>
      </c>
      <c r="D188" s="495" t="s">
        <v>676</v>
      </c>
      <c r="E188" s="496"/>
      <c r="F188" s="497"/>
      <c r="G188" s="530" t="s">
        <v>11</v>
      </c>
      <c r="H188" s="553">
        <v>3.7</v>
      </c>
      <c r="I188" s="553"/>
      <c r="J188" s="553">
        <v>39</v>
      </c>
      <c r="K188" s="558">
        <f t="shared" si="135"/>
        <v>144.30000000000001</v>
      </c>
      <c r="L188" s="553">
        <f t="shared" si="136"/>
        <v>0</v>
      </c>
      <c r="M188" s="558">
        <f t="shared" si="137"/>
        <v>0</v>
      </c>
      <c r="N188" s="558">
        <f t="shared" si="138"/>
        <v>0</v>
      </c>
      <c r="O188" s="558">
        <f t="shared" si="139"/>
        <v>0</v>
      </c>
      <c r="P188" s="558"/>
      <c r="Q188" s="558">
        <f t="shared" si="140"/>
        <v>0</v>
      </c>
      <c r="R188" s="553">
        <f t="shared" si="141"/>
        <v>39</v>
      </c>
      <c r="S188" s="558">
        <f t="shared" si="142"/>
        <v>144.30000000000001</v>
      </c>
      <c r="T188" s="553"/>
      <c r="U188" s="558">
        <f t="shared" si="143"/>
        <v>0</v>
      </c>
      <c r="V188" s="553"/>
    </row>
    <row r="189" spans="2:23" ht="21" customHeight="1" x14ac:dyDescent="0.25">
      <c r="B189" s="554">
        <f>+B188+0.01</f>
        <v>3.0299999999999994</v>
      </c>
      <c r="C189" s="584" t="e">
        <f>+#REF!+1</f>
        <v>#REF!</v>
      </c>
      <c r="D189" s="495" t="s">
        <v>677</v>
      </c>
      <c r="E189" s="496"/>
      <c r="F189" s="497"/>
      <c r="G189" s="530" t="s">
        <v>11</v>
      </c>
      <c r="H189" s="553">
        <v>0.19</v>
      </c>
      <c r="I189" s="553"/>
      <c r="J189" s="553">
        <v>156</v>
      </c>
      <c r="K189" s="558">
        <f t="shared" si="135"/>
        <v>29.64</v>
      </c>
      <c r="L189" s="553">
        <f t="shared" si="136"/>
        <v>148</v>
      </c>
      <c r="M189" s="558">
        <f t="shared" si="137"/>
        <v>28.12</v>
      </c>
      <c r="N189" s="558">
        <f t="shared" si="138"/>
        <v>0</v>
      </c>
      <c r="O189" s="558">
        <f t="shared" si="139"/>
        <v>0</v>
      </c>
      <c r="P189" s="558"/>
      <c r="Q189" s="558">
        <f t="shared" si="140"/>
        <v>0</v>
      </c>
      <c r="R189" s="553">
        <f t="shared" si="141"/>
        <v>8</v>
      </c>
      <c r="S189" s="558">
        <f t="shared" si="142"/>
        <v>1.52</v>
      </c>
      <c r="T189" s="553"/>
      <c r="U189" s="558">
        <f t="shared" si="143"/>
        <v>0</v>
      </c>
      <c r="V189" s="553"/>
    </row>
    <row r="190" spans="2:23" ht="21" customHeight="1" x14ac:dyDescent="0.25">
      <c r="B190" s="554">
        <f t="shared" ref="B190:B196" si="144">+B189+0.01</f>
        <v>3.0399999999999991</v>
      </c>
      <c r="C190" s="584" t="e">
        <f>+C185+1</f>
        <v>#REF!</v>
      </c>
      <c r="D190" s="495" t="s">
        <v>668</v>
      </c>
      <c r="E190" s="496"/>
      <c r="F190" s="497"/>
      <c r="G190" s="530" t="s">
        <v>11</v>
      </c>
      <c r="H190" s="553">
        <v>0.34</v>
      </c>
      <c r="I190" s="553"/>
      <c r="J190" s="553">
        <v>78</v>
      </c>
      <c r="K190" s="558">
        <f t="shared" si="135"/>
        <v>26.52</v>
      </c>
      <c r="L190" s="553">
        <f t="shared" si="136"/>
        <v>74</v>
      </c>
      <c r="M190" s="558">
        <f t="shared" si="137"/>
        <v>25.16</v>
      </c>
      <c r="N190" s="558">
        <f t="shared" si="138"/>
        <v>0</v>
      </c>
      <c r="O190" s="558">
        <f t="shared" si="139"/>
        <v>0</v>
      </c>
      <c r="P190" s="558"/>
      <c r="Q190" s="558">
        <f t="shared" si="140"/>
        <v>0</v>
      </c>
      <c r="R190" s="553">
        <f t="shared" si="141"/>
        <v>4</v>
      </c>
      <c r="S190" s="558">
        <f t="shared" si="142"/>
        <v>1.36</v>
      </c>
      <c r="T190" s="553"/>
      <c r="U190" s="558">
        <f t="shared" si="143"/>
        <v>0</v>
      </c>
      <c r="V190" s="553"/>
    </row>
    <row r="191" spans="2:23" ht="21" customHeight="1" x14ac:dyDescent="0.25">
      <c r="B191" s="554">
        <f t="shared" si="144"/>
        <v>3.0499999999999989</v>
      </c>
      <c r="C191" s="584" t="e">
        <f>+C186+1</f>
        <v>#REF!</v>
      </c>
      <c r="D191" s="495" t="s">
        <v>669</v>
      </c>
      <c r="E191" s="496"/>
      <c r="F191" s="497"/>
      <c r="G191" s="530" t="s">
        <v>11</v>
      </c>
      <c r="H191" s="553">
        <v>0.24</v>
      </c>
      <c r="I191" s="553"/>
      <c r="J191" s="553">
        <v>273</v>
      </c>
      <c r="K191" s="558">
        <f t="shared" si="135"/>
        <v>65.52</v>
      </c>
      <c r="L191" s="553">
        <f t="shared" si="136"/>
        <v>259</v>
      </c>
      <c r="M191" s="558">
        <f t="shared" si="137"/>
        <v>62.16</v>
      </c>
      <c r="N191" s="558">
        <f t="shared" si="138"/>
        <v>0</v>
      </c>
      <c r="O191" s="558">
        <f t="shared" si="139"/>
        <v>0</v>
      </c>
      <c r="P191" s="558"/>
      <c r="Q191" s="558">
        <f t="shared" si="140"/>
        <v>0</v>
      </c>
      <c r="R191" s="553">
        <f t="shared" si="141"/>
        <v>14</v>
      </c>
      <c r="S191" s="558">
        <f t="shared" si="142"/>
        <v>3.36</v>
      </c>
      <c r="T191" s="553"/>
      <c r="U191" s="558">
        <f t="shared" si="143"/>
        <v>0</v>
      </c>
      <c r="V191" s="553"/>
    </row>
    <row r="192" spans="2:23" ht="21" customHeight="1" x14ac:dyDescent="0.25">
      <c r="B192" s="554">
        <f t="shared" si="144"/>
        <v>3.0599999999999987</v>
      </c>
      <c r="C192" s="584" t="e">
        <f>+C187+1</f>
        <v>#REF!</v>
      </c>
      <c r="D192" s="495" t="s">
        <v>670</v>
      </c>
      <c r="E192" s="496"/>
      <c r="F192" s="497"/>
      <c r="G192" s="530" t="s">
        <v>11</v>
      </c>
      <c r="H192" s="553">
        <v>0.12</v>
      </c>
      <c r="I192" s="553"/>
      <c r="J192" s="553">
        <v>39</v>
      </c>
      <c r="K192" s="558">
        <f t="shared" si="135"/>
        <v>4.68</v>
      </c>
      <c r="L192" s="553">
        <f t="shared" si="136"/>
        <v>37</v>
      </c>
      <c r="M192" s="558">
        <f t="shared" si="137"/>
        <v>4.4400000000000004</v>
      </c>
      <c r="N192" s="558">
        <f t="shared" si="138"/>
        <v>0</v>
      </c>
      <c r="O192" s="558">
        <f t="shared" si="139"/>
        <v>0</v>
      </c>
      <c r="P192" s="558"/>
      <c r="Q192" s="558">
        <f t="shared" si="140"/>
        <v>0</v>
      </c>
      <c r="R192" s="553">
        <f t="shared" si="141"/>
        <v>2</v>
      </c>
      <c r="S192" s="558">
        <f t="shared" si="142"/>
        <v>0.24</v>
      </c>
      <c r="T192" s="553"/>
      <c r="U192" s="558">
        <f t="shared" si="143"/>
        <v>0</v>
      </c>
      <c r="V192" s="553"/>
    </row>
    <row r="193" spans="2:22" ht="21" customHeight="1" x14ac:dyDescent="0.25">
      <c r="B193" s="554">
        <f t="shared" si="144"/>
        <v>3.0699999999999985</v>
      </c>
      <c r="C193" s="584" t="e">
        <f>+C188+1</f>
        <v>#REF!</v>
      </c>
      <c r="D193" s="495" t="s">
        <v>678</v>
      </c>
      <c r="E193" s="496"/>
      <c r="F193" s="497"/>
      <c r="G193" s="530" t="s">
        <v>11</v>
      </c>
      <c r="H193" s="553">
        <v>0.19</v>
      </c>
      <c r="I193" s="553"/>
      <c r="J193" s="553">
        <v>78</v>
      </c>
      <c r="K193" s="558">
        <f t="shared" si="135"/>
        <v>14.82</v>
      </c>
      <c r="L193" s="553">
        <f t="shared" si="136"/>
        <v>74</v>
      </c>
      <c r="M193" s="558">
        <f t="shared" si="137"/>
        <v>14.06</v>
      </c>
      <c r="N193" s="558">
        <f t="shared" si="138"/>
        <v>0</v>
      </c>
      <c r="O193" s="558">
        <f t="shared" si="139"/>
        <v>0</v>
      </c>
      <c r="P193" s="558"/>
      <c r="Q193" s="558">
        <f t="shared" si="140"/>
        <v>0</v>
      </c>
      <c r="R193" s="553">
        <f t="shared" si="141"/>
        <v>4</v>
      </c>
      <c r="S193" s="558">
        <f t="shared" si="142"/>
        <v>0.76</v>
      </c>
      <c r="T193" s="553"/>
      <c r="U193" s="558">
        <f t="shared" si="143"/>
        <v>0</v>
      </c>
      <c r="V193" s="553"/>
    </row>
    <row r="194" spans="2:22" ht="21" customHeight="1" x14ac:dyDescent="0.25">
      <c r="B194" s="554">
        <f t="shared" si="144"/>
        <v>3.0799999999999983</v>
      </c>
      <c r="C194" s="584" t="e">
        <f>+C188+1</f>
        <v>#REF!</v>
      </c>
      <c r="D194" s="495" t="s">
        <v>679</v>
      </c>
      <c r="E194" s="496"/>
      <c r="F194" s="497"/>
      <c r="G194" s="530" t="s">
        <v>11</v>
      </c>
      <c r="H194" s="553">
        <v>0.98</v>
      </c>
      <c r="I194" s="553"/>
      <c r="J194" s="553">
        <v>156</v>
      </c>
      <c r="K194" s="558">
        <f t="shared" si="135"/>
        <v>152.88</v>
      </c>
      <c r="L194" s="553">
        <f t="shared" si="136"/>
        <v>148</v>
      </c>
      <c r="M194" s="558">
        <f t="shared" si="137"/>
        <v>145.04</v>
      </c>
      <c r="N194" s="558">
        <f t="shared" si="138"/>
        <v>0</v>
      </c>
      <c r="O194" s="558">
        <f t="shared" si="139"/>
        <v>0</v>
      </c>
      <c r="P194" s="558"/>
      <c r="Q194" s="558">
        <f t="shared" si="140"/>
        <v>0</v>
      </c>
      <c r="R194" s="553">
        <f t="shared" si="141"/>
        <v>8</v>
      </c>
      <c r="S194" s="558">
        <f t="shared" si="142"/>
        <v>7.84</v>
      </c>
      <c r="T194" s="553"/>
      <c r="U194" s="558">
        <f t="shared" si="143"/>
        <v>0</v>
      </c>
      <c r="V194" s="553"/>
    </row>
    <row r="195" spans="2:22" ht="21" customHeight="1" x14ac:dyDescent="0.25">
      <c r="B195" s="554">
        <f t="shared" si="144"/>
        <v>3.0899999999999981</v>
      </c>
      <c r="C195" s="584" t="e">
        <f>+C190+1</f>
        <v>#REF!</v>
      </c>
      <c r="D195" s="495" t="s">
        <v>680</v>
      </c>
      <c r="E195" s="496"/>
      <c r="F195" s="497"/>
      <c r="G195" s="530" t="s">
        <v>11</v>
      </c>
      <c r="H195" s="553">
        <v>0.19</v>
      </c>
      <c r="I195" s="553"/>
      <c r="J195" s="553">
        <v>39</v>
      </c>
      <c r="K195" s="558">
        <f t="shared" si="135"/>
        <v>7.41</v>
      </c>
      <c r="L195" s="553">
        <f t="shared" si="136"/>
        <v>37</v>
      </c>
      <c r="M195" s="558">
        <f t="shared" si="137"/>
        <v>7.03</v>
      </c>
      <c r="N195" s="558">
        <f t="shared" si="138"/>
        <v>0</v>
      </c>
      <c r="O195" s="558">
        <f t="shared" si="139"/>
        <v>0</v>
      </c>
      <c r="P195" s="558"/>
      <c r="Q195" s="558">
        <f t="shared" si="140"/>
        <v>0</v>
      </c>
      <c r="R195" s="553">
        <f t="shared" si="141"/>
        <v>2</v>
      </c>
      <c r="S195" s="558">
        <f t="shared" si="142"/>
        <v>0.38</v>
      </c>
      <c r="T195" s="553"/>
      <c r="U195" s="558">
        <f t="shared" si="143"/>
        <v>0</v>
      </c>
      <c r="V195" s="553"/>
    </row>
    <row r="196" spans="2:22" ht="21" customHeight="1" x14ac:dyDescent="0.25">
      <c r="B196" s="554">
        <f t="shared" si="144"/>
        <v>3.0999999999999979</v>
      </c>
      <c r="C196" s="584" t="e">
        <f>+C191+1</f>
        <v>#REF!</v>
      </c>
      <c r="D196" s="495" t="s">
        <v>681</v>
      </c>
      <c r="E196" s="496"/>
      <c r="F196" s="497"/>
      <c r="G196" s="530" t="s">
        <v>11</v>
      </c>
      <c r="H196" s="553">
        <v>0.12</v>
      </c>
      <c r="I196" s="553"/>
      <c r="J196" s="553">
        <v>39</v>
      </c>
      <c r="K196" s="558">
        <f t="shared" si="135"/>
        <v>4.68</v>
      </c>
      <c r="L196" s="553">
        <f t="shared" si="136"/>
        <v>37</v>
      </c>
      <c r="M196" s="558">
        <f t="shared" si="137"/>
        <v>4.4400000000000004</v>
      </c>
      <c r="N196" s="558">
        <f t="shared" si="138"/>
        <v>0</v>
      </c>
      <c r="O196" s="558">
        <f t="shared" si="139"/>
        <v>0</v>
      </c>
      <c r="P196" s="558"/>
      <c r="Q196" s="558">
        <f t="shared" si="140"/>
        <v>0</v>
      </c>
      <c r="R196" s="553">
        <f t="shared" si="141"/>
        <v>2</v>
      </c>
      <c r="S196" s="558">
        <f t="shared" si="142"/>
        <v>0.24</v>
      </c>
      <c r="T196" s="553"/>
      <c r="U196" s="558">
        <f t="shared" si="143"/>
        <v>0</v>
      </c>
      <c r="V196" s="553"/>
    </row>
    <row r="197" spans="2:22" ht="21" customHeight="1" x14ac:dyDescent="0.25">
      <c r="B197" s="554">
        <f>+B196+0.01</f>
        <v>3.1099999999999977</v>
      </c>
      <c r="C197" s="584" t="e">
        <f>+C191+1</f>
        <v>#REF!</v>
      </c>
      <c r="D197" s="495" t="s">
        <v>681</v>
      </c>
      <c r="E197" s="496"/>
      <c r="F197" s="497"/>
      <c r="G197" s="530" t="s">
        <v>11</v>
      </c>
      <c r="H197" s="553">
        <v>0.18</v>
      </c>
      <c r="I197" s="553"/>
      <c r="J197" s="553">
        <v>39</v>
      </c>
      <c r="K197" s="558">
        <f t="shared" si="135"/>
        <v>7.02</v>
      </c>
      <c r="L197" s="553">
        <f t="shared" si="136"/>
        <v>37</v>
      </c>
      <c r="M197" s="558">
        <f t="shared" si="137"/>
        <v>6.66</v>
      </c>
      <c r="N197" s="558">
        <f t="shared" si="138"/>
        <v>0</v>
      </c>
      <c r="O197" s="558">
        <f t="shared" si="139"/>
        <v>0</v>
      </c>
      <c r="P197" s="558"/>
      <c r="Q197" s="558">
        <f t="shared" si="140"/>
        <v>0</v>
      </c>
      <c r="R197" s="553">
        <f t="shared" si="141"/>
        <v>2</v>
      </c>
      <c r="S197" s="558">
        <f t="shared" si="142"/>
        <v>0.36</v>
      </c>
      <c r="T197" s="553"/>
      <c r="U197" s="558">
        <f t="shared" si="143"/>
        <v>0</v>
      </c>
      <c r="V197" s="553"/>
    </row>
    <row r="198" spans="2:22" ht="21" customHeight="1" x14ac:dyDescent="0.25">
      <c r="B198" s="554">
        <f>+B197+0.01</f>
        <v>3.1199999999999974</v>
      </c>
      <c r="C198" s="584" t="e">
        <f>+C192+1</f>
        <v>#REF!</v>
      </c>
      <c r="D198" s="495" t="s">
        <v>682</v>
      </c>
      <c r="E198" s="496"/>
      <c r="F198" s="497"/>
      <c r="G198" s="539" t="s">
        <v>11</v>
      </c>
      <c r="H198" s="579">
        <v>1.1599999999999999</v>
      </c>
      <c r="I198" s="579"/>
      <c r="J198" s="579">
        <v>78</v>
      </c>
      <c r="K198" s="717">
        <f t="shared" si="135"/>
        <v>90.48</v>
      </c>
      <c r="L198" s="579">
        <f t="shared" si="136"/>
        <v>74</v>
      </c>
      <c r="M198" s="717">
        <f t="shared" si="137"/>
        <v>85.84</v>
      </c>
      <c r="N198" s="717">
        <f t="shared" si="138"/>
        <v>0</v>
      </c>
      <c r="O198" s="717">
        <f t="shared" si="139"/>
        <v>0</v>
      </c>
      <c r="P198" s="717"/>
      <c r="Q198" s="717">
        <f t="shared" si="140"/>
        <v>0</v>
      </c>
      <c r="R198" s="579">
        <f t="shared" si="141"/>
        <v>4</v>
      </c>
      <c r="S198" s="717">
        <f t="shared" si="142"/>
        <v>4.6399999999999997</v>
      </c>
      <c r="T198" s="579"/>
      <c r="U198" s="717">
        <f t="shared" si="143"/>
        <v>0</v>
      </c>
      <c r="V198" s="579"/>
    </row>
    <row r="199" spans="2:22" s="547" customFormat="1" ht="21" customHeight="1" x14ac:dyDescent="0.25">
      <c r="B199" s="617">
        <f>+B198+0.01</f>
        <v>3.1299999999999972</v>
      </c>
      <c r="C199" s="763" t="e">
        <f>+#REF!+1</f>
        <v>#REF!</v>
      </c>
      <c r="D199" s="516" t="s">
        <v>1020</v>
      </c>
      <c r="E199" s="545"/>
      <c r="F199" s="546"/>
      <c r="G199" s="531" t="s">
        <v>11</v>
      </c>
      <c r="H199" s="560"/>
      <c r="I199" s="560">
        <f>+H187</f>
        <v>10.58</v>
      </c>
      <c r="J199" s="560"/>
      <c r="K199" s="561">
        <f t="shared" si="135"/>
        <v>0</v>
      </c>
      <c r="L199" s="560">
        <v>37</v>
      </c>
      <c r="M199" s="561">
        <f>+ROUND($I199*L199,2)</f>
        <v>391.46</v>
      </c>
      <c r="N199" s="561"/>
      <c r="O199" s="561">
        <f t="shared" si="139"/>
        <v>0</v>
      </c>
      <c r="P199" s="561">
        <f>+L199</f>
        <v>37</v>
      </c>
      <c r="Q199" s="561">
        <f>+ROUND($I199*P199,2)</f>
        <v>391.46</v>
      </c>
      <c r="R199" s="560">
        <f t="shared" si="141"/>
        <v>0</v>
      </c>
      <c r="S199" s="561">
        <f t="shared" si="142"/>
        <v>0</v>
      </c>
      <c r="T199" s="560"/>
      <c r="U199" s="561">
        <f t="shared" si="143"/>
        <v>0</v>
      </c>
      <c r="V199" s="560"/>
    </row>
    <row r="200" spans="2:22" s="547" customFormat="1" ht="21" customHeight="1" x14ac:dyDescent="0.25">
      <c r="B200" s="617">
        <f>+B199+0.01</f>
        <v>3.139999999999997</v>
      </c>
      <c r="C200" s="763" t="e">
        <f>+#REF!+1</f>
        <v>#REF!</v>
      </c>
      <c r="D200" s="516" t="s">
        <v>1021</v>
      </c>
      <c r="E200" s="545"/>
      <c r="F200" s="546"/>
      <c r="G200" s="564" t="s">
        <v>11</v>
      </c>
      <c r="H200" s="633"/>
      <c r="I200" s="633">
        <f>+H188</f>
        <v>3.7</v>
      </c>
      <c r="J200" s="633"/>
      <c r="K200" s="634">
        <f t="shared" si="135"/>
        <v>0</v>
      </c>
      <c r="L200" s="633">
        <v>37</v>
      </c>
      <c r="M200" s="634">
        <f>+ROUND($I200*L200,2)</f>
        <v>136.9</v>
      </c>
      <c r="N200" s="634"/>
      <c r="O200" s="634">
        <f t="shared" si="139"/>
        <v>0</v>
      </c>
      <c r="P200" s="634">
        <f>+L200</f>
        <v>37</v>
      </c>
      <c r="Q200" s="634">
        <f>+ROUND($I200*P200,2)</f>
        <v>136.9</v>
      </c>
      <c r="R200" s="633">
        <f t="shared" si="141"/>
        <v>0</v>
      </c>
      <c r="S200" s="634">
        <f t="shared" si="142"/>
        <v>0</v>
      </c>
      <c r="T200" s="633"/>
      <c r="U200" s="634">
        <f t="shared" si="143"/>
        <v>0</v>
      </c>
      <c r="V200" s="633"/>
    </row>
    <row r="201" spans="2:22" ht="21" customHeight="1" x14ac:dyDescent="0.25">
      <c r="B201" s="456"/>
      <c r="C201" s="466" t="e">
        <f>+#REF!+1</f>
        <v>#REF!</v>
      </c>
      <c r="D201" s="537"/>
      <c r="E201" s="538"/>
      <c r="F201" s="533" t="str">
        <f>+"SUB-TOTAL   "&amp;B186&amp;":  "</f>
        <v xml:space="preserve">SUB-TOTAL   3:  </v>
      </c>
      <c r="G201" s="440"/>
      <c r="H201" s="438"/>
      <c r="I201" s="438"/>
      <c r="J201" s="438"/>
      <c r="K201" s="548">
        <f>+SUM(K187:K200)</f>
        <v>960.56999999999994</v>
      </c>
      <c r="L201" s="438"/>
      <c r="M201" s="548">
        <f>+SUM(M187:M200)</f>
        <v>911.31000000000006</v>
      </c>
      <c r="N201" s="454"/>
      <c r="O201" s="548">
        <f>+SUM(O187:O200)</f>
        <v>0</v>
      </c>
      <c r="P201" s="454"/>
      <c r="Q201" s="548">
        <f>+SUM(Q187:Q200)</f>
        <v>528.36</v>
      </c>
      <c r="R201" s="438"/>
      <c r="S201" s="548">
        <f>+SUM(S187:S200)</f>
        <v>577.62000000000012</v>
      </c>
      <c r="T201" s="438"/>
      <c r="U201" s="548">
        <f>+SUM(U187:U200)</f>
        <v>0</v>
      </c>
      <c r="V201" s="438"/>
    </row>
    <row r="202" spans="2:22" ht="21" customHeight="1" x14ac:dyDescent="0.25">
      <c r="B202" s="452">
        <f>+B186+1</f>
        <v>4</v>
      </c>
      <c r="C202" s="481" t="e">
        <f t="shared" si="118"/>
        <v>#REF!</v>
      </c>
      <c r="D202" s="453" t="s">
        <v>683</v>
      </c>
      <c r="E202" s="445"/>
      <c r="F202" s="446"/>
      <c r="G202" s="527"/>
      <c r="H202" s="438"/>
      <c r="I202" s="438"/>
      <c r="J202" s="438"/>
      <c r="K202" s="454"/>
      <c r="L202" s="438"/>
      <c r="M202" s="454"/>
      <c r="N202" s="454"/>
      <c r="O202" s="454"/>
      <c r="P202" s="454"/>
      <c r="Q202" s="454"/>
      <c r="R202" s="438"/>
      <c r="S202" s="454"/>
      <c r="T202" s="438"/>
      <c r="U202" s="454"/>
      <c r="V202" s="438"/>
    </row>
    <row r="203" spans="2:22" ht="21" customHeight="1" x14ac:dyDescent="0.25">
      <c r="B203" s="562">
        <f>+B202+0.01</f>
        <v>4.01</v>
      </c>
      <c r="C203" s="576" t="e">
        <f t="shared" si="118"/>
        <v>#REF!</v>
      </c>
      <c r="D203" s="502" t="s">
        <v>684</v>
      </c>
      <c r="E203" s="496"/>
      <c r="F203" s="497"/>
      <c r="G203" s="530" t="s">
        <v>11</v>
      </c>
      <c r="H203" s="553">
        <v>1.76</v>
      </c>
      <c r="I203" s="553"/>
      <c r="J203" s="553">
        <v>39</v>
      </c>
      <c r="K203" s="558">
        <f t="shared" ref="K203:K212" si="145">+ROUND($H203*J203,2)</f>
        <v>68.64</v>
      </c>
      <c r="L203" s="553">
        <f t="shared" ref="L203:L211" si="146">+L52</f>
        <v>0</v>
      </c>
      <c r="M203" s="558">
        <f t="shared" ref="M203:M211" si="147">+ROUND($H203*L203,2)</f>
        <v>0</v>
      </c>
      <c r="N203" s="558">
        <f>+IF($L203-$J203&gt;=0,$L203-$J203,0)</f>
        <v>0</v>
      </c>
      <c r="O203" s="558">
        <f t="shared" ref="O203:O212" si="148">+ROUND($H203*N203,2)</f>
        <v>0</v>
      </c>
      <c r="P203" s="558"/>
      <c r="Q203" s="558">
        <f t="shared" ref="Q203:Q211" si="149">+ROUND($H203*P203,2)</f>
        <v>0</v>
      </c>
      <c r="R203" s="553">
        <f>+IF($L203-$J203&lt;=0,-$L203+$J203,0)</f>
        <v>39</v>
      </c>
      <c r="S203" s="558">
        <f t="shared" ref="S203:S212" si="150">+ROUND($H203*R203,2)</f>
        <v>68.64</v>
      </c>
      <c r="T203" s="553"/>
      <c r="U203" s="558">
        <f t="shared" ref="U203:U212" si="151">+ROUND($H203*T203,2)</f>
        <v>0</v>
      </c>
      <c r="V203" s="553"/>
    </row>
    <row r="204" spans="2:22" ht="21" customHeight="1" x14ac:dyDescent="0.25">
      <c r="B204" s="562">
        <f t="shared" ref="B204:B211" si="152">+B203+0.01</f>
        <v>4.0199999999999996</v>
      </c>
      <c r="C204" s="576" t="e">
        <f>+#REF!+1</f>
        <v>#REF!</v>
      </c>
      <c r="D204" s="502" t="s">
        <v>685</v>
      </c>
      <c r="E204" s="496"/>
      <c r="F204" s="497"/>
      <c r="G204" s="530" t="s">
        <v>11</v>
      </c>
      <c r="H204" s="553">
        <v>4.9400000000000004</v>
      </c>
      <c r="I204" s="553"/>
      <c r="J204" s="553">
        <v>39</v>
      </c>
      <c r="K204" s="558">
        <f t="shared" si="145"/>
        <v>192.66</v>
      </c>
      <c r="L204" s="553">
        <f t="shared" si="146"/>
        <v>37</v>
      </c>
      <c r="M204" s="558">
        <f t="shared" si="147"/>
        <v>182.78</v>
      </c>
      <c r="N204" s="558">
        <f t="shared" ref="N204:N211" si="153">+IF($L204-$J204&gt;=0,$L204-$J204,0)</f>
        <v>0</v>
      </c>
      <c r="O204" s="558">
        <f t="shared" si="148"/>
        <v>0</v>
      </c>
      <c r="P204" s="558"/>
      <c r="Q204" s="558">
        <f t="shared" si="149"/>
        <v>0</v>
      </c>
      <c r="R204" s="553">
        <f t="shared" ref="R204:R211" si="154">+IF($L204-$J204&lt;=0,-$L204+$J204,0)</f>
        <v>2</v>
      </c>
      <c r="S204" s="558">
        <f t="shared" si="150"/>
        <v>9.8800000000000008</v>
      </c>
      <c r="T204" s="553"/>
      <c r="U204" s="558">
        <f t="shared" si="151"/>
        <v>0</v>
      </c>
      <c r="V204" s="553"/>
    </row>
    <row r="205" spans="2:22" ht="21" customHeight="1" x14ac:dyDescent="0.25">
      <c r="B205" s="562">
        <f t="shared" si="152"/>
        <v>4.0299999999999994</v>
      </c>
      <c r="C205" s="576" t="e">
        <f t="shared" si="118"/>
        <v>#REF!</v>
      </c>
      <c r="D205" s="502" t="s">
        <v>686</v>
      </c>
      <c r="E205" s="496"/>
      <c r="F205" s="497"/>
      <c r="G205" s="530" t="s">
        <v>13</v>
      </c>
      <c r="H205" s="553">
        <v>0.22</v>
      </c>
      <c r="I205" s="553"/>
      <c r="J205" s="553">
        <v>156</v>
      </c>
      <c r="K205" s="558">
        <f t="shared" si="145"/>
        <v>34.32</v>
      </c>
      <c r="L205" s="553">
        <f t="shared" si="146"/>
        <v>148</v>
      </c>
      <c r="M205" s="558">
        <f t="shared" si="147"/>
        <v>32.56</v>
      </c>
      <c r="N205" s="558">
        <f t="shared" si="153"/>
        <v>0</v>
      </c>
      <c r="O205" s="558">
        <f t="shared" si="148"/>
        <v>0</v>
      </c>
      <c r="P205" s="558"/>
      <c r="Q205" s="558">
        <f t="shared" si="149"/>
        <v>0</v>
      </c>
      <c r="R205" s="553">
        <f t="shared" si="154"/>
        <v>8</v>
      </c>
      <c r="S205" s="558">
        <f t="shared" si="150"/>
        <v>1.76</v>
      </c>
      <c r="T205" s="553"/>
      <c r="U205" s="558">
        <f t="shared" si="151"/>
        <v>0</v>
      </c>
      <c r="V205" s="553"/>
    </row>
    <row r="206" spans="2:22" ht="21" customHeight="1" x14ac:dyDescent="0.25">
      <c r="B206" s="562">
        <f t="shared" si="152"/>
        <v>4.0399999999999991</v>
      </c>
      <c r="C206" s="576" t="e">
        <f t="shared" si="118"/>
        <v>#REF!</v>
      </c>
      <c r="D206" s="502" t="s">
        <v>668</v>
      </c>
      <c r="E206" s="498"/>
      <c r="F206" s="499"/>
      <c r="G206" s="530" t="s">
        <v>13</v>
      </c>
      <c r="H206" s="553">
        <v>0.34</v>
      </c>
      <c r="I206" s="553"/>
      <c r="J206" s="553">
        <v>78</v>
      </c>
      <c r="K206" s="558">
        <f t="shared" si="145"/>
        <v>26.52</v>
      </c>
      <c r="L206" s="553">
        <f t="shared" si="146"/>
        <v>74</v>
      </c>
      <c r="M206" s="558">
        <f t="shared" si="147"/>
        <v>25.16</v>
      </c>
      <c r="N206" s="558">
        <f t="shared" si="153"/>
        <v>0</v>
      </c>
      <c r="O206" s="558">
        <f t="shared" si="148"/>
        <v>0</v>
      </c>
      <c r="P206" s="556"/>
      <c r="Q206" s="558">
        <f t="shared" si="149"/>
        <v>0</v>
      </c>
      <c r="R206" s="553">
        <f t="shared" si="154"/>
        <v>4</v>
      </c>
      <c r="S206" s="558">
        <f t="shared" si="150"/>
        <v>1.36</v>
      </c>
      <c r="T206" s="557"/>
      <c r="U206" s="558">
        <f t="shared" si="151"/>
        <v>0</v>
      </c>
      <c r="V206" s="557"/>
    </row>
    <row r="207" spans="2:22" ht="21" customHeight="1" x14ac:dyDescent="0.25">
      <c r="B207" s="562">
        <f t="shared" si="152"/>
        <v>4.0499999999999989</v>
      </c>
      <c r="C207" s="576" t="e">
        <f t="shared" si="118"/>
        <v>#REF!</v>
      </c>
      <c r="D207" s="502" t="s">
        <v>669</v>
      </c>
      <c r="E207" s="500"/>
      <c r="F207" s="494"/>
      <c r="G207" s="530" t="s">
        <v>11</v>
      </c>
      <c r="H207" s="553">
        <v>0.24</v>
      </c>
      <c r="I207" s="553"/>
      <c r="J207" s="553">
        <v>273</v>
      </c>
      <c r="K207" s="558">
        <f t="shared" si="145"/>
        <v>65.52</v>
      </c>
      <c r="L207" s="553">
        <f t="shared" si="146"/>
        <v>259</v>
      </c>
      <c r="M207" s="558">
        <f t="shared" si="147"/>
        <v>62.16</v>
      </c>
      <c r="N207" s="558">
        <f t="shared" si="153"/>
        <v>0</v>
      </c>
      <c r="O207" s="558">
        <f t="shared" si="148"/>
        <v>0</v>
      </c>
      <c r="P207" s="558"/>
      <c r="Q207" s="558">
        <f t="shared" si="149"/>
        <v>0</v>
      </c>
      <c r="R207" s="553">
        <f t="shared" si="154"/>
        <v>14</v>
      </c>
      <c r="S207" s="558">
        <f t="shared" si="150"/>
        <v>3.36</v>
      </c>
      <c r="T207" s="553"/>
      <c r="U207" s="558">
        <f t="shared" si="151"/>
        <v>0</v>
      </c>
      <c r="V207" s="553"/>
    </row>
    <row r="208" spans="2:22" ht="21" customHeight="1" x14ac:dyDescent="0.25">
      <c r="B208" s="562">
        <f t="shared" si="152"/>
        <v>4.0599999999999987</v>
      </c>
      <c r="C208" s="576" t="e">
        <f>+C203+1</f>
        <v>#REF!</v>
      </c>
      <c r="D208" s="502" t="s">
        <v>670</v>
      </c>
      <c r="E208" s="496"/>
      <c r="F208" s="497"/>
      <c r="G208" s="530" t="s">
        <v>11</v>
      </c>
      <c r="H208" s="553">
        <v>0.12</v>
      </c>
      <c r="I208" s="553"/>
      <c r="J208" s="553">
        <v>39</v>
      </c>
      <c r="K208" s="558">
        <f t="shared" si="145"/>
        <v>4.68</v>
      </c>
      <c r="L208" s="553">
        <f t="shared" si="146"/>
        <v>37</v>
      </c>
      <c r="M208" s="558">
        <f t="shared" si="147"/>
        <v>4.4400000000000004</v>
      </c>
      <c r="N208" s="558">
        <f t="shared" si="153"/>
        <v>0</v>
      </c>
      <c r="O208" s="558">
        <f t="shared" si="148"/>
        <v>0</v>
      </c>
      <c r="P208" s="558"/>
      <c r="Q208" s="558">
        <f t="shared" si="149"/>
        <v>0</v>
      </c>
      <c r="R208" s="553">
        <f t="shared" si="154"/>
        <v>2</v>
      </c>
      <c r="S208" s="558">
        <f t="shared" si="150"/>
        <v>0.24</v>
      </c>
      <c r="T208" s="553"/>
      <c r="U208" s="558">
        <f t="shared" si="151"/>
        <v>0</v>
      </c>
      <c r="V208" s="553"/>
    </row>
    <row r="209" spans="2:22" ht="21" customHeight="1" x14ac:dyDescent="0.25">
      <c r="B209" s="562">
        <f t="shared" si="152"/>
        <v>4.0699999999999985</v>
      </c>
      <c r="C209" s="576" t="e">
        <f t="shared" si="118"/>
        <v>#REF!</v>
      </c>
      <c r="D209" s="502" t="s">
        <v>679</v>
      </c>
      <c r="E209" s="496"/>
      <c r="F209" s="497"/>
      <c r="G209" s="530" t="s">
        <v>11</v>
      </c>
      <c r="H209" s="553">
        <v>0.98</v>
      </c>
      <c r="I209" s="553"/>
      <c r="J209" s="553">
        <v>156</v>
      </c>
      <c r="K209" s="558">
        <f t="shared" si="145"/>
        <v>152.88</v>
      </c>
      <c r="L209" s="553">
        <f t="shared" si="146"/>
        <v>148</v>
      </c>
      <c r="M209" s="558">
        <f t="shared" si="147"/>
        <v>145.04</v>
      </c>
      <c r="N209" s="558">
        <f t="shared" si="153"/>
        <v>0</v>
      </c>
      <c r="O209" s="558">
        <f t="shared" si="148"/>
        <v>0</v>
      </c>
      <c r="P209" s="558"/>
      <c r="Q209" s="558">
        <f t="shared" si="149"/>
        <v>0</v>
      </c>
      <c r="R209" s="553">
        <f t="shared" si="154"/>
        <v>8</v>
      </c>
      <c r="S209" s="558">
        <f t="shared" si="150"/>
        <v>7.84</v>
      </c>
      <c r="T209" s="553"/>
      <c r="U209" s="558">
        <f t="shared" si="151"/>
        <v>0</v>
      </c>
      <c r="V209" s="553"/>
    </row>
    <row r="210" spans="2:22" ht="21" customHeight="1" x14ac:dyDescent="0.25">
      <c r="B210" s="562">
        <f t="shared" si="152"/>
        <v>4.0799999999999983</v>
      </c>
      <c r="C210" s="576" t="e">
        <f t="shared" si="118"/>
        <v>#REF!</v>
      </c>
      <c r="D210" s="502" t="s">
        <v>687</v>
      </c>
      <c r="E210" s="498"/>
      <c r="F210" s="499"/>
      <c r="G210" s="530" t="s">
        <v>11</v>
      </c>
      <c r="H210" s="553">
        <v>0.19</v>
      </c>
      <c r="I210" s="553"/>
      <c r="J210" s="553">
        <v>78</v>
      </c>
      <c r="K210" s="558">
        <f t="shared" si="145"/>
        <v>14.82</v>
      </c>
      <c r="L210" s="553">
        <f t="shared" si="146"/>
        <v>74</v>
      </c>
      <c r="M210" s="558">
        <f t="shared" si="147"/>
        <v>14.06</v>
      </c>
      <c r="N210" s="558">
        <f t="shared" si="153"/>
        <v>0</v>
      </c>
      <c r="O210" s="558">
        <f t="shared" si="148"/>
        <v>0</v>
      </c>
      <c r="P210" s="556"/>
      <c r="Q210" s="558">
        <f t="shared" si="149"/>
        <v>0</v>
      </c>
      <c r="R210" s="553">
        <f t="shared" si="154"/>
        <v>4</v>
      </c>
      <c r="S210" s="558">
        <f t="shared" si="150"/>
        <v>0.76</v>
      </c>
      <c r="T210" s="557"/>
      <c r="U210" s="558">
        <f t="shared" si="151"/>
        <v>0</v>
      </c>
      <c r="V210" s="557"/>
    </row>
    <row r="211" spans="2:22" ht="21" customHeight="1" x14ac:dyDescent="0.25">
      <c r="B211" s="562">
        <f t="shared" si="152"/>
        <v>4.0899999999999981</v>
      </c>
      <c r="C211" s="576" t="e">
        <f t="shared" si="118"/>
        <v>#REF!</v>
      </c>
      <c r="D211" s="502" t="s">
        <v>681</v>
      </c>
      <c r="E211" s="500"/>
      <c r="F211" s="494"/>
      <c r="G211" s="539" t="s">
        <v>13</v>
      </c>
      <c r="H211" s="579">
        <v>0.18</v>
      </c>
      <c r="I211" s="579"/>
      <c r="J211" s="579">
        <v>39</v>
      </c>
      <c r="K211" s="717">
        <f t="shared" si="145"/>
        <v>7.02</v>
      </c>
      <c r="L211" s="579">
        <f t="shared" si="146"/>
        <v>37</v>
      </c>
      <c r="M211" s="717">
        <f t="shared" si="147"/>
        <v>6.66</v>
      </c>
      <c r="N211" s="717">
        <f t="shared" si="153"/>
        <v>0</v>
      </c>
      <c r="O211" s="717">
        <f t="shared" si="148"/>
        <v>0</v>
      </c>
      <c r="P211" s="717"/>
      <c r="Q211" s="717">
        <f t="shared" si="149"/>
        <v>0</v>
      </c>
      <c r="R211" s="579">
        <f t="shared" si="154"/>
        <v>2</v>
      </c>
      <c r="S211" s="717">
        <f t="shared" si="150"/>
        <v>0.36</v>
      </c>
      <c r="T211" s="579"/>
      <c r="U211" s="717">
        <f t="shared" si="151"/>
        <v>0</v>
      </c>
      <c r="V211" s="579"/>
    </row>
    <row r="212" spans="2:22" s="547" customFormat="1" ht="21" customHeight="1" x14ac:dyDescent="0.25">
      <c r="B212" s="559">
        <f>+B211+0.01</f>
        <v>4.0999999999999979</v>
      </c>
      <c r="C212" s="577" t="e">
        <f t="shared" si="118"/>
        <v>#REF!</v>
      </c>
      <c r="D212" s="501" t="s">
        <v>1022</v>
      </c>
      <c r="E212" s="545"/>
      <c r="F212" s="546"/>
      <c r="G212" s="564" t="s">
        <v>11</v>
      </c>
      <c r="H212" s="633"/>
      <c r="I212" s="633">
        <f>+H203</f>
        <v>1.76</v>
      </c>
      <c r="J212" s="633"/>
      <c r="K212" s="634">
        <f t="shared" si="145"/>
        <v>0</v>
      </c>
      <c r="L212" s="633">
        <v>37</v>
      </c>
      <c r="M212" s="634">
        <f>+ROUND($I212*L212,2)</f>
        <v>65.12</v>
      </c>
      <c r="N212" s="634">
        <f>+IF($L212-$J212&gt;=0,$L212-$J212,0)</f>
        <v>37</v>
      </c>
      <c r="O212" s="634">
        <f t="shared" si="148"/>
        <v>0</v>
      </c>
      <c r="P212" s="634">
        <f>+L212</f>
        <v>37</v>
      </c>
      <c r="Q212" s="634">
        <f>+ROUND($I212*P212,2)</f>
        <v>65.12</v>
      </c>
      <c r="R212" s="633">
        <f>+IF($L212-$J212&lt;=0,-$L212+$J212,0)</f>
        <v>0</v>
      </c>
      <c r="S212" s="634">
        <f t="shared" si="150"/>
        <v>0</v>
      </c>
      <c r="T212" s="633"/>
      <c r="U212" s="634">
        <f t="shared" si="151"/>
        <v>0</v>
      </c>
      <c r="V212" s="633"/>
    </row>
    <row r="213" spans="2:22" ht="21" customHeight="1" x14ac:dyDescent="0.25">
      <c r="B213" s="456"/>
      <c r="C213" s="483" t="e">
        <f>+#REF!+1</f>
        <v>#REF!</v>
      </c>
      <c r="D213" s="537"/>
      <c r="E213" s="580"/>
      <c r="F213" s="533" t="str">
        <f>+"SUB-TOTAL   "&amp;B202&amp;":  "</f>
        <v xml:space="preserve">SUB-TOTAL   4:  </v>
      </c>
      <c r="G213" s="440"/>
      <c r="H213" s="438"/>
      <c r="I213" s="438"/>
      <c r="J213" s="438"/>
      <c r="K213" s="548">
        <f>+SUM(K203:K212)</f>
        <v>567.06000000000006</v>
      </c>
      <c r="L213" s="438"/>
      <c r="M213" s="548">
        <f>+SUM(M203:M212)</f>
        <v>537.98</v>
      </c>
      <c r="N213" s="438"/>
      <c r="O213" s="548">
        <f>+SUM(O203:O212)</f>
        <v>0</v>
      </c>
      <c r="P213" s="438"/>
      <c r="Q213" s="548">
        <f>+SUM(Q203:Q212)</f>
        <v>65.12</v>
      </c>
      <c r="R213" s="438"/>
      <c r="S213" s="548">
        <f>+SUM(S203:S212)</f>
        <v>94.2</v>
      </c>
      <c r="T213" s="438"/>
      <c r="U213" s="548">
        <f>+SUM(U203:U212)</f>
        <v>0</v>
      </c>
      <c r="V213" s="438"/>
    </row>
    <row r="214" spans="2:22" ht="21" customHeight="1" x14ac:dyDescent="0.25">
      <c r="B214" s="452">
        <f>+B202+1</f>
        <v>5</v>
      </c>
      <c r="C214" s="481" t="e">
        <f t="shared" si="118"/>
        <v>#REF!</v>
      </c>
      <c r="D214" s="453" t="s">
        <v>688</v>
      </c>
      <c r="E214" s="445"/>
      <c r="F214" s="446"/>
      <c r="G214" s="527"/>
      <c r="H214" s="438"/>
      <c r="I214" s="438"/>
      <c r="J214" s="438"/>
      <c r="K214" s="438"/>
      <c r="L214" s="438"/>
      <c r="M214" s="438"/>
      <c r="N214" s="438"/>
      <c r="O214" s="438"/>
      <c r="P214" s="438"/>
      <c r="Q214" s="438"/>
      <c r="R214" s="438"/>
      <c r="S214" s="438"/>
      <c r="T214" s="438"/>
      <c r="U214" s="438"/>
      <c r="V214" s="438"/>
    </row>
    <row r="215" spans="2:22" ht="21" customHeight="1" x14ac:dyDescent="0.25">
      <c r="B215" s="562">
        <f t="shared" ref="B215:B222" si="155">+B214+0.01</f>
        <v>5.01</v>
      </c>
      <c r="C215" s="576" t="e">
        <f t="shared" si="118"/>
        <v>#REF!</v>
      </c>
      <c r="D215" s="502" t="s">
        <v>689</v>
      </c>
      <c r="E215" s="496"/>
      <c r="F215" s="497"/>
      <c r="G215" s="530" t="s">
        <v>11</v>
      </c>
      <c r="H215" s="553">
        <v>0.19</v>
      </c>
      <c r="I215" s="553"/>
      <c r="J215" s="553">
        <v>39</v>
      </c>
      <c r="K215" s="553">
        <f t="shared" ref="K215:K222" si="156">+ROUND($H215*J215,2)</f>
        <v>7.41</v>
      </c>
      <c r="L215" s="553">
        <f t="shared" ref="L215:L222" si="157">+L64</f>
        <v>37</v>
      </c>
      <c r="M215" s="553">
        <f t="shared" ref="M215:M222" si="158">+ROUND($H215*L215,2)</f>
        <v>7.03</v>
      </c>
      <c r="N215" s="553">
        <f>+IF($L215-$J215&gt;=0,$L215-$J215,0)</f>
        <v>0</v>
      </c>
      <c r="O215" s="553">
        <f t="shared" ref="O215:O222" si="159">+ROUND($H215*N215,2)</f>
        <v>0</v>
      </c>
      <c r="P215" s="553"/>
      <c r="Q215" s="553">
        <f t="shared" ref="Q215:Q222" si="160">+ROUND($H215*P215,2)</f>
        <v>0</v>
      </c>
      <c r="R215" s="553">
        <f>+IF($L215-$J215&lt;=0,-$L215+$J215,0)</f>
        <v>2</v>
      </c>
      <c r="S215" s="553">
        <f t="shared" ref="S215:S222" si="161">+ROUND($H215*R215,2)</f>
        <v>0.38</v>
      </c>
      <c r="T215" s="553"/>
      <c r="U215" s="553">
        <f t="shared" ref="U215:U222" si="162">+ROUND($H215*T215,2)</f>
        <v>0</v>
      </c>
      <c r="V215" s="553"/>
    </row>
    <row r="216" spans="2:22" ht="21" customHeight="1" x14ac:dyDescent="0.25">
      <c r="B216" s="562">
        <f t="shared" si="155"/>
        <v>5.0199999999999996</v>
      </c>
      <c r="C216" s="576" t="e">
        <f t="shared" si="118"/>
        <v>#REF!</v>
      </c>
      <c r="D216" s="502" t="s">
        <v>690</v>
      </c>
      <c r="E216" s="496"/>
      <c r="F216" s="497"/>
      <c r="G216" s="530" t="s">
        <v>11</v>
      </c>
      <c r="H216" s="553">
        <v>0.21</v>
      </c>
      <c r="I216" s="553"/>
      <c r="J216" s="553">
        <v>78</v>
      </c>
      <c r="K216" s="553">
        <f t="shared" si="156"/>
        <v>16.38</v>
      </c>
      <c r="L216" s="553">
        <f t="shared" si="157"/>
        <v>74</v>
      </c>
      <c r="M216" s="553">
        <f t="shared" si="158"/>
        <v>15.54</v>
      </c>
      <c r="N216" s="553">
        <f t="shared" ref="N216:N222" si="163">+IF($L216-$J216&gt;=0,$L216-$J216,0)</f>
        <v>0</v>
      </c>
      <c r="O216" s="553">
        <f t="shared" si="159"/>
        <v>0</v>
      </c>
      <c r="P216" s="553"/>
      <c r="Q216" s="553">
        <f t="shared" si="160"/>
        <v>0</v>
      </c>
      <c r="R216" s="553">
        <f t="shared" ref="R216:R222" si="164">+IF($L216-$J216&lt;=0,-$L216+$J216,0)</f>
        <v>4</v>
      </c>
      <c r="S216" s="553">
        <f t="shared" si="161"/>
        <v>0.84</v>
      </c>
      <c r="T216" s="553"/>
      <c r="U216" s="553">
        <f t="shared" si="162"/>
        <v>0</v>
      </c>
      <c r="V216" s="553"/>
    </row>
    <row r="217" spans="2:22" ht="21" customHeight="1" x14ac:dyDescent="0.25">
      <c r="B217" s="562">
        <f t="shared" si="155"/>
        <v>5.0299999999999994</v>
      </c>
      <c r="C217" s="576" t="e">
        <f t="shared" si="118"/>
        <v>#REF!</v>
      </c>
      <c r="D217" s="502" t="s">
        <v>691</v>
      </c>
      <c r="E217" s="496"/>
      <c r="F217" s="497"/>
      <c r="G217" s="530" t="s">
        <v>11</v>
      </c>
      <c r="H217" s="553">
        <v>0.2</v>
      </c>
      <c r="I217" s="553"/>
      <c r="J217" s="553">
        <v>39</v>
      </c>
      <c r="K217" s="553">
        <f t="shared" si="156"/>
        <v>7.8</v>
      </c>
      <c r="L217" s="553">
        <f t="shared" si="157"/>
        <v>37</v>
      </c>
      <c r="M217" s="553">
        <f t="shared" si="158"/>
        <v>7.4</v>
      </c>
      <c r="N217" s="553">
        <f t="shared" si="163"/>
        <v>0</v>
      </c>
      <c r="O217" s="553">
        <f t="shared" si="159"/>
        <v>0</v>
      </c>
      <c r="P217" s="553"/>
      <c r="Q217" s="553">
        <f t="shared" si="160"/>
        <v>0</v>
      </c>
      <c r="R217" s="553">
        <f t="shared" si="164"/>
        <v>2</v>
      </c>
      <c r="S217" s="553">
        <f t="shared" si="161"/>
        <v>0.4</v>
      </c>
      <c r="T217" s="553"/>
      <c r="U217" s="553">
        <f t="shared" si="162"/>
        <v>0</v>
      </c>
      <c r="V217" s="553"/>
    </row>
    <row r="218" spans="2:22" ht="21" customHeight="1" x14ac:dyDescent="0.25">
      <c r="B218" s="562">
        <f t="shared" si="155"/>
        <v>5.0399999999999991</v>
      </c>
      <c r="C218" s="576" t="e">
        <f t="shared" si="118"/>
        <v>#REF!</v>
      </c>
      <c r="D218" s="502" t="s">
        <v>692</v>
      </c>
      <c r="E218" s="496"/>
      <c r="F218" s="497"/>
      <c r="G218" s="530" t="s">
        <v>11</v>
      </c>
      <c r="H218" s="553">
        <v>0.11</v>
      </c>
      <c r="I218" s="553"/>
      <c r="J218" s="553">
        <v>195</v>
      </c>
      <c r="K218" s="553">
        <f t="shared" si="156"/>
        <v>21.45</v>
      </c>
      <c r="L218" s="553">
        <f t="shared" si="157"/>
        <v>185</v>
      </c>
      <c r="M218" s="553">
        <f t="shared" si="158"/>
        <v>20.350000000000001</v>
      </c>
      <c r="N218" s="553">
        <f t="shared" si="163"/>
        <v>0</v>
      </c>
      <c r="O218" s="553">
        <f t="shared" si="159"/>
        <v>0</v>
      </c>
      <c r="P218" s="553"/>
      <c r="Q218" s="553">
        <f t="shared" si="160"/>
        <v>0</v>
      </c>
      <c r="R218" s="553">
        <f t="shared" si="164"/>
        <v>10</v>
      </c>
      <c r="S218" s="553">
        <f t="shared" si="161"/>
        <v>1.1000000000000001</v>
      </c>
      <c r="T218" s="553"/>
      <c r="U218" s="553">
        <f t="shared" si="162"/>
        <v>0</v>
      </c>
      <c r="V218" s="553"/>
    </row>
    <row r="219" spans="2:22" ht="21" customHeight="1" x14ac:dyDescent="0.25">
      <c r="B219" s="562">
        <f t="shared" si="155"/>
        <v>5.0499999999999989</v>
      </c>
      <c r="C219" s="576" t="e">
        <f t="shared" si="118"/>
        <v>#REF!</v>
      </c>
      <c r="D219" s="502" t="s">
        <v>693</v>
      </c>
      <c r="E219" s="496"/>
      <c r="F219" s="497"/>
      <c r="G219" s="530" t="s">
        <v>11</v>
      </c>
      <c r="H219" s="553">
        <v>0.18</v>
      </c>
      <c r="I219" s="553"/>
      <c r="J219" s="553">
        <v>39</v>
      </c>
      <c r="K219" s="553">
        <f t="shared" si="156"/>
        <v>7.02</v>
      </c>
      <c r="L219" s="553">
        <f t="shared" si="157"/>
        <v>37</v>
      </c>
      <c r="M219" s="553">
        <f t="shared" si="158"/>
        <v>6.66</v>
      </c>
      <c r="N219" s="553">
        <f t="shared" si="163"/>
        <v>0</v>
      </c>
      <c r="O219" s="553">
        <f t="shared" si="159"/>
        <v>0</v>
      </c>
      <c r="P219" s="553"/>
      <c r="Q219" s="553">
        <f t="shared" si="160"/>
        <v>0</v>
      </c>
      <c r="R219" s="553">
        <f t="shared" si="164"/>
        <v>2</v>
      </c>
      <c r="S219" s="553">
        <f t="shared" si="161"/>
        <v>0.36</v>
      </c>
      <c r="T219" s="553"/>
      <c r="U219" s="553">
        <f t="shared" si="162"/>
        <v>0</v>
      </c>
      <c r="V219" s="553"/>
    </row>
    <row r="220" spans="2:22" ht="21" customHeight="1" x14ac:dyDescent="0.25">
      <c r="B220" s="562">
        <f t="shared" si="155"/>
        <v>5.0599999999999987</v>
      </c>
      <c r="C220" s="576" t="e">
        <f t="shared" si="118"/>
        <v>#REF!</v>
      </c>
      <c r="D220" s="502" t="s">
        <v>694</v>
      </c>
      <c r="E220" s="498"/>
      <c r="F220" s="499"/>
      <c r="G220" s="530" t="s">
        <v>11</v>
      </c>
      <c r="H220" s="553">
        <v>0.12</v>
      </c>
      <c r="I220" s="553"/>
      <c r="J220" s="553">
        <v>78</v>
      </c>
      <c r="K220" s="553">
        <f t="shared" si="156"/>
        <v>9.36</v>
      </c>
      <c r="L220" s="553">
        <f t="shared" si="157"/>
        <v>74</v>
      </c>
      <c r="M220" s="553">
        <f t="shared" si="158"/>
        <v>8.8800000000000008</v>
      </c>
      <c r="N220" s="553">
        <f t="shared" si="163"/>
        <v>0</v>
      </c>
      <c r="O220" s="553">
        <f t="shared" si="159"/>
        <v>0</v>
      </c>
      <c r="P220" s="557"/>
      <c r="Q220" s="553">
        <f t="shared" si="160"/>
        <v>0</v>
      </c>
      <c r="R220" s="553">
        <f t="shared" si="164"/>
        <v>4</v>
      </c>
      <c r="S220" s="553">
        <f t="shared" si="161"/>
        <v>0.48</v>
      </c>
      <c r="T220" s="557"/>
      <c r="U220" s="553">
        <f t="shared" si="162"/>
        <v>0</v>
      </c>
      <c r="V220" s="557"/>
    </row>
    <row r="221" spans="2:22" ht="21" customHeight="1" x14ac:dyDescent="0.25">
      <c r="B221" s="562">
        <f t="shared" si="155"/>
        <v>5.0699999999999985</v>
      </c>
      <c r="C221" s="576" t="e">
        <f t="shared" si="118"/>
        <v>#REF!</v>
      </c>
      <c r="D221" s="502" t="s">
        <v>695</v>
      </c>
      <c r="E221" s="500"/>
      <c r="F221" s="494"/>
      <c r="G221" s="530" t="s">
        <v>11</v>
      </c>
      <c r="H221" s="553">
        <v>0.13</v>
      </c>
      <c r="I221" s="553"/>
      <c r="J221" s="553">
        <v>78</v>
      </c>
      <c r="K221" s="553">
        <f t="shared" si="156"/>
        <v>10.14</v>
      </c>
      <c r="L221" s="553">
        <f t="shared" si="157"/>
        <v>74</v>
      </c>
      <c r="M221" s="553">
        <f t="shared" si="158"/>
        <v>9.6199999999999992</v>
      </c>
      <c r="N221" s="553">
        <f t="shared" si="163"/>
        <v>0</v>
      </c>
      <c r="O221" s="553">
        <f t="shared" si="159"/>
        <v>0</v>
      </c>
      <c r="P221" s="553"/>
      <c r="Q221" s="553">
        <f t="shared" si="160"/>
        <v>0</v>
      </c>
      <c r="R221" s="553">
        <f t="shared" si="164"/>
        <v>4</v>
      </c>
      <c r="S221" s="553">
        <f t="shared" si="161"/>
        <v>0.52</v>
      </c>
      <c r="T221" s="553"/>
      <c r="U221" s="553">
        <f t="shared" si="162"/>
        <v>0</v>
      </c>
      <c r="V221" s="553"/>
    </row>
    <row r="222" spans="2:22" ht="21" customHeight="1" x14ac:dyDescent="0.25">
      <c r="B222" s="562">
        <f t="shared" si="155"/>
        <v>5.0799999999999983</v>
      </c>
      <c r="C222" s="576" t="e">
        <f t="shared" si="118"/>
        <v>#REF!</v>
      </c>
      <c r="D222" s="502" t="s">
        <v>696</v>
      </c>
      <c r="E222" s="496"/>
      <c r="F222" s="497"/>
      <c r="G222" s="532" t="s">
        <v>13</v>
      </c>
      <c r="H222" s="565">
        <v>0.14000000000000001</v>
      </c>
      <c r="I222" s="565"/>
      <c r="J222" s="565">
        <v>195</v>
      </c>
      <c r="K222" s="565">
        <f t="shared" si="156"/>
        <v>27.3</v>
      </c>
      <c r="L222" s="565">
        <f t="shared" si="157"/>
        <v>185</v>
      </c>
      <c r="M222" s="565">
        <f t="shared" si="158"/>
        <v>25.9</v>
      </c>
      <c r="N222" s="565">
        <f t="shared" si="163"/>
        <v>0</v>
      </c>
      <c r="O222" s="565">
        <f t="shared" si="159"/>
        <v>0</v>
      </c>
      <c r="P222" s="565"/>
      <c r="Q222" s="565">
        <f t="shared" si="160"/>
        <v>0</v>
      </c>
      <c r="R222" s="565">
        <f t="shared" si="164"/>
        <v>10</v>
      </c>
      <c r="S222" s="565">
        <f t="shared" si="161"/>
        <v>1.4</v>
      </c>
      <c r="T222" s="565"/>
      <c r="U222" s="565">
        <f t="shared" si="162"/>
        <v>0</v>
      </c>
      <c r="V222" s="565"/>
    </row>
    <row r="223" spans="2:22" ht="21" customHeight="1" x14ac:dyDescent="0.25">
      <c r="B223" s="456"/>
      <c r="C223" s="483" t="e">
        <f>+#REF!+1</f>
        <v>#REF!</v>
      </c>
      <c r="D223" s="537"/>
      <c r="E223" s="538"/>
      <c r="F223" s="544" t="str">
        <f>+"SUB-TOTAL   "&amp;B214&amp;":  "</f>
        <v xml:space="preserve">SUB-TOTAL   5:  </v>
      </c>
      <c r="G223" s="440"/>
      <c r="H223" s="438"/>
      <c r="I223" s="438"/>
      <c r="J223" s="438"/>
      <c r="K223" s="548">
        <f>+SUM(K215:K222)</f>
        <v>106.86</v>
      </c>
      <c r="L223" s="438"/>
      <c r="M223" s="548">
        <f>+SUM(M215:M222)</f>
        <v>101.38</v>
      </c>
      <c r="N223" s="438"/>
      <c r="O223" s="548">
        <f>+SUM(O215:O222)</f>
        <v>0</v>
      </c>
      <c r="P223" s="438"/>
      <c r="Q223" s="548">
        <f>+SUM(Q215:Q222)</f>
        <v>0</v>
      </c>
      <c r="R223" s="438"/>
      <c r="S223" s="548">
        <f>+SUM(S215:S222)</f>
        <v>5.48</v>
      </c>
      <c r="T223" s="438"/>
      <c r="U223" s="548">
        <f>+SUM(U215:U222)</f>
        <v>0</v>
      </c>
      <c r="V223" s="438"/>
    </row>
    <row r="224" spans="2:22" ht="21" customHeight="1" x14ac:dyDescent="0.25">
      <c r="B224" s="452">
        <f>+B214+1</f>
        <v>6</v>
      </c>
      <c r="C224" s="483" t="e">
        <f t="shared" si="118"/>
        <v>#REF!</v>
      </c>
      <c r="D224" s="453" t="s">
        <v>697</v>
      </c>
      <c r="E224" s="445"/>
      <c r="F224" s="446"/>
      <c r="G224" s="440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8"/>
      <c r="V224" s="438"/>
    </row>
    <row r="225" spans="2:22" ht="21" customHeight="1" x14ac:dyDescent="0.25">
      <c r="B225" s="562">
        <f>+B224+0.01</f>
        <v>6.01</v>
      </c>
      <c r="C225" s="581" t="e">
        <f>+C215+1</f>
        <v>#REF!</v>
      </c>
      <c r="D225" s="502" t="s">
        <v>698</v>
      </c>
      <c r="E225" s="496"/>
      <c r="F225" s="497"/>
      <c r="G225" s="530" t="s">
        <v>13</v>
      </c>
      <c r="H225" s="553">
        <v>0.08</v>
      </c>
      <c r="I225" s="553"/>
      <c r="J225" s="553">
        <v>1560</v>
      </c>
      <c r="K225" s="553">
        <f t="shared" ref="K225:K241" si="165">+ROUND($H225*J225,2)</f>
        <v>124.8</v>
      </c>
      <c r="L225" s="553">
        <f t="shared" ref="L225:L241" si="166">+L74</f>
        <v>1480</v>
      </c>
      <c r="M225" s="553">
        <f t="shared" ref="M225:M241" si="167">+ROUND($H225*L225,2)</f>
        <v>118.4</v>
      </c>
      <c r="N225" s="553">
        <f t="shared" ref="N225:N241" si="168">+IF($L225-$J225&gt;=0,$L225-$J225,0)</f>
        <v>0</v>
      </c>
      <c r="O225" s="553">
        <f t="shared" ref="O225:O241" si="169">+ROUND($H225*N225,2)</f>
        <v>0</v>
      </c>
      <c r="P225" s="553"/>
      <c r="Q225" s="553">
        <f t="shared" ref="Q225:Q241" si="170">+ROUND($H225*P225,2)</f>
        <v>0</v>
      </c>
      <c r="R225" s="553">
        <f>+IF($L225-$J225&lt;=0,-$L225+$J225,0)</f>
        <v>80</v>
      </c>
      <c r="S225" s="553">
        <f t="shared" ref="S225:S241" si="171">+ROUND($H225*R225,2)</f>
        <v>6.4</v>
      </c>
      <c r="T225" s="553"/>
      <c r="U225" s="553">
        <f t="shared" ref="U225:U241" si="172">+ROUND($H225*T225,2)</f>
        <v>0</v>
      </c>
      <c r="V225" s="553"/>
    </row>
    <row r="226" spans="2:22" ht="21" customHeight="1" x14ac:dyDescent="0.25">
      <c r="B226" s="562">
        <f t="shared" ref="B226:B239" si="173">+B225+0.01</f>
        <v>6.02</v>
      </c>
      <c r="C226" s="576" t="e">
        <f t="shared" si="118"/>
        <v>#REF!</v>
      </c>
      <c r="D226" s="502" t="s">
        <v>699</v>
      </c>
      <c r="E226" s="496"/>
      <c r="F226" s="497"/>
      <c r="G226" s="530" t="s">
        <v>13</v>
      </c>
      <c r="H226" s="553">
        <v>0.1</v>
      </c>
      <c r="I226" s="553"/>
      <c r="J226" s="553">
        <v>1170</v>
      </c>
      <c r="K226" s="553">
        <f t="shared" si="165"/>
        <v>117</v>
      </c>
      <c r="L226" s="553">
        <f t="shared" si="166"/>
        <v>1110</v>
      </c>
      <c r="M226" s="553">
        <f t="shared" si="167"/>
        <v>111</v>
      </c>
      <c r="N226" s="553">
        <f t="shared" si="168"/>
        <v>0</v>
      </c>
      <c r="O226" s="553">
        <f t="shared" si="169"/>
        <v>0</v>
      </c>
      <c r="P226" s="553"/>
      <c r="Q226" s="553">
        <f t="shared" si="170"/>
        <v>0</v>
      </c>
      <c r="R226" s="553">
        <f t="shared" ref="R226:R228" si="174">+IF($L226-$J226&lt;=0,-$L226+$J226,0)</f>
        <v>60</v>
      </c>
      <c r="S226" s="553">
        <f t="shared" si="171"/>
        <v>6</v>
      </c>
      <c r="T226" s="553"/>
      <c r="U226" s="553">
        <f t="shared" si="172"/>
        <v>0</v>
      </c>
      <c r="V226" s="553"/>
    </row>
    <row r="227" spans="2:22" ht="21" customHeight="1" x14ac:dyDescent="0.25">
      <c r="B227" s="562">
        <f t="shared" si="173"/>
        <v>6.0299999999999994</v>
      </c>
      <c r="C227" s="576" t="e">
        <f t="shared" si="118"/>
        <v>#REF!</v>
      </c>
      <c r="D227" s="502" t="s">
        <v>700</v>
      </c>
      <c r="E227" s="496"/>
      <c r="F227" s="497"/>
      <c r="G227" s="530" t="s">
        <v>13</v>
      </c>
      <c r="H227" s="553">
        <v>0.1</v>
      </c>
      <c r="I227" s="553"/>
      <c r="J227" s="553">
        <v>585</v>
      </c>
      <c r="K227" s="553">
        <f t="shared" si="165"/>
        <v>58.5</v>
      </c>
      <c r="L227" s="553">
        <f t="shared" si="166"/>
        <v>555</v>
      </c>
      <c r="M227" s="553">
        <f t="shared" si="167"/>
        <v>55.5</v>
      </c>
      <c r="N227" s="553">
        <f t="shared" si="168"/>
        <v>0</v>
      </c>
      <c r="O227" s="553">
        <f t="shared" si="169"/>
        <v>0</v>
      </c>
      <c r="P227" s="553"/>
      <c r="Q227" s="553">
        <f t="shared" si="170"/>
        <v>0</v>
      </c>
      <c r="R227" s="553">
        <f t="shared" si="174"/>
        <v>30</v>
      </c>
      <c r="S227" s="553">
        <f t="shared" si="171"/>
        <v>3</v>
      </c>
      <c r="T227" s="553"/>
      <c r="U227" s="553">
        <f t="shared" si="172"/>
        <v>0</v>
      </c>
      <c r="V227" s="553"/>
    </row>
    <row r="228" spans="2:22" ht="21" customHeight="1" x14ac:dyDescent="0.25">
      <c r="B228" s="562">
        <f t="shared" si="173"/>
        <v>6.0399999999999991</v>
      </c>
      <c r="C228" s="576" t="e">
        <f t="shared" si="118"/>
        <v>#REF!</v>
      </c>
      <c r="D228" s="502" t="s">
        <v>701</v>
      </c>
      <c r="E228" s="496"/>
      <c r="F228" s="497"/>
      <c r="G228" s="530" t="s">
        <v>13</v>
      </c>
      <c r="H228" s="553">
        <v>0.18</v>
      </c>
      <c r="I228" s="553"/>
      <c r="J228" s="553">
        <v>117</v>
      </c>
      <c r="K228" s="553">
        <f t="shared" si="165"/>
        <v>21.06</v>
      </c>
      <c r="L228" s="553">
        <f t="shared" si="166"/>
        <v>111</v>
      </c>
      <c r="M228" s="553">
        <f t="shared" si="167"/>
        <v>19.98</v>
      </c>
      <c r="N228" s="553">
        <f t="shared" si="168"/>
        <v>0</v>
      </c>
      <c r="O228" s="553">
        <f t="shared" si="169"/>
        <v>0</v>
      </c>
      <c r="P228" s="553"/>
      <c r="Q228" s="553">
        <f t="shared" si="170"/>
        <v>0</v>
      </c>
      <c r="R228" s="553">
        <f t="shared" si="174"/>
        <v>6</v>
      </c>
      <c r="S228" s="553">
        <f t="shared" si="171"/>
        <v>1.08</v>
      </c>
      <c r="T228" s="553"/>
      <c r="U228" s="553">
        <f t="shared" si="172"/>
        <v>0</v>
      </c>
      <c r="V228" s="553"/>
    </row>
    <row r="229" spans="2:22" ht="21" customHeight="1" x14ac:dyDescent="0.25">
      <c r="B229" s="562">
        <f t="shared" si="173"/>
        <v>6.0499999999999989</v>
      </c>
      <c r="C229" s="581" t="e">
        <f>+C219+1</f>
        <v>#REF!</v>
      </c>
      <c r="D229" s="502" t="s">
        <v>702</v>
      </c>
      <c r="E229" s="496"/>
      <c r="F229" s="497"/>
      <c r="G229" s="530" t="s">
        <v>13</v>
      </c>
      <c r="H229" s="553">
        <v>0.18</v>
      </c>
      <c r="I229" s="553"/>
      <c r="J229" s="553">
        <v>117</v>
      </c>
      <c r="K229" s="553">
        <f t="shared" si="165"/>
        <v>21.06</v>
      </c>
      <c r="L229" s="553">
        <f t="shared" si="166"/>
        <v>111</v>
      </c>
      <c r="M229" s="553">
        <f t="shared" si="167"/>
        <v>19.98</v>
      </c>
      <c r="N229" s="553">
        <f t="shared" si="168"/>
        <v>0</v>
      </c>
      <c r="O229" s="553">
        <f t="shared" si="169"/>
        <v>0</v>
      </c>
      <c r="P229" s="553"/>
      <c r="Q229" s="553">
        <f t="shared" si="170"/>
        <v>0</v>
      </c>
      <c r="R229" s="553">
        <f>+IF($L229-$J229&lt;=0,-$L229+$J229,0)</f>
        <v>6</v>
      </c>
      <c r="S229" s="553">
        <f t="shared" si="171"/>
        <v>1.08</v>
      </c>
      <c r="T229" s="553"/>
      <c r="U229" s="553">
        <f t="shared" si="172"/>
        <v>0</v>
      </c>
      <c r="V229" s="553"/>
    </row>
    <row r="230" spans="2:22" ht="21" customHeight="1" x14ac:dyDescent="0.25">
      <c r="B230" s="562">
        <f t="shared" si="173"/>
        <v>6.0599999999999987</v>
      </c>
      <c r="C230" s="576" t="e">
        <f t="shared" ref="C230:C261" si="175">+C229+1</f>
        <v>#REF!</v>
      </c>
      <c r="D230" s="502" t="s">
        <v>703</v>
      </c>
      <c r="E230" s="496"/>
      <c r="F230" s="497"/>
      <c r="G230" s="530" t="s">
        <v>13</v>
      </c>
      <c r="H230" s="553">
        <v>7.0000000000000007E-2</v>
      </c>
      <c r="I230" s="553"/>
      <c r="J230" s="553">
        <v>117</v>
      </c>
      <c r="K230" s="553">
        <f t="shared" si="165"/>
        <v>8.19</v>
      </c>
      <c r="L230" s="553">
        <f t="shared" si="166"/>
        <v>111</v>
      </c>
      <c r="M230" s="553">
        <f t="shared" si="167"/>
        <v>7.77</v>
      </c>
      <c r="N230" s="553">
        <f t="shared" si="168"/>
        <v>0</v>
      </c>
      <c r="O230" s="553">
        <f t="shared" si="169"/>
        <v>0</v>
      </c>
      <c r="P230" s="553"/>
      <c r="Q230" s="553">
        <f t="shared" si="170"/>
        <v>0</v>
      </c>
      <c r="R230" s="553">
        <f t="shared" ref="R230:R232" si="176">+IF($L230-$J230&lt;=0,-$L230+$J230,0)</f>
        <v>6</v>
      </c>
      <c r="S230" s="553">
        <f t="shared" si="171"/>
        <v>0.42</v>
      </c>
      <c r="T230" s="553"/>
      <c r="U230" s="553">
        <f t="shared" si="172"/>
        <v>0</v>
      </c>
      <c r="V230" s="553"/>
    </row>
    <row r="231" spans="2:22" ht="21" customHeight="1" x14ac:dyDescent="0.25">
      <c r="B231" s="562">
        <f t="shared" si="173"/>
        <v>6.0699999999999985</v>
      </c>
      <c r="C231" s="576" t="e">
        <f t="shared" si="175"/>
        <v>#REF!</v>
      </c>
      <c r="D231" s="502" t="s">
        <v>704</v>
      </c>
      <c r="E231" s="496"/>
      <c r="F231" s="497"/>
      <c r="G231" s="530" t="s">
        <v>13</v>
      </c>
      <c r="H231" s="553">
        <v>0.1</v>
      </c>
      <c r="I231" s="553"/>
      <c r="J231" s="553">
        <v>117</v>
      </c>
      <c r="K231" s="553">
        <f t="shared" si="165"/>
        <v>11.7</v>
      </c>
      <c r="L231" s="553">
        <f t="shared" si="166"/>
        <v>111</v>
      </c>
      <c r="M231" s="553">
        <f t="shared" si="167"/>
        <v>11.1</v>
      </c>
      <c r="N231" s="553">
        <f t="shared" si="168"/>
        <v>0</v>
      </c>
      <c r="O231" s="553">
        <f t="shared" si="169"/>
        <v>0</v>
      </c>
      <c r="P231" s="553"/>
      <c r="Q231" s="553">
        <f t="shared" si="170"/>
        <v>0</v>
      </c>
      <c r="R231" s="553">
        <f t="shared" si="176"/>
        <v>6</v>
      </c>
      <c r="S231" s="553">
        <f t="shared" si="171"/>
        <v>0.6</v>
      </c>
      <c r="T231" s="553"/>
      <c r="U231" s="553">
        <f t="shared" si="172"/>
        <v>0</v>
      </c>
      <c r="V231" s="553"/>
    </row>
    <row r="232" spans="2:22" ht="21" customHeight="1" x14ac:dyDescent="0.25">
      <c r="B232" s="562">
        <f t="shared" si="173"/>
        <v>6.0799999999999983</v>
      </c>
      <c r="C232" s="576" t="e">
        <f t="shared" si="175"/>
        <v>#REF!</v>
      </c>
      <c r="D232" s="502" t="s">
        <v>14</v>
      </c>
      <c r="E232" s="496"/>
      <c r="F232" s="497"/>
      <c r="G232" s="530" t="s">
        <v>13</v>
      </c>
      <c r="H232" s="553">
        <v>0.18</v>
      </c>
      <c r="I232" s="553"/>
      <c r="J232" s="553">
        <v>117</v>
      </c>
      <c r="K232" s="553">
        <f t="shared" si="165"/>
        <v>21.06</v>
      </c>
      <c r="L232" s="553">
        <f t="shared" si="166"/>
        <v>111</v>
      </c>
      <c r="M232" s="553">
        <f t="shared" si="167"/>
        <v>19.98</v>
      </c>
      <c r="N232" s="553">
        <f t="shared" si="168"/>
        <v>0</v>
      </c>
      <c r="O232" s="553">
        <f t="shared" si="169"/>
        <v>0</v>
      </c>
      <c r="P232" s="553"/>
      <c r="Q232" s="553">
        <f t="shared" si="170"/>
        <v>0</v>
      </c>
      <c r="R232" s="553">
        <f t="shared" si="176"/>
        <v>6</v>
      </c>
      <c r="S232" s="553">
        <f t="shared" si="171"/>
        <v>1.08</v>
      </c>
      <c r="T232" s="553"/>
      <c r="U232" s="553">
        <f t="shared" si="172"/>
        <v>0</v>
      </c>
      <c r="V232" s="553"/>
    </row>
    <row r="233" spans="2:22" ht="21" customHeight="1" x14ac:dyDescent="0.25">
      <c r="B233" s="562">
        <f t="shared" si="173"/>
        <v>6.0899999999999981</v>
      </c>
      <c r="C233" s="581" t="e">
        <f>+#REF!+1</f>
        <v>#REF!</v>
      </c>
      <c r="D233" s="502" t="s">
        <v>705</v>
      </c>
      <c r="E233" s="496"/>
      <c r="F233" s="497"/>
      <c r="G233" s="530" t="s">
        <v>13</v>
      </c>
      <c r="H233" s="553">
        <v>0.08</v>
      </c>
      <c r="I233" s="553"/>
      <c r="J233" s="553">
        <v>156</v>
      </c>
      <c r="K233" s="553">
        <f t="shared" si="165"/>
        <v>12.48</v>
      </c>
      <c r="L233" s="553">
        <f t="shared" si="166"/>
        <v>148</v>
      </c>
      <c r="M233" s="553">
        <f t="shared" si="167"/>
        <v>11.84</v>
      </c>
      <c r="N233" s="553">
        <f t="shared" si="168"/>
        <v>0</v>
      </c>
      <c r="O233" s="553">
        <f t="shared" si="169"/>
        <v>0</v>
      </c>
      <c r="P233" s="553"/>
      <c r="Q233" s="553">
        <f t="shared" si="170"/>
        <v>0</v>
      </c>
      <c r="R233" s="553">
        <f>+IF($L233-$J233&lt;=0,-$L233+$J233,0)</f>
        <v>8</v>
      </c>
      <c r="S233" s="553">
        <f t="shared" si="171"/>
        <v>0.64</v>
      </c>
      <c r="T233" s="553"/>
      <c r="U233" s="553">
        <f t="shared" si="172"/>
        <v>0</v>
      </c>
      <c r="V233" s="553"/>
    </row>
    <row r="234" spans="2:22" ht="21" customHeight="1" x14ac:dyDescent="0.25">
      <c r="B234" s="562">
        <f t="shared" si="173"/>
        <v>6.0999999999999979</v>
      </c>
      <c r="C234" s="576" t="e">
        <f t="shared" si="175"/>
        <v>#REF!</v>
      </c>
      <c r="D234" s="502" t="s">
        <v>706</v>
      </c>
      <c r="E234" s="496"/>
      <c r="F234" s="497"/>
      <c r="G234" s="530" t="s">
        <v>13</v>
      </c>
      <c r="H234" s="553">
        <v>0.18</v>
      </c>
      <c r="I234" s="553"/>
      <c r="J234" s="553">
        <v>39</v>
      </c>
      <c r="K234" s="553">
        <f t="shared" si="165"/>
        <v>7.02</v>
      </c>
      <c r="L234" s="553">
        <f t="shared" si="166"/>
        <v>37</v>
      </c>
      <c r="M234" s="553">
        <f t="shared" si="167"/>
        <v>6.66</v>
      </c>
      <c r="N234" s="553">
        <f t="shared" si="168"/>
        <v>0</v>
      </c>
      <c r="O234" s="553">
        <f t="shared" si="169"/>
        <v>0</v>
      </c>
      <c r="P234" s="553"/>
      <c r="Q234" s="553">
        <f t="shared" si="170"/>
        <v>0</v>
      </c>
      <c r="R234" s="553">
        <f t="shared" ref="R234:R236" si="177">+IF($L234-$J234&lt;=0,-$L234+$J234,0)</f>
        <v>2</v>
      </c>
      <c r="S234" s="553">
        <f t="shared" si="171"/>
        <v>0.36</v>
      </c>
      <c r="T234" s="553"/>
      <c r="U234" s="553">
        <f t="shared" si="172"/>
        <v>0</v>
      </c>
      <c r="V234" s="553"/>
    </row>
    <row r="235" spans="2:22" ht="21" customHeight="1" x14ac:dyDescent="0.25">
      <c r="B235" s="562">
        <f t="shared" si="173"/>
        <v>6.1099999999999977</v>
      </c>
      <c r="C235" s="576" t="e">
        <f t="shared" si="175"/>
        <v>#REF!</v>
      </c>
      <c r="D235" s="502" t="s">
        <v>707</v>
      </c>
      <c r="E235" s="496"/>
      <c r="F235" s="497"/>
      <c r="G235" s="530" t="s">
        <v>13</v>
      </c>
      <c r="H235" s="553">
        <v>0.08</v>
      </c>
      <c r="I235" s="553"/>
      <c r="J235" s="553">
        <v>117</v>
      </c>
      <c r="K235" s="553">
        <f t="shared" si="165"/>
        <v>9.36</v>
      </c>
      <c r="L235" s="553">
        <f t="shared" si="166"/>
        <v>111</v>
      </c>
      <c r="M235" s="553">
        <f t="shared" si="167"/>
        <v>8.8800000000000008</v>
      </c>
      <c r="N235" s="553">
        <f t="shared" si="168"/>
        <v>0</v>
      </c>
      <c r="O235" s="553">
        <f t="shared" si="169"/>
        <v>0</v>
      </c>
      <c r="P235" s="553"/>
      <c r="Q235" s="553">
        <f t="shared" si="170"/>
        <v>0</v>
      </c>
      <c r="R235" s="553">
        <f t="shared" si="177"/>
        <v>6</v>
      </c>
      <c r="S235" s="553">
        <f t="shared" si="171"/>
        <v>0.48</v>
      </c>
      <c r="T235" s="553"/>
      <c r="U235" s="553">
        <f t="shared" si="172"/>
        <v>0</v>
      </c>
      <c r="V235" s="553"/>
    </row>
    <row r="236" spans="2:22" ht="21" customHeight="1" x14ac:dyDescent="0.25">
      <c r="B236" s="562">
        <f t="shared" si="173"/>
        <v>6.1199999999999974</v>
      </c>
      <c r="C236" s="576" t="e">
        <f t="shared" si="175"/>
        <v>#REF!</v>
      </c>
      <c r="D236" s="502" t="s">
        <v>708</v>
      </c>
      <c r="E236" s="496"/>
      <c r="F236" s="497"/>
      <c r="G236" s="530" t="s">
        <v>13</v>
      </c>
      <c r="H236" s="553">
        <v>0.12</v>
      </c>
      <c r="I236" s="553"/>
      <c r="J236" s="553">
        <v>117</v>
      </c>
      <c r="K236" s="553">
        <f t="shared" si="165"/>
        <v>14.04</v>
      </c>
      <c r="L236" s="553">
        <f t="shared" si="166"/>
        <v>111</v>
      </c>
      <c r="M236" s="553">
        <f t="shared" si="167"/>
        <v>13.32</v>
      </c>
      <c r="N236" s="553">
        <f t="shared" si="168"/>
        <v>0</v>
      </c>
      <c r="O236" s="553">
        <f t="shared" si="169"/>
        <v>0</v>
      </c>
      <c r="P236" s="553"/>
      <c r="Q236" s="553">
        <f t="shared" si="170"/>
        <v>0</v>
      </c>
      <c r="R236" s="553">
        <f t="shared" si="177"/>
        <v>6</v>
      </c>
      <c r="S236" s="553">
        <f t="shared" si="171"/>
        <v>0.72</v>
      </c>
      <c r="T236" s="553"/>
      <c r="U236" s="553">
        <f t="shared" si="172"/>
        <v>0</v>
      </c>
      <c r="V236" s="553"/>
    </row>
    <row r="237" spans="2:22" ht="21" customHeight="1" x14ac:dyDescent="0.25">
      <c r="B237" s="562">
        <f t="shared" si="173"/>
        <v>6.1299999999999972</v>
      </c>
      <c r="C237" s="581" t="e">
        <f>+C224+1</f>
        <v>#REF!</v>
      </c>
      <c r="D237" s="502" t="s">
        <v>693</v>
      </c>
      <c r="E237" s="496"/>
      <c r="F237" s="497"/>
      <c r="G237" s="530" t="s">
        <v>13</v>
      </c>
      <c r="H237" s="553">
        <v>0.18</v>
      </c>
      <c r="I237" s="553"/>
      <c r="J237" s="553">
        <v>390</v>
      </c>
      <c r="K237" s="553">
        <f t="shared" si="165"/>
        <v>70.2</v>
      </c>
      <c r="L237" s="553">
        <f t="shared" si="166"/>
        <v>370</v>
      </c>
      <c r="M237" s="553">
        <f t="shared" si="167"/>
        <v>66.599999999999994</v>
      </c>
      <c r="N237" s="553">
        <f t="shared" si="168"/>
        <v>0</v>
      </c>
      <c r="O237" s="553">
        <f t="shared" si="169"/>
        <v>0</v>
      </c>
      <c r="P237" s="553"/>
      <c r="Q237" s="553">
        <f t="shared" si="170"/>
        <v>0</v>
      </c>
      <c r="R237" s="553">
        <f>+IF($L237-$J237&lt;=0,-$L237+$J237,0)</f>
        <v>20</v>
      </c>
      <c r="S237" s="553">
        <f t="shared" si="171"/>
        <v>3.6</v>
      </c>
      <c r="T237" s="553"/>
      <c r="U237" s="553">
        <f t="shared" si="172"/>
        <v>0</v>
      </c>
      <c r="V237" s="553"/>
    </row>
    <row r="238" spans="2:22" ht="21" customHeight="1" x14ac:dyDescent="0.25">
      <c r="B238" s="562">
        <f t="shared" si="173"/>
        <v>6.139999999999997</v>
      </c>
      <c r="C238" s="576" t="e">
        <f t="shared" si="175"/>
        <v>#REF!</v>
      </c>
      <c r="D238" s="502" t="s">
        <v>694</v>
      </c>
      <c r="E238" s="496"/>
      <c r="F238" s="497"/>
      <c r="G238" s="530" t="s">
        <v>13</v>
      </c>
      <c r="H238" s="553">
        <v>0.12</v>
      </c>
      <c r="I238" s="553"/>
      <c r="J238" s="553">
        <v>585</v>
      </c>
      <c r="K238" s="553">
        <f t="shared" si="165"/>
        <v>70.2</v>
      </c>
      <c r="L238" s="553">
        <f t="shared" si="166"/>
        <v>555</v>
      </c>
      <c r="M238" s="553">
        <f t="shared" si="167"/>
        <v>66.599999999999994</v>
      </c>
      <c r="N238" s="553">
        <f t="shared" si="168"/>
        <v>0</v>
      </c>
      <c r="O238" s="553">
        <f t="shared" si="169"/>
        <v>0</v>
      </c>
      <c r="P238" s="553"/>
      <c r="Q238" s="553">
        <f t="shared" si="170"/>
        <v>0</v>
      </c>
      <c r="R238" s="553">
        <f t="shared" ref="R238:R241" si="178">+IF($L238-$J238&lt;=0,-$L238+$J238,0)</f>
        <v>30</v>
      </c>
      <c r="S238" s="553">
        <f t="shared" si="171"/>
        <v>3.6</v>
      </c>
      <c r="T238" s="553"/>
      <c r="U238" s="553">
        <f t="shared" si="172"/>
        <v>0</v>
      </c>
      <c r="V238" s="553"/>
    </row>
    <row r="239" spans="2:22" ht="21" customHeight="1" x14ac:dyDescent="0.25">
      <c r="B239" s="562">
        <f t="shared" si="173"/>
        <v>6.1499999999999968</v>
      </c>
      <c r="C239" s="576" t="e">
        <f t="shared" si="175"/>
        <v>#REF!</v>
      </c>
      <c r="D239" s="502" t="s">
        <v>709</v>
      </c>
      <c r="E239" s="496"/>
      <c r="F239" s="497"/>
      <c r="G239" s="530" t="s">
        <v>13</v>
      </c>
      <c r="H239" s="553">
        <v>0.08</v>
      </c>
      <c r="I239" s="553"/>
      <c r="J239" s="553">
        <v>1014</v>
      </c>
      <c r="K239" s="553">
        <f t="shared" si="165"/>
        <v>81.12</v>
      </c>
      <c r="L239" s="553">
        <f t="shared" si="166"/>
        <v>962</v>
      </c>
      <c r="M239" s="553">
        <f t="shared" si="167"/>
        <v>76.959999999999994</v>
      </c>
      <c r="N239" s="553">
        <f t="shared" si="168"/>
        <v>0</v>
      </c>
      <c r="O239" s="553">
        <f t="shared" si="169"/>
        <v>0</v>
      </c>
      <c r="P239" s="553"/>
      <c r="Q239" s="553">
        <f t="shared" si="170"/>
        <v>0</v>
      </c>
      <c r="R239" s="553">
        <f t="shared" si="178"/>
        <v>52</v>
      </c>
      <c r="S239" s="553">
        <f t="shared" si="171"/>
        <v>4.16</v>
      </c>
      <c r="T239" s="553"/>
      <c r="U239" s="553">
        <f t="shared" si="172"/>
        <v>0</v>
      </c>
      <c r="V239" s="553"/>
    </row>
    <row r="240" spans="2:22" ht="21" customHeight="1" x14ac:dyDescent="0.25">
      <c r="B240" s="562">
        <f>+B239+0.01</f>
        <v>6.1599999999999966</v>
      </c>
      <c r="C240" s="576" t="e">
        <f>+C238+1</f>
        <v>#REF!</v>
      </c>
      <c r="D240" s="502" t="s">
        <v>710</v>
      </c>
      <c r="E240" s="496"/>
      <c r="F240" s="497"/>
      <c r="G240" s="530" t="s">
        <v>13</v>
      </c>
      <c r="H240" s="553">
        <v>0.08</v>
      </c>
      <c r="I240" s="553"/>
      <c r="J240" s="553">
        <v>1755</v>
      </c>
      <c r="K240" s="553">
        <f t="shared" si="165"/>
        <v>140.4</v>
      </c>
      <c r="L240" s="553">
        <f t="shared" si="166"/>
        <v>1665</v>
      </c>
      <c r="M240" s="553">
        <f t="shared" si="167"/>
        <v>133.19999999999999</v>
      </c>
      <c r="N240" s="553">
        <f t="shared" si="168"/>
        <v>0</v>
      </c>
      <c r="O240" s="553">
        <f t="shared" si="169"/>
        <v>0</v>
      </c>
      <c r="P240" s="553"/>
      <c r="Q240" s="553">
        <f t="shared" si="170"/>
        <v>0</v>
      </c>
      <c r="R240" s="553">
        <f t="shared" si="178"/>
        <v>90</v>
      </c>
      <c r="S240" s="553">
        <f t="shared" si="171"/>
        <v>7.2</v>
      </c>
      <c r="T240" s="553"/>
      <c r="U240" s="553">
        <f t="shared" si="172"/>
        <v>0</v>
      </c>
      <c r="V240" s="553"/>
    </row>
    <row r="241" spans="2:22" ht="21" customHeight="1" x14ac:dyDescent="0.25">
      <c r="B241" s="562">
        <f>+B240+0.01</f>
        <v>6.1699999999999964</v>
      </c>
      <c r="C241" s="576" t="e">
        <f>+C239+1</f>
        <v>#REF!</v>
      </c>
      <c r="D241" s="502" t="s">
        <v>711</v>
      </c>
      <c r="E241" s="496"/>
      <c r="F241" s="497"/>
      <c r="G241" s="532" t="s">
        <v>13</v>
      </c>
      <c r="H241" s="565">
        <v>7.0000000000000007E-2</v>
      </c>
      <c r="I241" s="565"/>
      <c r="J241" s="565">
        <v>195</v>
      </c>
      <c r="K241" s="565">
        <f t="shared" si="165"/>
        <v>13.65</v>
      </c>
      <c r="L241" s="565">
        <f t="shared" si="166"/>
        <v>185</v>
      </c>
      <c r="M241" s="565">
        <f t="shared" si="167"/>
        <v>12.95</v>
      </c>
      <c r="N241" s="565">
        <f t="shared" si="168"/>
        <v>0</v>
      </c>
      <c r="O241" s="565">
        <f t="shared" si="169"/>
        <v>0</v>
      </c>
      <c r="P241" s="565"/>
      <c r="Q241" s="565">
        <f t="shared" si="170"/>
        <v>0</v>
      </c>
      <c r="R241" s="565">
        <f t="shared" si="178"/>
        <v>10</v>
      </c>
      <c r="S241" s="565">
        <f t="shared" si="171"/>
        <v>0.7</v>
      </c>
      <c r="T241" s="565"/>
      <c r="U241" s="565">
        <f t="shared" si="172"/>
        <v>0</v>
      </c>
      <c r="V241" s="565"/>
    </row>
    <row r="242" spans="2:22" ht="21" customHeight="1" x14ac:dyDescent="0.25">
      <c r="B242" s="456"/>
      <c r="C242" s="466" t="e">
        <f>+C241+1</f>
        <v>#REF!</v>
      </c>
      <c r="D242" s="743"/>
      <c r="E242" s="445"/>
      <c r="F242" s="533" t="str">
        <f>+"SUB-TOTAL   "&amp;B224&amp;":  "</f>
        <v xml:space="preserve">SUB-TOTAL   6:  </v>
      </c>
      <c r="G242" s="440"/>
      <c r="H242" s="438"/>
      <c r="I242" s="438"/>
      <c r="J242" s="438"/>
      <c r="K242" s="536">
        <f>+SUM(K225:K241)</f>
        <v>801.84</v>
      </c>
      <c r="L242" s="438"/>
      <c r="M242" s="536">
        <f>+SUM(M225:M241)</f>
        <v>760.72</v>
      </c>
      <c r="N242" s="536"/>
      <c r="O242" s="536">
        <f>+SUM(O225:O241)</f>
        <v>0</v>
      </c>
      <c r="P242" s="536"/>
      <c r="Q242" s="536">
        <f>+SUM(Q225:Q241)</f>
        <v>0</v>
      </c>
      <c r="R242" s="536"/>
      <c r="S242" s="536">
        <f>+SUM(S225:S241)</f>
        <v>41.120000000000012</v>
      </c>
      <c r="T242" s="536"/>
      <c r="U242" s="536">
        <f>+SUM(U225:U241)</f>
        <v>0</v>
      </c>
      <c r="V242" s="536"/>
    </row>
    <row r="243" spans="2:22" ht="21" customHeight="1" x14ac:dyDescent="0.25">
      <c r="B243" s="452">
        <f>+B224+1</f>
        <v>7</v>
      </c>
      <c r="C243" s="466" t="e">
        <f t="shared" si="175"/>
        <v>#REF!</v>
      </c>
      <c r="D243" s="453" t="s">
        <v>712</v>
      </c>
      <c r="E243" s="460"/>
      <c r="F243" s="461"/>
      <c r="G243" s="440"/>
      <c r="H243" s="438"/>
      <c r="I243" s="438"/>
      <c r="J243" s="438"/>
      <c r="K243" s="536"/>
      <c r="L243" s="438"/>
      <c r="M243" s="536"/>
      <c r="N243" s="536"/>
      <c r="O243" s="536"/>
      <c r="P243" s="536"/>
      <c r="Q243" s="536"/>
      <c r="R243" s="536"/>
      <c r="S243" s="536"/>
      <c r="T243" s="536"/>
      <c r="U243" s="536"/>
      <c r="V243" s="536"/>
    </row>
    <row r="244" spans="2:22" ht="21" customHeight="1" x14ac:dyDescent="0.25">
      <c r="B244" s="554">
        <f t="shared" ref="B244:B248" si="179">+B243+0.01</f>
        <v>7.01</v>
      </c>
      <c r="C244" s="584" t="e">
        <f t="shared" si="175"/>
        <v>#REF!</v>
      </c>
      <c r="D244" s="495" t="s">
        <v>713</v>
      </c>
      <c r="E244" s="500"/>
      <c r="F244" s="494"/>
      <c r="G244" s="530" t="s">
        <v>11</v>
      </c>
      <c r="H244" s="553">
        <v>0.24</v>
      </c>
      <c r="I244" s="553"/>
      <c r="J244" s="553">
        <v>585</v>
      </c>
      <c r="K244" s="553">
        <f t="shared" ref="K244:K248" si="180">+ROUND($H244*J244,2)</f>
        <v>140.4</v>
      </c>
      <c r="L244" s="553">
        <f>+L93</f>
        <v>555</v>
      </c>
      <c r="M244" s="553">
        <f t="shared" ref="M244:M248" si="181">+ROUND($H244*L244,2)</f>
        <v>133.19999999999999</v>
      </c>
      <c r="N244" s="553">
        <f>+IF($L244-$J244&gt;=0,$L244-$J244,0)</f>
        <v>0</v>
      </c>
      <c r="O244" s="553">
        <f t="shared" ref="O244:O248" si="182">+ROUND($H244*N244,2)</f>
        <v>0</v>
      </c>
      <c r="P244" s="553"/>
      <c r="Q244" s="553">
        <f t="shared" ref="Q244:Q248" si="183">+ROUND($H244*P244,2)</f>
        <v>0</v>
      </c>
      <c r="R244" s="553">
        <f>+IF($L244-$J244&lt;=0,-$L244+$J244,0)</f>
        <v>30</v>
      </c>
      <c r="S244" s="553">
        <f t="shared" ref="S244:S248" si="184">+ROUND($H244*R244,2)</f>
        <v>7.2</v>
      </c>
      <c r="T244" s="553"/>
      <c r="U244" s="553">
        <f t="shared" ref="U244:U248" si="185">+ROUND($H244*T244,2)</f>
        <v>0</v>
      </c>
      <c r="V244" s="553"/>
    </row>
    <row r="245" spans="2:22" ht="21" customHeight="1" x14ac:dyDescent="0.25">
      <c r="B245" s="554">
        <f t="shared" si="179"/>
        <v>7.02</v>
      </c>
      <c r="C245" s="584" t="e">
        <f t="shared" si="175"/>
        <v>#REF!</v>
      </c>
      <c r="D245" s="495" t="s">
        <v>52</v>
      </c>
      <c r="E245" s="496"/>
      <c r="F245" s="497"/>
      <c r="G245" s="530" t="s">
        <v>11</v>
      </c>
      <c r="H245" s="553">
        <v>0.34</v>
      </c>
      <c r="I245" s="553"/>
      <c r="J245" s="553">
        <v>39</v>
      </c>
      <c r="K245" s="553">
        <f t="shared" si="180"/>
        <v>13.26</v>
      </c>
      <c r="L245" s="553">
        <f>+L94</f>
        <v>37</v>
      </c>
      <c r="M245" s="553">
        <f t="shared" si="181"/>
        <v>12.58</v>
      </c>
      <c r="N245" s="553">
        <f t="shared" ref="N245:N248" si="186">+IF($L245-$J245&gt;=0,$L245-$J245,0)</f>
        <v>0</v>
      </c>
      <c r="O245" s="553">
        <f t="shared" si="182"/>
        <v>0</v>
      </c>
      <c r="P245" s="553"/>
      <c r="Q245" s="553">
        <f t="shared" si="183"/>
        <v>0</v>
      </c>
      <c r="R245" s="553">
        <f t="shared" ref="R245:R248" si="187">+IF($L245-$J245&lt;=0,-$L245+$J245,0)</f>
        <v>2</v>
      </c>
      <c r="S245" s="553">
        <f t="shared" si="184"/>
        <v>0.68</v>
      </c>
      <c r="T245" s="553"/>
      <c r="U245" s="553">
        <f t="shared" si="185"/>
        <v>0</v>
      </c>
      <c r="V245" s="553"/>
    </row>
    <row r="246" spans="2:22" ht="21" customHeight="1" x14ac:dyDescent="0.25">
      <c r="B246" s="554">
        <f t="shared" si="179"/>
        <v>7.0299999999999994</v>
      </c>
      <c r="C246" s="584" t="e">
        <f t="shared" si="175"/>
        <v>#REF!</v>
      </c>
      <c r="D246" s="495" t="s">
        <v>696</v>
      </c>
      <c r="E246" s="496"/>
      <c r="F246" s="497"/>
      <c r="G246" s="530" t="s">
        <v>11</v>
      </c>
      <c r="H246" s="553">
        <v>0.14000000000000001</v>
      </c>
      <c r="I246" s="553"/>
      <c r="J246" s="553">
        <v>195</v>
      </c>
      <c r="K246" s="553">
        <f t="shared" si="180"/>
        <v>27.3</v>
      </c>
      <c r="L246" s="553">
        <f>+L95</f>
        <v>185</v>
      </c>
      <c r="M246" s="553">
        <f t="shared" si="181"/>
        <v>25.9</v>
      </c>
      <c r="N246" s="553">
        <f t="shared" si="186"/>
        <v>0</v>
      </c>
      <c r="O246" s="553">
        <f t="shared" si="182"/>
        <v>0</v>
      </c>
      <c r="P246" s="553"/>
      <c r="Q246" s="553">
        <f t="shared" si="183"/>
        <v>0</v>
      </c>
      <c r="R246" s="553">
        <f t="shared" si="187"/>
        <v>10</v>
      </c>
      <c r="S246" s="553">
        <f t="shared" si="184"/>
        <v>1.4</v>
      </c>
      <c r="T246" s="553"/>
      <c r="U246" s="553">
        <f t="shared" si="185"/>
        <v>0</v>
      </c>
      <c r="V246" s="553"/>
    </row>
    <row r="247" spans="2:22" ht="21" customHeight="1" x14ac:dyDescent="0.25">
      <c r="B247" s="554">
        <f t="shared" si="179"/>
        <v>7.0399999999999991</v>
      </c>
      <c r="C247" s="584" t="e">
        <f t="shared" si="175"/>
        <v>#REF!</v>
      </c>
      <c r="D247" s="495" t="s">
        <v>665</v>
      </c>
      <c r="E247" s="496"/>
      <c r="F247" s="497"/>
      <c r="G247" s="530" t="s">
        <v>11</v>
      </c>
      <c r="H247" s="553">
        <v>0.98</v>
      </c>
      <c r="I247" s="553"/>
      <c r="J247" s="553">
        <v>78</v>
      </c>
      <c r="K247" s="553">
        <f t="shared" si="180"/>
        <v>76.44</v>
      </c>
      <c r="L247" s="553">
        <f>+L96</f>
        <v>74</v>
      </c>
      <c r="M247" s="553">
        <f t="shared" si="181"/>
        <v>72.52</v>
      </c>
      <c r="N247" s="553">
        <f t="shared" si="186"/>
        <v>0</v>
      </c>
      <c r="O247" s="553">
        <f t="shared" si="182"/>
        <v>0</v>
      </c>
      <c r="P247" s="553"/>
      <c r="Q247" s="553">
        <f t="shared" si="183"/>
        <v>0</v>
      </c>
      <c r="R247" s="553">
        <f t="shared" si="187"/>
        <v>4</v>
      </c>
      <c r="S247" s="553">
        <f t="shared" si="184"/>
        <v>3.92</v>
      </c>
      <c r="T247" s="553"/>
      <c r="U247" s="553">
        <f t="shared" si="185"/>
        <v>0</v>
      </c>
      <c r="V247" s="553"/>
    </row>
    <row r="248" spans="2:22" ht="21" customHeight="1" x14ac:dyDescent="0.25">
      <c r="B248" s="562">
        <f t="shared" si="179"/>
        <v>7.0499999999999989</v>
      </c>
      <c r="C248" s="576" t="e">
        <f t="shared" si="175"/>
        <v>#REF!</v>
      </c>
      <c r="D248" s="502" t="s">
        <v>670</v>
      </c>
      <c r="E248" s="496"/>
      <c r="F248" s="497"/>
      <c r="G248" s="532" t="s">
        <v>11</v>
      </c>
      <c r="H248" s="565">
        <v>0.12</v>
      </c>
      <c r="I248" s="565"/>
      <c r="J248" s="565">
        <v>39</v>
      </c>
      <c r="K248" s="565">
        <f t="shared" si="180"/>
        <v>4.68</v>
      </c>
      <c r="L248" s="565">
        <f>+L97</f>
        <v>37</v>
      </c>
      <c r="M248" s="565">
        <f t="shared" si="181"/>
        <v>4.4400000000000004</v>
      </c>
      <c r="N248" s="565">
        <f t="shared" si="186"/>
        <v>0</v>
      </c>
      <c r="O248" s="565">
        <f t="shared" si="182"/>
        <v>0</v>
      </c>
      <c r="P248" s="565"/>
      <c r="Q248" s="565">
        <f t="shared" si="183"/>
        <v>0</v>
      </c>
      <c r="R248" s="565">
        <f t="shared" si="187"/>
        <v>2</v>
      </c>
      <c r="S248" s="565">
        <f t="shared" si="184"/>
        <v>0.24</v>
      </c>
      <c r="T248" s="565"/>
      <c r="U248" s="565">
        <f t="shared" si="185"/>
        <v>0</v>
      </c>
      <c r="V248" s="565"/>
    </row>
    <row r="249" spans="2:22" ht="21" customHeight="1" x14ac:dyDescent="0.25">
      <c r="B249" s="456"/>
      <c r="C249" s="466" t="e">
        <f>+#REF!+1</f>
        <v>#REF!</v>
      </c>
      <c r="D249" s="537"/>
      <c r="E249" s="538"/>
      <c r="F249" s="533" t="str">
        <f>+"SUB-TOTAL   "&amp;B243&amp;":  "</f>
        <v xml:space="preserve">SUB-TOTAL   7:  </v>
      </c>
      <c r="G249" s="440"/>
      <c r="H249" s="438"/>
      <c r="I249" s="438"/>
      <c r="J249" s="438"/>
      <c r="K249" s="536">
        <f>+SUM(K244:K248)</f>
        <v>262.08</v>
      </c>
      <c r="L249" s="438"/>
      <c r="M249" s="536">
        <f>+SUM(M244:M248)</f>
        <v>248.64</v>
      </c>
      <c r="N249" s="536"/>
      <c r="O249" s="536">
        <f>+SUM(O244:O248)</f>
        <v>0</v>
      </c>
      <c r="P249" s="536"/>
      <c r="Q249" s="536">
        <f>+SUM(Q244:Q248)</f>
        <v>0</v>
      </c>
      <c r="R249" s="536"/>
      <c r="S249" s="536">
        <f>+SUM(S244:S248)</f>
        <v>13.44</v>
      </c>
      <c r="T249" s="536"/>
      <c r="U249" s="536">
        <f>+SUM(U244:U248)</f>
        <v>0</v>
      </c>
      <c r="V249" s="536"/>
    </row>
    <row r="250" spans="2:22" ht="21" customHeight="1" x14ac:dyDescent="0.25">
      <c r="B250" s="452">
        <f>+B243+1</f>
        <v>8</v>
      </c>
      <c r="C250" s="466" t="e">
        <f t="shared" si="175"/>
        <v>#REF!</v>
      </c>
      <c r="D250" s="453" t="s">
        <v>62</v>
      </c>
      <c r="E250" s="445"/>
      <c r="F250" s="446"/>
      <c r="G250" s="440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</row>
    <row r="251" spans="2:22" ht="21" customHeight="1" x14ac:dyDescent="0.25">
      <c r="B251" s="562">
        <f t="shared" ref="B251:B261" si="188">+B250+0.01</f>
        <v>8.01</v>
      </c>
      <c r="C251" s="576" t="e">
        <f t="shared" si="175"/>
        <v>#REF!</v>
      </c>
      <c r="D251" s="502" t="s">
        <v>25</v>
      </c>
      <c r="E251" s="496"/>
      <c r="F251" s="497"/>
      <c r="G251" s="530" t="s">
        <v>13</v>
      </c>
      <c r="H251" s="553">
        <v>2.59</v>
      </c>
      <c r="I251" s="553"/>
      <c r="J251" s="553">
        <v>39</v>
      </c>
      <c r="K251" s="553">
        <f t="shared" ref="K251:K261" si="189">+ROUND($H251*J251,2)</f>
        <v>101.01</v>
      </c>
      <c r="L251" s="553">
        <f t="shared" ref="L251:L258" si="190">+L100</f>
        <v>37</v>
      </c>
      <c r="M251" s="553">
        <f t="shared" ref="M251:M258" si="191">+ROUND($H251*L251,2)</f>
        <v>95.83</v>
      </c>
      <c r="N251" s="553">
        <f>+IF($L251-$J251&gt;=0,$L251-$J251,0)</f>
        <v>0</v>
      </c>
      <c r="O251" s="553">
        <f t="shared" ref="O251:O261" si="192">+ROUND($H251*N251,2)</f>
        <v>0</v>
      </c>
      <c r="P251" s="553"/>
      <c r="Q251" s="553">
        <f t="shared" ref="Q251:Q258" si="193">+ROUND($H251*P251,2)</f>
        <v>0</v>
      </c>
      <c r="R251" s="553">
        <f>+IF($L251-$J251&lt;=0,-$L251+$J251,0)</f>
        <v>2</v>
      </c>
      <c r="S251" s="553">
        <f t="shared" ref="S251:S261" si="194">+ROUND($H251*R251,2)</f>
        <v>5.18</v>
      </c>
      <c r="T251" s="553"/>
      <c r="U251" s="553">
        <f t="shared" ref="U251:U261" si="195">+ROUND($H251*T251,2)</f>
        <v>0</v>
      </c>
      <c r="V251" s="553"/>
    </row>
    <row r="252" spans="2:22" ht="21" customHeight="1" x14ac:dyDescent="0.25">
      <c r="B252" s="562">
        <f t="shared" si="188"/>
        <v>8.02</v>
      </c>
      <c r="C252" s="576" t="e">
        <f t="shared" si="175"/>
        <v>#REF!</v>
      </c>
      <c r="D252" s="502" t="s">
        <v>714</v>
      </c>
      <c r="E252" s="496"/>
      <c r="F252" s="497"/>
      <c r="G252" s="530" t="s">
        <v>11</v>
      </c>
      <c r="H252" s="553">
        <v>0.19</v>
      </c>
      <c r="I252" s="553"/>
      <c r="J252" s="553">
        <v>234</v>
      </c>
      <c r="K252" s="553">
        <f t="shared" si="189"/>
        <v>44.46</v>
      </c>
      <c r="L252" s="553">
        <f t="shared" si="190"/>
        <v>222</v>
      </c>
      <c r="M252" s="553">
        <f t="shared" si="191"/>
        <v>42.18</v>
      </c>
      <c r="N252" s="553">
        <f t="shared" ref="N252:N258" si="196">+IF($L252-$J252&gt;=0,$L252-$J252,0)</f>
        <v>0</v>
      </c>
      <c r="O252" s="553">
        <f t="shared" si="192"/>
        <v>0</v>
      </c>
      <c r="P252" s="553"/>
      <c r="Q252" s="553">
        <f t="shared" si="193"/>
        <v>0</v>
      </c>
      <c r="R252" s="553">
        <f t="shared" ref="R252:R261" si="197">+IF($L252-$J252&lt;=0,-$L252+$J252,0)</f>
        <v>12</v>
      </c>
      <c r="S252" s="553">
        <f t="shared" si="194"/>
        <v>2.2799999999999998</v>
      </c>
      <c r="T252" s="553"/>
      <c r="U252" s="553">
        <f t="shared" si="195"/>
        <v>0</v>
      </c>
      <c r="V252" s="553"/>
    </row>
    <row r="253" spans="2:22" ht="21" customHeight="1" x14ac:dyDescent="0.25">
      <c r="B253" s="562">
        <f t="shared" si="188"/>
        <v>8.0299999999999994</v>
      </c>
      <c r="C253" s="576" t="e">
        <f t="shared" si="175"/>
        <v>#REF!</v>
      </c>
      <c r="D253" s="502" t="s">
        <v>715</v>
      </c>
      <c r="E253" s="498"/>
      <c r="F253" s="499"/>
      <c r="G253" s="530" t="s">
        <v>11</v>
      </c>
      <c r="H253" s="553">
        <v>0.12</v>
      </c>
      <c r="I253" s="553"/>
      <c r="J253" s="553">
        <v>78</v>
      </c>
      <c r="K253" s="553">
        <f t="shared" si="189"/>
        <v>9.36</v>
      </c>
      <c r="L253" s="553">
        <f t="shared" si="190"/>
        <v>74</v>
      </c>
      <c r="M253" s="553">
        <f t="shared" si="191"/>
        <v>8.8800000000000008</v>
      </c>
      <c r="N253" s="553">
        <f t="shared" si="196"/>
        <v>0</v>
      </c>
      <c r="O253" s="553">
        <f t="shared" si="192"/>
        <v>0</v>
      </c>
      <c r="P253" s="557"/>
      <c r="Q253" s="553">
        <f t="shared" si="193"/>
        <v>0</v>
      </c>
      <c r="R253" s="553">
        <f t="shared" si="197"/>
        <v>4</v>
      </c>
      <c r="S253" s="553">
        <f t="shared" si="194"/>
        <v>0.48</v>
      </c>
      <c r="T253" s="557"/>
      <c r="U253" s="553">
        <f t="shared" si="195"/>
        <v>0</v>
      </c>
      <c r="V253" s="557"/>
    </row>
    <row r="254" spans="2:22" ht="21" customHeight="1" x14ac:dyDescent="0.25">
      <c r="B254" s="562">
        <f t="shared" si="188"/>
        <v>8.0399999999999991</v>
      </c>
      <c r="C254" s="576" t="e">
        <f t="shared" si="175"/>
        <v>#REF!</v>
      </c>
      <c r="D254" s="502" t="s">
        <v>24</v>
      </c>
      <c r="E254" s="500"/>
      <c r="F254" s="494"/>
      <c r="G254" s="530" t="s">
        <v>11</v>
      </c>
      <c r="H254" s="553">
        <v>0.2</v>
      </c>
      <c r="I254" s="553"/>
      <c r="J254" s="553">
        <v>39</v>
      </c>
      <c r="K254" s="553">
        <f t="shared" si="189"/>
        <v>7.8</v>
      </c>
      <c r="L254" s="553">
        <f t="shared" si="190"/>
        <v>37</v>
      </c>
      <c r="M254" s="553">
        <f t="shared" si="191"/>
        <v>7.4</v>
      </c>
      <c r="N254" s="553">
        <f t="shared" si="196"/>
        <v>0</v>
      </c>
      <c r="O254" s="553">
        <f t="shared" si="192"/>
        <v>0</v>
      </c>
      <c r="P254" s="553"/>
      <c r="Q254" s="553">
        <f t="shared" si="193"/>
        <v>0</v>
      </c>
      <c r="R254" s="553">
        <f t="shared" si="197"/>
        <v>2</v>
      </c>
      <c r="S254" s="553">
        <f t="shared" si="194"/>
        <v>0.4</v>
      </c>
      <c r="T254" s="553"/>
      <c r="U254" s="553">
        <f t="shared" si="195"/>
        <v>0</v>
      </c>
      <c r="V254" s="553"/>
    </row>
    <row r="255" spans="2:22" ht="21" customHeight="1" x14ac:dyDescent="0.25">
      <c r="B255" s="562">
        <f t="shared" si="188"/>
        <v>8.0499999999999989</v>
      </c>
      <c r="C255" s="576" t="e">
        <f t="shared" si="175"/>
        <v>#REF!</v>
      </c>
      <c r="D255" s="502" t="s">
        <v>716</v>
      </c>
      <c r="E255" s="496"/>
      <c r="F255" s="497"/>
      <c r="G255" s="530" t="s">
        <v>11</v>
      </c>
      <c r="H255" s="553">
        <v>23.88</v>
      </c>
      <c r="I255" s="553"/>
      <c r="J255" s="553">
        <v>39</v>
      </c>
      <c r="K255" s="553">
        <f t="shared" si="189"/>
        <v>931.32</v>
      </c>
      <c r="L255" s="553">
        <f t="shared" si="190"/>
        <v>37</v>
      </c>
      <c r="M255" s="553">
        <f t="shared" si="191"/>
        <v>883.56</v>
      </c>
      <c r="N255" s="553">
        <f t="shared" si="196"/>
        <v>0</v>
      </c>
      <c r="O255" s="553">
        <f t="shared" si="192"/>
        <v>0</v>
      </c>
      <c r="P255" s="553"/>
      <c r="Q255" s="553">
        <f t="shared" si="193"/>
        <v>0</v>
      </c>
      <c r="R255" s="553">
        <f t="shared" si="197"/>
        <v>2</v>
      </c>
      <c r="S255" s="553">
        <f t="shared" si="194"/>
        <v>47.76</v>
      </c>
      <c r="T255" s="553"/>
      <c r="U255" s="553">
        <f t="shared" si="195"/>
        <v>0</v>
      </c>
      <c r="V255" s="553"/>
    </row>
    <row r="256" spans="2:22" ht="21" customHeight="1" x14ac:dyDescent="0.25">
      <c r="B256" s="562">
        <f t="shared" si="188"/>
        <v>8.0599999999999987</v>
      </c>
      <c r="C256" s="576" t="e">
        <f t="shared" si="175"/>
        <v>#REF!</v>
      </c>
      <c r="D256" s="502" t="s">
        <v>717</v>
      </c>
      <c r="E256" s="496"/>
      <c r="F256" s="497"/>
      <c r="G256" s="530" t="s">
        <v>11</v>
      </c>
      <c r="H256" s="553">
        <v>0.62</v>
      </c>
      <c r="I256" s="553"/>
      <c r="J256" s="553">
        <v>39</v>
      </c>
      <c r="K256" s="553">
        <f t="shared" si="189"/>
        <v>24.18</v>
      </c>
      <c r="L256" s="553">
        <f t="shared" si="190"/>
        <v>37</v>
      </c>
      <c r="M256" s="553">
        <f t="shared" si="191"/>
        <v>22.94</v>
      </c>
      <c r="N256" s="553">
        <f t="shared" si="196"/>
        <v>0</v>
      </c>
      <c r="O256" s="553">
        <f t="shared" si="192"/>
        <v>0</v>
      </c>
      <c r="P256" s="553"/>
      <c r="Q256" s="553">
        <f t="shared" si="193"/>
        <v>0</v>
      </c>
      <c r="R256" s="553">
        <f t="shared" si="197"/>
        <v>2</v>
      </c>
      <c r="S256" s="553">
        <f t="shared" si="194"/>
        <v>1.24</v>
      </c>
      <c r="T256" s="553"/>
      <c r="U256" s="553">
        <f t="shared" si="195"/>
        <v>0</v>
      </c>
      <c r="V256" s="553"/>
    </row>
    <row r="257" spans="1:33" ht="21" customHeight="1" x14ac:dyDescent="0.25">
      <c r="B257" s="562">
        <f t="shared" si="188"/>
        <v>8.0699999999999985</v>
      </c>
      <c r="C257" s="576" t="e">
        <f t="shared" si="175"/>
        <v>#REF!</v>
      </c>
      <c r="D257" s="502" t="s">
        <v>718</v>
      </c>
      <c r="E257" s="496"/>
      <c r="F257" s="497"/>
      <c r="G257" s="530" t="s">
        <v>11</v>
      </c>
      <c r="H257" s="553">
        <v>0.06</v>
      </c>
      <c r="I257" s="553"/>
      <c r="J257" s="553">
        <v>39</v>
      </c>
      <c r="K257" s="553">
        <f t="shared" si="189"/>
        <v>2.34</v>
      </c>
      <c r="L257" s="553">
        <f t="shared" si="190"/>
        <v>111</v>
      </c>
      <c r="M257" s="553">
        <f t="shared" si="191"/>
        <v>6.66</v>
      </c>
      <c r="N257" s="553">
        <f t="shared" si="196"/>
        <v>72</v>
      </c>
      <c r="O257" s="553">
        <f t="shared" si="192"/>
        <v>4.32</v>
      </c>
      <c r="P257" s="553"/>
      <c r="Q257" s="553">
        <f t="shared" si="193"/>
        <v>0</v>
      </c>
      <c r="R257" s="553">
        <f t="shared" si="197"/>
        <v>0</v>
      </c>
      <c r="S257" s="553">
        <f t="shared" si="194"/>
        <v>0</v>
      </c>
      <c r="T257" s="553"/>
      <c r="U257" s="553">
        <f t="shared" si="195"/>
        <v>0</v>
      </c>
      <c r="V257" s="553"/>
    </row>
    <row r="258" spans="1:33" ht="21" customHeight="1" x14ac:dyDescent="0.25">
      <c r="B258" s="562">
        <f t="shared" si="188"/>
        <v>8.0799999999999983</v>
      </c>
      <c r="C258" s="576" t="e">
        <f t="shared" si="175"/>
        <v>#REF!</v>
      </c>
      <c r="D258" s="502" t="s">
        <v>719</v>
      </c>
      <c r="E258" s="496"/>
      <c r="F258" s="497"/>
      <c r="G258" s="539" t="s">
        <v>11</v>
      </c>
      <c r="H258" s="579">
        <v>10.58</v>
      </c>
      <c r="I258" s="579"/>
      <c r="J258" s="579">
        <v>39</v>
      </c>
      <c r="K258" s="579">
        <f t="shared" si="189"/>
        <v>412.62</v>
      </c>
      <c r="L258" s="579">
        <f t="shared" si="190"/>
        <v>0</v>
      </c>
      <c r="M258" s="579">
        <f t="shared" si="191"/>
        <v>0</v>
      </c>
      <c r="N258" s="579">
        <f t="shared" si="196"/>
        <v>0</v>
      </c>
      <c r="O258" s="579">
        <f t="shared" si="192"/>
        <v>0</v>
      </c>
      <c r="P258" s="579"/>
      <c r="Q258" s="579">
        <f t="shared" si="193"/>
        <v>0</v>
      </c>
      <c r="R258" s="579">
        <f t="shared" si="197"/>
        <v>39</v>
      </c>
      <c r="S258" s="579">
        <f t="shared" si="194"/>
        <v>412.62</v>
      </c>
      <c r="T258" s="579"/>
      <c r="U258" s="579">
        <f t="shared" si="195"/>
        <v>0</v>
      </c>
      <c r="V258" s="579"/>
    </row>
    <row r="259" spans="1:33" s="547" customFormat="1" ht="21" customHeight="1" x14ac:dyDescent="0.25">
      <c r="B259" s="559">
        <f t="shared" si="188"/>
        <v>8.0899999999999981</v>
      </c>
      <c r="C259" s="577" t="e">
        <f t="shared" si="175"/>
        <v>#REF!</v>
      </c>
      <c r="D259" s="501" t="s">
        <v>350</v>
      </c>
      <c r="E259" s="545"/>
      <c r="F259" s="546"/>
      <c r="G259" s="531" t="s">
        <v>11</v>
      </c>
      <c r="H259" s="560"/>
      <c r="I259" s="560">
        <v>10.58</v>
      </c>
      <c r="J259" s="560"/>
      <c r="K259" s="560">
        <f t="shared" si="189"/>
        <v>0</v>
      </c>
      <c r="L259" s="560">
        <f>+L255*4</f>
        <v>148</v>
      </c>
      <c r="M259" s="560">
        <f>+ROUND($I259*L259,2)</f>
        <v>1565.84</v>
      </c>
      <c r="N259" s="560"/>
      <c r="O259" s="560">
        <f t="shared" si="192"/>
        <v>0</v>
      </c>
      <c r="P259" s="560">
        <f>+L259</f>
        <v>148</v>
      </c>
      <c r="Q259" s="560">
        <f>+ROUND($I259*P259,2)</f>
        <v>1565.84</v>
      </c>
      <c r="R259" s="560">
        <f t="shared" si="197"/>
        <v>0</v>
      </c>
      <c r="S259" s="560">
        <f t="shared" si="194"/>
        <v>0</v>
      </c>
      <c r="T259" s="560"/>
      <c r="U259" s="560">
        <f t="shared" si="195"/>
        <v>0</v>
      </c>
      <c r="V259" s="560"/>
      <c r="Z259" s="1165"/>
      <c r="AA259" s="1168"/>
      <c r="AB259" s="1160"/>
      <c r="AC259" s="1161"/>
      <c r="AD259" s="1162"/>
      <c r="AE259" s="1167"/>
      <c r="AF259" s="1163"/>
      <c r="AG259" s="1164"/>
    </row>
    <row r="260" spans="1:33" s="547" customFormat="1" ht="21" customHeight="1" x14ac:dyDescent="0.25">
      <c r="B260" s="559">
        <f t="shared" si="188"/>
        <v>8.0999999999999979</v>
      </c>
      <c r="C260" s="577" t="e">
        <f t="shared" si="175"/>
        <v>#REF!</v>
      </c>
      <c r="D260" s="501" t="s">
        <v>1023</v>
      </c>
      <c r="E260" s="545"/>
      <c r="F260" s="546"/>
      <c r="G260" s="531" t="s">
        <v>11</v>
      </c>
      <c r="H260" s="560"/>
      <c r="I260" s="560">
        <f>+H256</f>
        <v>0.62</v>
      </c>
      <c r="J260" s="560"/>
      <c r="K260" s="560">
        <f t="shared" si="189"/>
        <v>0</v>
      </c>
      <c r="L260" s="560">
        <v>37</v>
      </c>
      <c r="M260" s="560">
        <f t="shared" ref="M260:M261" si="198">+ROUND($I260*L260,2)</f>
        <v>22.94</v>
      </c>
      <c r="N260" s="560"/>
      <c r="O260" s="560">
        <f t="shared" si="192"/>
        <v>0</v>
      </c>
      <c r="P260" s="560">
        <f t="shared" ref="P260:P261" si="199">+L260</f>
        <v>37</v>
      </c>
      <c r="Q260" s="560">
        <f t="shared" ref="Q260:Q261" si="200">+ROUND($I260*P260,2)</f>
        <v>22.94</v>
      </c>
      <c r="R260" s="560">
        <f t="shared" si="197"/>
        <v>0</v>
      </c>
      <c r="S260" s="560">
        <f t="shared" si="194"/>
        <v>0</v>
      </c>
      <c r="T260" s="560"/>
      <c r="U260" s="560">
        <f t="shared" si="195"/>
        <v>0</v>
      </c>
      <c r="V260" s="560"/>
      <c r="Z260" s="1162"/>
      <c r="AA260" s="1167"/>
      <c r="AB260" s="1163"/>
      <c r="AC260" s="1159"/>
      <c r="AD260" s="1165"/>
      <c r="AE260" s="1168"/>
      <c r="AF260" s="1160"/>
      <c r="AG260" s="1161"/>
    </row>
    <row r="261" spans="1:33" s="547" customFormat="1" ht="21" customHeight="1" x14ac:dyDescent="0.25">
      <c r="B261" s="559">
        <f t="shared" si="188"/>
        <v>8.1099999999999977</v>
      </c>
      <c r="C261" s="577" t="e">
        <f t="shared" si="175"/>
        <v>#REF!</v>
      </c>
      <c r="D261" s="501" t="s">
        <v>1024</v>
      </c>
      <c r="E261" s="545"/>
      <c r="F261" s="546"/>
      <c r="G261" s="564" t="s">
        <v>11</v>
      </c>
      <c r="H261" s="633"/>
      <c r="I261" s="633">
        <f>+H257</f>
        <v>0.06</v>
      </c>
      <c r="J261" s="633"/>
      <c r="K261" s="633">
        <f t="shared" si="189"/>
        <v>0</v>
      </c>
      <c r="L261" s="633">
        <v>37</v>
      </c>
      <c r="M261" s="633">
        <f t="shared" si="198"/>
        <v>2.2200000000000002</v>
      </c>
      <c r="N261" s="633"/>
      <c r="O261" s="633">
        <f t="shared" si="192"/>
        <v>0</v>
      </c>
      <c r="P261" s="633">
        <f t="shared" si="199"/>
        <v>37</v>
      </c>
      <c r="Q261" s="633">
        <f t="shared" si="200"/>
        <v>2.2200000000000002</v>
      </c>
      <c r="R261" s="633">
        <f t="shared" si="197"/>
        <v>0</v>
      </c>
      <c r="S261" s="633">
        <f t="shared" si="194"/>
        <v>0</v>
      </c>
      <c r="T261" s="633"/>
      <c r="U261" s="633">
        <f t="shared" si="195"/>
        <v>0</v>
      </c>
      <c r="V261" s="633"/>
      <c r="AB261" s="1166"/>
      <c r="AD261" s="1162"/>
      <c r="AE261" s="1167"/>
      <c r="AF261" s="1163"/>
      <c r="AG261" s="1164"/>
    </row>
    <row r="262" spans="1:33" ht="21" customHeight="1" x14ac:dyDescent="0.25">
      <c r="B262" s="456"/>
      <c r="C262" s="482" t="e">
        <f>+#REF!+1</f>
        <v>#REF!</v>
      </c>
      <c r="D262" s="537"/>
      <c r="E262" s="538"/>
      <c r="F262" s="533" t="str">
        <f>+"SUB-TOTAL   "&amp;B250&amp;":  "</f>
        <v xml:space="preserve">SUB-TOTAL   8:  </v>
      </c>
      <c r="G262" s="440"/>
      <c r="H262" s="438"/>
      <c r="I262" s="540"/>
      <c r="J262" s="540"/>
      <c r="K262" s="589">
        <f>+SUM(K251:K261)</f>
        <v>1533.0900000000001</v>
      </c>
      <c r="L262" s="540"/>
      <c r="M262" s="589">
        <f>+SUM(M251:M261)</f>
        <v>2658.45</v>
      </c>
      <c r="N262" s="589"/>
      <c r="O262" s="589">
        <f>+SUM(O251:O261)</f>
        <v>4.32</v>
      </c>
      <c r="P262" s="589"/>
      <c r="Q262" s="589">
        <f>+SUM(Q251:Q261)</f>
        <v>1591</v>
      </c>
      <c r="R262" s="589"/>
      <c r="S262" s="589">
        <f>+SUM(S251:S261)</f>
        <v>469.96</v>
      </c>
      <c r="T262" s="589"/>
      <c r="U262" s="589">
        <f>+SUM(U251:U261)</f>
        <v>0</v>
      </c>
      <c r="V262" s="589"/>
    </row>
    <row r="263" spans="1:33" ht="21" customHeight="1" x14ac:dyDescent="0.25">
      <c r="B263" s="452">
        <f>+B250+1</f>
        <v>9</v>
      </c>
      <c r="C263" s="482" t="e">
        <f t="shared" ref="C263:C268" si="201">+C262+1</f>
        <v>#REF!</v>
      </c>
      <c r="D263" s="453" t="s">
        <v>720</v>
      </c>
      <c r="E263" s="445"/>
      <c r="F263" s="446"/>
      <c r="G263" s="440"/>
      <c r="H263" s="438"/>
      <c r="I263" s="438"/>
      <c r="J263" s="438"/>
      <c r="K263" s="438"/>
      <c r="L263" s="438"/>
      <c r="M263" s="438"/>
      <c r="N263" s="438"/>
      <c r="O263" s="438"/>
      <c r="P263" s="438"/>
      <c r="Q263" s="438"/>
      <c r="R263" s="438"/>
      <c r="S263" s="438"/>
      <c r="T263" s="438"/>
      <c r="U263" s="438"/>
      <c r="V263" s="457"/>
    </row>
    <row r="264" spans="1:33" ht="21" customHeight="1" x14ac:dyDescent="0.25">
      <c r="B264" s="562">
        <f>+B263+0.01</f>
        <v>9.01</v>
      </c>
      <c r="C264" s="576" t="e">
        <f t="shared" si="201"/>
        <v>#REF!</v>
      </c>
      <c r="D264" s="502" t="s">
        <v>721</v>
      </c>
      <c r="E264" s="496"/>
      <c r="F264" s="497"/>
      <c r="G264" s="530" t="s">
        <v>11</v>
      </c>
      <c r="H264" s="553">
        <v>0.12</v>
      </c>
      <c r="I264" s="553"/>
      <c r="J264" s="553">
        <v>195</v>
      </c>
      <c r="K264" s="553">
        <f t="shared" ref="K264:K268" si="202">+ROUND($H264*J264,2)</f>
        <v>23.4</v>
      </c>
      <c r="L264" s="553">
        <f>+L113</f>
        <v>185</v>
      </c>
      <c r="M264" s="553">
        <f t="shared" ref="M264:M268" si="203">+ROUND($H264*L264,2)</f>
        <v>22.2</v>
      </c>
      <c r="N264" s="553">
        <f>+IF($L264-$J264&gt;=0,$L264-$J264,0)</f>
        <v>0</v>
      </c>
      <c r="O264" s="553">
        <f t="shared" ref="O264:O268" si="204">+ROUND($H264*N264,2)</f>
        <v>0</v>
      </c>
      <c r="P264" s="553"/>
      <c r="Q264" s="553">
        <f t="shared" ref="Q264:Q268" si="205">+ROUND($H264*P264,2)</f>
        <v>0</v>
      </c>
      <c r="R264" s="553">
        <f>+IF($L264-$J264&lt;=0,-$L264+$J264,0)</f>
        <v>10</v>
      </c>
      <c r="S264" s="553">
        <f t="shared" ref="S264:S268" si="206">+ROUND($H264*R264,2)</f>
        <v>1.2</v>
      </c>
      <c r="T264" s="553"/>
      <c r="U264" s="553">
        <f t="shared" ref="U264:U268" si="207">+ROUND($H264*T264,2)</f>
        <v>0</v>
      </c>
      <c r="V264" s="553"/>
    </row>
    <row r="265" spans="1:33" ht="21" customHeight="1" x14ac:dyDescent="0.25">
      <c r="B265" s="562">
        <f t="shared" ref="B265:B268" si="208">+B264+0.01</f>
        <v>9.02</v>
      </c>
      <c r="C265" s="576" t="e">
        <f t="shared" si="201"/>
        <v>#REF!</v>
      </c>
      <c r="D265" s="502" t="s">
        <v>722</v>
      </c>
      <c r="E265" s="496"/>
      <c r="F265" s="497"/>
      <c r="G265" s="530" t="s">
        <v>11</v>
      </c>
      <c r="H265" s="553">
        <v>0.16</v>
      </c>
      <c r="I265" s="553"/>
      <c r="J265" s="553">
        <v>39</v>
      </c>
      <c r="K265" s="553">
        <f t="shared" si="202"/>
        <v>6.24</v>
      </c>
      <c r="L265" s="553">
        <f>+L114</f>
        <v>37</v>
      </c>
      <c r="M265" s="553">
        <f t="shared" si="203"/>
        <v>5.92</v>
      </c>
      <c r="N265" s="553">
        <f t="shared" ref="N265:N268" si="209">+IF($L265-$J265&gt;=0,$L265-$J265,0)</f>
        <v>0</v>
      </c>
      <c r="O265" s="553">
        <f t="shared" si="204"/>
        <v>0</v>
      </c>
      <c r="P265" s="553"/>
      <c r="Q265" s="553">
        <f t="shared" si="205"/>
        <v>0</v>
      </c>
      <c r="R265" s="553">
        <f t="shared" ref="R265:R268" si="210">+IF($L265-$J265&lt;=0,-$L265+$J265,0)</f>
        <v>2</v>
      </c>
      <c r="S265" s="553">
        <f t="shared" si="206"/>
        <v>0.32</v>
      </c>
      <c r="T265" s="553"/>
      <c r="U265" s="553">
        <f t="shared" si="207"/>
        <v>0</v>
      </c>
      <c r="V265" s="553"/>
    </row>
    <row r="266" spans="1:33" ht="21" customHeight="1" x14ac:dyDescent="0.25">
      <c r="B266" s="562">
        <f t="shared" si="208"/>
        <v>9.0299999999999994</v>
      </c>
      <c r="C266" s="576" t="e">
        <f t="shared" si="201"/>
        <v>#REF!</v>
      </c>
      <c r="D266" s="502" t="s">
        <v>353</v>
      </c>
      <c r="E266" s="503"/>
      <c r="F266" s="504"/>
      <c r="G266" s="530" t="s">
        <v>11</v>
      </c>
      <c r="H266" s="553">
        <v>0.01</v>
      </c>
      <c r="I266" s="553"/>
      <c r="J266" s="553">
        <v>39</v>
      </c>
      <c r="K266" s="553">
        <f t="shared" si="202"/>
        <v>0.39</v>
      </c>
      <c r="L266" s="553">
        <f>+L115</f>
        <v>37</v>
      </c>
      <c r="M266" s="553">
        <f t="shared" si="203"/>
        <v>0.37</v>
      </c>
      <c r="N266" s="553">
        <f t="shared" si="209"/>
        <v>0</v>
      </c>
      <c r="O266" s="553">
        <f t="shared" si="204"/>
        <v>0</v>
      </c>
      <c r="P266" s="563"/>
      <c r="Q266" s="553">
        <f t="shared" si="205"/>
        <v>0</v>
      </c>
      <c r="R266" s="553">
        <f t="shared" si="210"/>
        <v>2</v>
      </c>
      <c r="S266" s="553">
        <f t="shared" si="206"/>
        <v>0.02</v>
      </c>
      <c r="T266" s="563"/>
      <c r="U266" s="553">
        <f t="shared" si="207"/>
        <v>0</v>
      </c>
      <c r="V266" s="563"/>
    </row>
    <row r="267" spans="1:33" s="458" customFormat="1" ht="21" customHeight="1" x14ac:dyDescent="0.25">
      <c r="A267" s="414"/>
      <c r="B267" s="562">
        <f t="shared" si="208"/>
        <v>9.0399999999999991</v>
      </c>
      <c r="C267" s="576" t="e">
        <f t="shared" si="201"/>
        <v>#REF!</v>
      </c>
      <c r="D267" s="502" t="s">
        <v>723</v>
      </c>
      <c r="E267" s="503"/>
      <c r="F267" s="504"/>
      <c r="G267" s="530" t="s">
        <v>11</v>
      </c>
      <c r="H267" s="553">
        <v>0.08</v>
      </c>
      <c r="I267" s="553"/>
      <c r="J267" s="553">
        <v>39</v>
      </c>
      <c r="K267" s="553">
        <f t="shared" si="202"/>
        <v>3.12</v>
      </c>
      <c r="L267" s="553">
        <f>+L116</f>
        <v>37</v>
      </c>
      <c r="M267" s="553">
        <f t="shared" si="203"/>
        <v>2.96</v>
      </c>
      <c r="N267" s="553">
        <f t="shared" si="209"/>
        <v>0</v>
      </c>
      <c r="O267" s="553">
        <f t="shared" si="204"/>
        <v>0</v>
      </c>
      <c r="P267" s="563"/>
      <c r="Q267" s="553">
        <f t="shared" si="205"/>
        <v>0</v>
      </c>
      <c r="R267" s="553">
        <f t="shared" si="210"/>
        <v>2</v>
      </c>
      <c r="S267" s="553">
        <f t="shared" si="206"/>
        <v>0.16</v>
      </c>
      <c r="T267" s="563"/>
      <c r="U267" s="553">
        <f t="shared" si="207"/>
        <v>0</v>
      </c>
      <c r="V267" s="563"/>
      <c r="AE267" s="547"/>
    </row>
    <row r="268" spans="1:33" ht="21" customHeight="1" x14ac:dyDescent="0.25">
      <c r="B268" s="562">
        <f t="shared" si="208"/>
        <v>9.0499999999999989</v>
      </c>
      <c r="C268" s="576" t="e">
        <f t="shared" si="201"/>
        <v>#REF!</v>
      </c>
      <c r="D268" s="502" t="s">
        <v>66</v>
      </c>
      <c r="E268" s="503"/>
      <c r="F268" s="504"/>
      <c r="G268" s="532" t="s">
        <v>11</v>
      </c>
      <c r="H268" s="565">
        <v>0.04</v>
      </c>
      <c r="I268" s="553"/>
      <c r="J268" s="553">
        <v>39</v>
      </c>
      <c r="K268" s="553">
        <f t="shared" si="202"/>
        <v>1.56</v>
      </c>
      <c r="L268" s="553">
        <f>+L117</f>
        <v>74</v>
      </c>
      <c r="M268" s="553">
        <f t="shared" si="203"/>
        <v>2.96</v>
      </c>
      <c r="N268" s="553">
        <f t="shared" si="209"/>
        <v>35</v>
      </c>
      <c r="O268" s="553">
        <f t="shared" si="204"/>
        <v>1.4</v>
      </c>
      <c r="P268" s="563"/>
      <c r="Q268" s="553">
        <f t="shared" si="205"/>
        <v>0</v>
      </c>
      <c r="R268" s="553">
        <f t="shared" si="210"/>
        <v>0</v>
      </c>
      <c r="S268" s="553">
        <f t="shared" si="206"/>
        <v>0</v>
      </c>
      <c r="T268" s="563"/>
      <c r="U268" s="553">
        <f t="shared" si="207"/>
        <v>0</v>
      </c>
      <c r="V268" s="563"/>
    </row>
    <row r="269" spans="1:33" ht="21" customHeight="1" x14ac:dyDescent="0.25">
      <c r="B269" s="456"/>
      <c r="C269" s="466" t="e">
        <f>+#REF!+1</f>
        <v>#REF!</v>
      </c>
      <c r="D269" s="537"/>
      <c r="E269" s="595"/>
      <c r="F269" s="544" t="str">
        <f>+"SUB-TOTAL   "&amp;B263&amp;":  "</f>
        <v xml:space="preserve">SUB-TOTAL   9:  </v>
      </c>
      <c r="G269" s="440"/>
      <c r="H269" s="438"/>
      <c r="I269" s="540"/>
      <c r="J269" s="540"/>
      <c r="K269" s="589">
        <f>+SUM(K264:K268)</f>
        <v>34.71</v>
      </c>
      <c r="L269" s="540"/>
      <c r="M269" s="589">
        <f>+SUM(M264:M268)</f>
        <v>34.409999999999997</v>
      </c>
      <c r="N269" s="589"/>
      <c r="O269" s="589">
        <f>+SUM(O264:O268)</f>
        <v>1.4</v>
      </c>
      <c r="P269" s="589"/>
      <c r="Q269" s="589">
        <f>+SUM(Q264:Q268)</f>
        <v>0</v>
      </c>
      <c r="R269" s="589"/>
      <c r="S269" s="589">
        <f>+SUM(S264:S268)</f>
        <v>1.7</v>
      </c>
      <c r="T269" s="589"/>
      <c r="U269" s="589">
        <f>+SUM(U264:U268)</f>
        <v>0</v>
      </c>
      <c r="V269" s="589"/>
    </row>
    <row r="270" spans="1:33" s="630" customFormat="1" ht="45.75" customHeight="1" x14ac:dyDescent="0.3">
      <c r="B270" s="623"/>
      <c r="C270" s="624" t="e">
        <f>+#REF!+1</f>
        <v>#REF!</v>
      </c>
      <c r="D270" s="625" t="s">
        <v>27</v>
      </c>
      <c r="E270" s="626"/>
      <c r="F270" s="627"/>
      <c r="G270" s="628"/>
      <c r="H270" s="629"/>
      <c r="I270" s="629"/>
      <c r="J270" s="629"/>
      <c r="K270" s="629">
        <f>+K171+K185+K201+K213+K223+K242+K249+K262+K269</f>
        <v>5558.67</v>
      </c>
      <c r="L270" s="629"/>
      <c r="M270" s="629">
        <f>+M171+M185+M201+M213+M223+M242+M249+M262+M269</f>
        <v>6557.1399999999994</v>
      </c>
      <c r="N270" s="629"/>
      <c r="O270" s="629">
        <f>+O171+O185+O201+O213+O223+O242+O249+O262+O269</f>
        <v>5.7200000000000006</v>
      </c>
      <c r="P270" s="629"/>
      <c r="Q270" s="629">
        <f>+Q171+Q185+Q201+Q213+Q223+Q242+Q249+Q262+Q269</f>
        <v>2262.5500000000002</v>
      </c>
      <c r="R270" s="629"/>
      <c r="S270" s="629">
        <f>+S171+S185+S201+S213+S223+S242+S249+S262+S269</f>
        <v>1269.8000000000002</v>
      </c>
      <c r="T270" s="629"/>
      <c r="U270" s="629">
        <f>+U171+U185+U201+U213+U223+U242+U249+U262+U269</f>
        <v>0</v>
      </c>
      <c r="V270" s="629"/>
      <c r="AE270" s="1169"/>
    </row>
  </sheetData>
  <mergeCells count="20">
    <mergeCell ref="L13:L14"/>
    <mergeCell ref="M13:M14"/>
    <mergeCell ref="N13:O13"/>
    <mergeCell ref="P13:Q13"/>
    <mergeCell ref="R13:S13"/>
    <mergeCell ref="T13:U13"/>
    <mergeCell ref="B6:V7"/>
    <mergeCell ref="F8:V8"/>
    <mergeCell ref="B12:B15"/>
    <mergeCell ref="C12:F15"/>
    <mergeCell ref="G12:G15"/>
    <mergeCell ref="H12:H14"/>
    <mergeCell ref="I12:I14"/>
    <mergeCell ref="J12:K12"/>
    <mergeCell ref="L12:M12"/>
    <mergeCell ref="N12:Q12"/>
    <mergeCell ref="R12:U12"/>
    <mergeCell ref="V12:V15"/>
    <mergeCell ref="J13:J14"/>
    <mergeCell ref="K13:K14"/>
  </mergeCells>
  <printOptions horizontalCentered="1" verticalCentered="1"/>
  <pageMargins left="0.39370078740157483" right="0.39370078740157483" top="0.23622047244094491" bottom="0.23622047244094491" header="0" footer="0"/>
  <pageSetup paperSize="9" scale="50" pageOrder="overThenDown" orientation="landscape" r:id="rId1"/>
  <headerFooter>
    <oddFooter>&amp;R&amp;P/&amp;N</oddFooter>
  </headerFooter>
  <rowBreaks count="6" manualBreakCount="6">
    <brk id="50" min="1" max="21" man="1"/>
    <brk id="91" min="1" max="21" man="1"/>
    <brk id="136" min="1" max="21" man="1"/>
    <brk id="166" min="1" max="21" man="1"/>
    <brk id="201" min="1" max="21" man="1"/>
    <brk id="242" min="1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E6C9-9718-4264-89D7-2864955FA5CD}">
  <dimension ref="B1:O47"/>
  <sheetViews>
    <sheetView showGridLines="0" view="pageBreakPreview" zoomScale="70" zoomScaleNormal="100" zoomScaleSheetLayoutView="70" workbookViewId="0">
      <selection activeCell="H18" sqref="H18"/>
    </sheetView>
  </sheetViews>
  <sheetFormatPr baseColWidth="10" defaultColWidth="13.33203125" defaultRowHeight="13.2" x14ac:dyDescent="0.25"/>
  <cols>
    <col min="1" max="1" width="2" style="64" customWidth="1"/>
    <col min="2" max="2" width="8.33203125" style="64" customWidth="1"/>
    <col min="3" max="3" width="77.88671875" style="64" customWidth="1"/>
    <col min="4" max="10" width="19.6640625" style="64" customWidth="1"/>
    <col min="11" max="11" width="5.33203125" style="64" customWidth="1"/>
    <col min="12" max="12" width="5.109375" style="64" bestFit="1" customWidth="1"/>
    <col min="13" max="13" width="6.6640625" style="64" bestFit="1" customWidth="1"/>
    <col min="14" max="14" width="20.33203125" style="1005" customWidth="1"/>
    <col min="15" max="16384" width="13.33203125" style="64"/>
  </cols>
  <sheetData>
    <row r="1" spans="2:15" ht="6.75" customHeight="1" thickBot="1" x14ac:dyDescent="0.3"/>
    <row r="2" spans="2:15" x14ac:dyDescent="0.25">
      <c r="B2" s="1006"/>
      <c r="C2" s="1007"/>
      <c r="D2" s="1007"/>
      <c r="E2" s="1007"/>
      <c r="F2" s="1007"/>
      <c r="G2" s="1007"/>
      <c r="H2" s="1007"/>
      <c r="I2" s="1007"/>
      <c r="J2" s="1008"/>
    </row>
    <row r="3" spans="2:15" ht="24.6" x14ac:dyDescent="0.25">
      <c r="B3" s="1009" t="s">
        <v>984</v>
      </c>
      <c r="C3" s="1010"/>
      <c r="D3" s="1010"/>
      <c r="E3" s="1010"/>
      <c r="F3" s="1010"/>
      <c r="G3" s="1010"/>
      <c r="H3" s="1010"/>
      <c r="I3" s="1010"/>
      <c r="J3" s="1011"/>
    </row>
    <row r="4" spans="2:15" ht="21.6" thickBot="1" x14ac:dyDescent="0.3">
      <c r="B4" s="1012"/>
      <c r="C4" s="1013"/>
      <c r="D4" s="1013"/>
      <c r="E4" s="1013"/>
      <c r="F4" s="1013"/>
      <c r="G4" s="1013"/>
      <c r="H4" s="1013"/>
      <c r="I4" s="1013"/>
      <c r="J4" s="1014"/>
    </row>
    <row r="5" spans="2:15" x14ac:dyDescent="0.25">
      <c r="B5" s="1015"/>
      <c r="C5" s="1016"/>
      <c r="D5" s="1016"/>
      <c r="E5" s="1016"/>
      <c r="F5" s="1016"/>
      <c r="G5" s="1016"/>
      <c r="H5" s="1016"/>
      <c r="I5" s="1016"/>
      <c r="J5" s="1017"/>
    </row>
    <row r="6" spans="2:15" s="789" customFormat="1" ht="17.399999999999999" x14ac:dyDescent="0.25">
      <c r="B6" s="946"/>
      <c r="C6" s="948" t="s">
        <v>922</v>
      </c>
      <c r="D6" s="949"/>
      <c r="E6" s="949"/>
      <c r="F6" s="949"/>
      <c r="G6" s="949"/>
      <c r="H6" s="949"/>
      <c r="I6" s="949"/>
      <c r="J6" s="950"/>
    </row>
    <row r="7" spans="2:15" s="789" customFormat="1" ht="58.5" customHeight="1" x14ac:dyDescent="0.25">
      <c r="B7" s="946"/>
      <c r="C7" s="1270" t="s">
        <v>923</v>
      </c>
      <c r="D7" s="1270"/>
      <c r="E7" s="1270"/>
      <c r="F7" s="1270"/>
      <c r="G7" s="1270"/>
      <c r="H7" s="1270"/>
      <c r="I7" s="1270"/>
      <c r="J7" s="1271"/>
    </row>
    <row r="8" spans="2:15" s="789" customFormat="1" ht="21" x14ac:dyDescent="0.25">
      <c r="B8" s="946"/>
      <c r="C8" s="951"/>
      <c r="D8" s="929"/>
      <c r="E8" s="929"/>
      <c r="F8" s="929"/>
      <c r="G8" s="929"/>
      <c r="H8" s="929"/>
      <c r="I8" s="929"/>
      <c r="J8" s="947"/>
    </row>
    <row r="9" spans="2:15" ht="17.399999999999999" x14ac:dyDescent="0.25">
      <c r="B9" s="1019"/>
      <c r="C9" s="1020" t="s">
        <v>658</v>
      </c>
      <c r="D9" s="1021"/>
      <c r="E9" s="1021"/>
      <c r="F9" s="1021"/>
      <c r="G9" s="1021"/>
      <c r="H9" s="1021"/>
      <c r="I9" s="1021"/>
      <c r="J9" s="1022"/>
    </row>
    <row r="10" spans="2:15" ht="17.399999999999999" x14ac:dyDescent="0.25">
      <c r="B10" s="1019"/>
      <c r="C10" s="928" t="s">
        <v>924</v>
      </c>
      <c r="D10" s="1023">
        <f>+'RES- SFV'!H18</f>
        <v>325518.99</v>
      </c>
      <c r="E10" s="1021"/>
      <c r="F10" s="1021"/>
      <c r="G10" s="1021"/>
      <c r="H10" s="1021"/>
      <c r="I10" s="1021"/>
      <c r="J10" s="1024"/>
      <c r="L10" s="1025"/>
      <c r="N10" s="1027" t="b">
        <f>D10=SUM(G13:G22)</f>
        <v>1</v>
      </c>
      <c r="O10" s="1026"/>
    </row>
    <row r="11" spans="2:15" ht="13.8" thickBot="1" x14ac:dyDescent="0.3">
      <c r="B11" s="1019"/>
      <c r="C11" s="1021"/>
      <c r="D11" s="1021"/>
      <c r="E11" s="1021"/>
      <c r="F11" s="1021"/>
      <c r="G11" s="1021"/>
      <c r="H11" s="1021"/>
      <c r="I11" s="1021"/>
      <c r="J11" s="1022"/>
    </row>
    <row r="12" spans="2:15" ht="28.2" thickBot="1" x14ac:dyDescent="0.3">
      <c r="B12" s="1028" t="s">
        <v>925</v>
      </c>
      <c r="C12" s="1029" t="s">
        <v>926</v>
      </c>
      <c r="D12" s="1030" t="s">
        <v>986</v>
      </c>
      <c r="E12" s="1029" t="s">
        <v>928</v>
      </c>
      <c r="F12" s="1031" t="s">
        <v>987</v>
      </c>
      <c r="G12" s="1029" t="s">
        <v>930</v>
      </c>
      <c r="H12" s="1029" t="s">
        <v>931</v>
      </c>
      <c r="I12" s="1032" t="s">
        <v>932</v>
      </c>
      <c r="J12" s="1033" t="s">
        <v>933</v>
      </c>
    </row>
    <row r="13" spans="2:15" s="1021" customFormat="1" ht="20.25" customHeight="1" x14ac:dyDescent="0.25">
      <c r="B13" s="1034">
        <v>1</v>
      </c>
      <c r="C13" s="1035" t="s">
        <v>659</v>
      </c>
      <c r="D13" s="1118" t="s">
        <v>995</v>
      </c>
      <c r="E13" s="1036" t="s">
        <v>996</v>
      </c>
      <c r="F13" s="1119" t="s">
        <v>996</v>
      </c>
      <c r="G13" s="1037">
        <f>+'Mtdo-Ppto SFV'!M20</f>
        <v>44108.07</v>
      </c>
      <c r="H13" s="1038">
        <f>ROUND(G13/$D$10,3)</f>
        <v>0.13600000000000001</v>
      </c>
      <c r="I13" s="1052">
        <f>ROUND(G13/SUM($G$13:$G$13),4)</f>
        <v>1</v>
      </c>
      <c r="J13" s="1040">
        <f>+ROUND(SUM(H13),3)</f>
        <v>0.13600000000000001</v>
      </c>
      <c r="N13" s="1041"/>
    </row>
    <row r="14" spans="2:15" s="1021" customFormat="1" ht="20.25" customHeight="1" x14ac:dyDescent="0.25">
      <c r="B14" s="1034"/>
      <c r="C14" s="1035"/>
      <c r="D14" s="1042"/>
      <c r="E14" s="1043"/>
      <c r="F14" s="1036"/>
      <c r="G14" s="1037"/>
      <c r="H14" s="1038"/>
      <c r="I14" s="1044"/>
      <c r="J14" s="1045"/>
      <c r="N14" s="1041"/>
    </row>
    <row r="15" spans="2:15" ht="20.25" customHeight="1" x14ac:dyDescent="0.25">
      <c r="B15" s="1046">
        <v>2</v>
      </c>
      <c r="C15" s="1047" t="s">
        <v>662</v>
      </c>
      <c r="D15" s="1048" t="s">
        <v>995</v>
      </c>
      <c r="E15" s="1049" t="s">
        <v>997</v>
      </c>
      <c r="F15" s="1283" t="s">
        <v>997</v>
      </c>
      <c r="G15" s="1050">
        <f>+'Mtdo-Ppto SFV'!M34</f>
        <v>39390.789999999994</v>
      </c>
      <c r="H15" s="1051">
        <f>ROUND(G15/$D$10,3)</f>
        <v>0.121</v>
      </c>
      <c r="I15" s="1052">
        <f>ROUND(G15/SUM($G$15:$G$16),4)</f>
        <v>1</v>
      </c>
      <c r="J15" s="1053">
        <f>+ROUND(SUM(H15:H16),3)</f>
        <v>0.121</v>
      </c>
      <c r="L15" s="1054"/>
      <c r="M15" s="1055"/>
      <c r="N15" s="1041"/>
    </row>
    <row r="16" spans="2:15" ht="20.25" customHeight="1" x14ac:dyDescent="0.25">
      <c r="B16" s="1056"/>
      <c r="C16" s="1057"/>
      <c r="D16" s="1120"/>
      <c r="E16" s="1059"/>
      <c r="F16" s="1284"/>
      <c r="G16" s="1060"/>
      <c r="H16" s="1061"/>
      <c r="I16" s="1062"/>
      <c r="J16" s="1063"/>
      <c r="L16" s="1054"/>
      <c r="M16" s="1064"/>
      <c r="N16" s="1041"/>
    </row>
    <row r="17" spans="2:14" ht="20.25" customHeight="1" x14ac:dyDescent="0.25">
      <c r="B17" s="1065">
        <v>3</v>
      </c>
      <c r="C17" s="1121" t="s">
        <v>998</v>
      </c>
      <c r="D17" s="1067" t="s">
        <v>995</v>
      </c>
      <c r="E17" s="1036" t="s">
        <v>999</v>
      </c>
      <c r="F17" s="1283" t="s">
        <v>999</v>
      </c>
      <c r="G17" s="1037">
        <f>+'Mtdo-Ppto SFV'!M50+'Mtdo-Ppto SFV'!M62+'Mtdo-Ppto SFV'!M72</f>
        <v>106639.18</v>
      </c>
      <c r="H17" s="1038">
        <f>ROUND(G17/$D$10-0.001,3)</f>
        <v>0.32700000000000001</v>
      </c>
      <c r="I17" s="1068">
        <f>ROUND(G17/SUM($G$17:$G$19),4)</f>
        <v>0.71830000000000005</v>
      </c>
      <c r="J17" s="1053">
        <f>+ROUND(SUM(H17:H19),3)</f>
        <v>0.45600000000000002</v>
      </c>
      <c r="L17" s="1069"/>
      <c r="M17" s="1070"/>
      <c r="N17" s="1041"/>
    </row>
    <row r="18" spans="2:14" ht="20.25" customHeight="1" x14ac:dyDescent="0.25">
      <c r="B18" s="1065"/>
      <c r="C18" s="1121" t="s">
        <v>1000</v>
      </c>
      <c r="D18" s="1067" t="s">
        <v>944</v>
      </c>
      <c r="E18" s="1036" t="s">
        <v>1001</v>
      </c>
      <c r="F18" s="1285"/>
      <c r="G18" s="1037">
        <f>+'Mtdo-Ppto SFV'!M91+'Mtdo-Ppto SFV'!M118</f>
        <v>28166.989999999998</v>
      </c>
      <c r="H18" s="1038">
        <f t="shared" ref="H18:H21" si="0">ROUND(G18/$D$10,3)</f>
        <v>8.6999999999999994E-2</v>
      </c>
      <c r="I18" s="1068">
        <f>ROUND(G18/SUM($G$17:$G$19),4)</f>
        <v>0.18970000000000001</v>
      </c>
      <c r="J18" s="1071"/>
      <c r="L18" s="1054"/>
      <c r="M18" s="1064"/>
      <c r="N18" s="1041"/>
    </row>
    <row r="19" spans="2:14" ht="20.25" customHeight="1" x14ac:dyDescent="0.25">
      <c r="B19" s="1065"/>
      <c r="C19" s="1121" t="s">
        <v>1002</v>
      </c>
      <c r="D19" s="1122" t="s">
        <v>954</v>
      </c>
      <c r="E19" s="1036" t="s">
        <v>956</v>
      </c>
      <c r="F19" s="1285"/>
      <c r="G19" s="1037">
        <f>+'Mtdo-Ppto SFV'!M98+'Mtdo-Ppto SFV'!M111</f>
        <v>13663.360000000002</v>
      </c>
      <c r="H19" s="1038">
        <f t="shared" si="0"/>
        <v>4.2000000000000003E-2</v>
      </c>
      <c r="I19" s="1068">
        <f>ROUND(G19/SUM($G$17:$G$19),4)</f>
        <v>9.1999999999999998E-2</v>
      </c>
      <c r="J19" s="1071"/>
      <c r="L19" s="1069"/>
      <c r="M19" s="1070"/>
      <c r="N19" s="1041"/>
    </row>
    <row r="20" spans="2:14" ht="20.25" customHeight="1" x14ac:dyDescent="0.25">
      <c r="B20" s="1046">
        <v>4</v>
      </c>
      <c r="C20" s="1047" t="s">
        <v>89</v>
      </c>
      <c r="D20" s="1073" t="s">
        <v>958</v>
      </c>
      <c r="E20" s="1074" t="s">
        <v>959</v>
      </c>
      <c r="F20" s="1283" t="s">
        <v>959</v>
      </c>
      <c r="G20" s="1050">
        <f>+'Mtdo-Ppto SFV'!M166</f>
        <v>49238.780000000006</v>
      </c>
      <c r="H20" s="1051">
        <f>ROUND(G20/$D$10,3)</f>
        <v>0.151</v>
      </c>
      <c r="I20" s="1052">
        <f>ROUND(G20/($G$20+$G$21),4)</f>
        <v>0.88249999999999995</v>
      </c>
      <c r="J20" s="1053">
        <f>+ROUND(SUM(H20:H21),3)</f>
        <v>0.17100000000000001</v>
      </c>
      <c r="L20" s="1069"/>
      <c r="M20" s="1070"/>
      <c r="N20" s="1041"/>
    </row>
    <row r="21" spans="2:14" ht="20.25" customHeight="1" x14ac:dyDescent="0.25">
      <c r="B21" s="1056"/>
      <c r="C21" s="1057" t="s">
        <v>960</v>
      </c>
      <c r="D21" s="1075" t="s">
        <v>961</v>
      </c>
      <c r="E21" s="1059" t="s">
        <v>1003</v>
      </c>
      <c r="F21" s="1282"/>
      <c r="G21" s="1060">
        <f>+'Mtdo-Ppto SFV'!M270</f>
        <v>6557.1399999999994</v>
      </c>
      <c r="H21" s="1061">
        <f t="shared" si="0"/>
        <v>0.02</v>
      </c>
      <c r="I21" s="1062">
        <f>ROUND(G21/($G$20+$G$21),4)</f>
        <v>0.11749999999999999</v>
      </c>
      <c r="J21" s="1071"/>
      <c r="L21" s="1054"/>
      <c r="M21" s="1064"/>
      <c r="N21" s="1041"/>
    </row>
    <row r="22" spans="2:14" ht="20.25" customHeight="1" thickBot="1" x14ac:dyDescent="0.3">
      <c r="B22" s="1076">
        <v>5</v>
      </c>
      <c r="C22" s="1077" t="s">
        <v>994</v>
      </c>
      <c r="D22" s="1078" t="s">
        <v>964</v>
      </c>
      <c r="E22" s="1079" t="s">
        <v>965</v>
      </c>
      <c r="F22" s="1080" t="s">
        <v>965</v>
      </c>
      <c r="G22" s="1081">
        <f>+'RES- SFV'!H16+'RES- SFV'!H17</f>
        <v>37754.68</v>
      </c>
      <c r="H22" s="1082">
        <f>ROUND(G22/$D$10,3)</f>
        <v>0.11600000000000001</v>
      </c>
      <c r="I22" s="1083">
        <f>+G22/(G22)</f>
        <v>1</v>
      </c>
      <c r="J22" s="1084">
        <f>+ROUND(SUM(H22),3)</f>
        <v>0.11600000000000001</v>
      </c>
      <c r="K22" s="1085"/>
      <c r="L22" s="1069"/>
      <c r="M22" s="1055"/>
      <c r="N22" s="1041"/>
    </row>
    <row r="23" spans="2:14" ht="15" x14ac:dyDescent="0.25">
      <c r="B23" s="1086"/>
      <c r="C23" s="1087"/>
      <c r="D23" s="1087"/>
      <c r="E23" s="1087"/>
      <c r="F23" s="1087"/>
      <c r="G23" s="1088"/>
      <c r="H23" s="1089">
        <f>SUM(H15:H22)</f>
        <v>0.8640000000000001</v>
      </c>
      <c r="I23" s="1090"/>
      <c r="J23" s="1091"/>
      <c r="N23" s="1123"/>
    </row>
    <row r="24" spans="2:14" ht="17.399999999999999" x14ac:dyDescent="0.25">
      <c r="B24" s="1093" t="s">
        <v>967</v>
      </c>
      <c r="C24" s="928" t="str">
        <f>J13&amp;" UGr/UGo + "&amp;J15&amp;" UCr/UCo + "&amp;J17&amp;" UAr/UAo+ "&amp;J20&amp;" Jr/Jo + "&amp;J22&amp;" GGr/GGo"</f>
        <v>0.136 UGr/UGo + 0.121 UCr/UCo + 0.456 UAr/UAo+ 0.171 Jr/Jo + 0.116 GGr/GGo</v>
      </c>
      <c r="D24" s="1020"/>
      <c r="E24" s="1020"/>
      <c r="F24" s="1020"/>
      <c r="G24" s="1094"/>
      <c r="H24" s="1095"/>
      <c r="I24" s="1096"/>
      <c r="J24" s="1097"/>
    </row>
    <row r="25" spans="2:14" ht="13.8" thickBot="1" x14ac:dyDescent="0.3">
      <c r="B25" s="1098"/>
      <c r="C25" s="1099"/>
      <c r="D25" s="1099"/>
      <c r="E25" s="1099"/>
      <c r="F25" s="1099"/>
      <c r="G25" s="1099"/>
      <c r="H25" s="1099"/>
      <c r="I25" s="1099"/>
      <c r="J25" s="1100"/>
    </row>
    <row r="26" spans="2:14" ht="8.4" customHeight="1" x14ac:dyDescent="0.25">
      <c r="B26" s="1019"/>
      <c r="C26" s="1021"/>
      <c r="D26" s="1021"/>
      <c r="E26" s="1021"/>
      <c r="F26" s="1021"/>
      <c r="G26" s="1021"/>
      <c r="H26" s="1021"/>
      <c r="I26" s="1021"/>
      <c r="J26" s="1101"/>
    </row>
    <row r="27" spans="2:14" x14ac:dyDescent="0.25">
      <c r="B27" s="1019" t="s">
        <v>232</v>
      </c>
      <c r="C27" s="1021"/>
      <c r="D27" s="1021"/>
      <c r="E27" s="1021"/>
      <c r="F27" s="1021"/>
      <c r="G27" s="1021"/>
      <c r="H27" s="1102"/>
      <c r="I27" s="1103"/>
      <c r="J27" s="1104"/>
    </row>
    <row r="28" spans="2:14" x14ac:dyDescent="0.25">
      <c r="B28" s="1019"/>
      <c r="C28" s="1021"/>
      <c r="D28" s="1021"/>
      <c r="E28" s="1021"/>
      <c r="F28" s="1021"/>
      <c r="G28" s="1021"/>
      <c r="H28" s="1102"/>
      <c r="I28" s="1105"/>
      <c r="J28" s="1104"/>
    </row>
    <row r="29" spans="2:14" ht="13.8" x14ac:dyDescent="0.25">
      <c r="B29" s="1106" t="s">
        <v>968</v>
      </c>
      <c r="C29" s="1107" t="s">
        <v>969</v>
      </c>
      <c r="D29" s="1107"/>
      <c r="E29" s="1107"/>
      <c r="F29" s="1107"/>
      <c r="G29" s="1021"/>
      <c r="H29" s="1102"/>
      <c r="I29" s="1103"/>
      <c r="J29" s="1104"/>
    </row>
    <row r="30" spans="2:14" ht="13.8" x14ac:dyDescent="0.25">
      <c r="B30" s="1106"/>
      <c r="C30" s="1107" t="s">
        <v>970</v>
      </c>
      <c r="D30" s="1107"/>
      <c r="E30" s="1107"/>
      <c r="F30" s="1107"/>
      <c r="G30" s="1021"/>
      <c r="H30" s="1102"/>
      <c r="I30" s="1103"/>
      <c r="J30" s="1104"/>
    </row>
    <row r="31" spans="2:14" ht="13.8" x14ac:dyDescent="0.25">
      <c r="B31" s="1106"/>
      <c r="C31" s="1107" t="s">
        <v>971</v>
      </c>
      <c r="D31" s="1021"/>
      <c r="E31" s="1021"/>
      <c r="F31" s="1021"/>
      <c r="G31" s="1021"/>
      <c r="H31" s="1102"/>
      <c r="I31" s="1103"/>
      <c r="J31" s="1104"/>
    </row>
    <row r="32" spans="2:14" ht="13.8" x14ac:dyDescent="0.25">
      <c r="B32" s="1106" t="s">
        <v>972</v>
      </c>
      <c r="C32" s="1107" t="s">
        <v>973</v>
      </c>
      <c r="D32" s="1107"/>
      <c r="E32" s="1107"/>
      <c r="F32" s="1107"/>
      <c r="G32" s="1021"/>
      <c r="H32" s="1102"/>
      <c r="I32" s="1103"/>
      <c r="J32" s="1101"/>
    </row>
    <row r="33" spans="2:10" ht="13.8" x14ac:dyDescent="0.25">
      <c r="B33" s="1106"/>
      <c r="C33" s="1107" t="s">
        <v>974</v>
      </c>
      <c r="D33" s="1021"/>
      <c r="E33" s="1021"/>
      <c r="F33" s="1021"/>
      <c r="G33" s="1021"/>
      <c r="H33" s="1102"/>
      <c r="I33" s="1108"/>
      <c r="J33" s="1101"/>
    </row>
    <row r="34" spans="2:10" ht="14.4" thickBot="1" x14ac:dyDescent="0.3">
      <c r="B34" s="1109" t="s">
        <v>975</v>
      </c>
      <c r="C34" s="1110" t="s">
        <v>976</v>
      </c>
      <c r="D34" s="1110"/>
      <c r="E34" s="1099"/>
      <c r="F34" s="1099"/>
      <c r="G34" s="1099"/>
      <c r="H34" s="1111"/>
      <c r="I34" s="1111"/>
      <c r="J34" s="1112"/>
    </row>
    <row r="35" spans="2:10" x14ac:dyDescent="0.25">
      <c r="G35" s="1113"/>
      <c r="J35" s="1114"/>
    </row>
    <row r="36" spans="2:10" x14ac:dyDescent="0.25">
      <c r="G36" s="1115"/>
      <c r="H36" s="1116"/>
      <c r="I36" s="1116"/>
      <c r="J36" s="1116"/>
    </row>
    <row r="37" spans="2:10" x14ac:dyDescent="0.25">
      <c r="G37" s="1115"/>
    </row>
    <row r="39" spans="2:10" x14ac:dyDescent="0.25">
      <c r="G39" s="1115"/>
    </row>
    <row r="40" spans="2:10" x14ac:dyDescent="0.25">
      <c r="H40" s="1124" t="str">
        <f>+IF(SUM(H13:H22)=1,"ok","X")</f>
        <v>ok</v>
      </c>
      <c r="I40" s="1124" t="str">
        <f>+IF(SUM(I13:I22)=5,"ok","X")</f>
        <v>ok</v>
      </c>
      <c r="J40" s="1124" t="str">
        <f t="shared" ref="J40" si="1">+IF(SUM(J13:J22)=1,"ok","X")</f>
        <v>ok</v>
      </c>
    </row>
    <row r="47" spans="2:10" x14ac:dyDescent="0.25">
      <c r="J47" s="1069"/>
    </row>
  </sheetData>
  <mergeCells count="4">
    <mergeCell ref="C7:J7"/>
    <mergeCell ref="F15:F16"/>
    <mergeCell ref="F17:F19"/>
    <mergeCell ref="F20:F21"/>
  </mergeCells>
  <printOptions horizontalCentered="1" verticalCentered="1"/>
  <pageMargins left="0.39370078740157483" right="0.39370078740157483" top="0" bottom="0" header="0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21</vt:i4>
      </vt:variant>
    </vt:vector>
  </HeadingPairs>
  <TitlesOfParts>
    <vt:vector size="37" baseType="lpstr">
      <vt:lpstr>RESUMEN TOTAL</vt:lpstr>
      <vt:lpstr>RES-GRAL OBRA</vt:lpstr>
      <vt:lpstr>RG</vt:lpstr>
      <vt:lpstr>GG Contr.</vt:lpstr>
      <vt:lpstr>RES-LP</vt:lpstr>
      <vt:lpstr>Mtdo-Ppto LP</vt:lpstr>
      <vt:lpstr>FP LP</vt:lpstr>
      <vt:lpstr>RES-RP</vt:lpstr>
      <vt:lpstr>Mtdo-Ppto RP</vt:lpstr>
      <vt:lpstr>FP RP</vt:lpstr>
      <vt:lpstr>RES-RS</vt:lpstr>
      <vt:lpstr>Mtdo-Ppto RS</vt:lpstr>
      <vt:lpstr>FP RS</vt:lpstr>
      <vt:lpstr>RES- SFV</vt:lpstr>
      <vt:lpstr>Mtdo-Ppto SFV</vt:lpstr>
      <vt:lpstr>FP  SFVS</vt:lpstr>
      <vt:lpstr>'FP  SFVS'!Área_de_impresión</vt:lpstr>
      <vt:lpstr>'FP LP'!Área_de_impresión</vt:lpstr>
      <vt:lpstr>'FP RP'!Área_de_impresión</vt:lpstr>
      <vt:lpstr>'FP RS'!Área_de_impresión</vt:lpstr>
      <vt:lpstr>'GG Contr.'!Área_de_impresión</vt:lpstr>
      <vt:lpstr>'Mtdo-Ppto LP'!Área_de_impresión</vt:lpstr>
      <vt:lpstr>'Mtdo-Ppto RP'!Área_de_impresión</vt:lpstr>
      <vt:lpstr>'Mtdo-Ppto RS'!Área_de_impresión</vt:lpstr>
      <vt:lpstr>'Mtdo-Ppto SFV'!Área_de_impresión</vt:lpstr>
      <vt:lpstr>'RES- SFV'!Área_de_impresión</vt:lpstr>
      <vt:lpstr>'RES-GRAL OBRA'!Área_de_impresión</vt:lpstr>
      <vt:lpstr>'RES-LP'!Área_de_impresión</vt:lpstr>
      <vt:lpstr>'RES-RP'!Área_de_impresión</vt:lpstr>
      <vt:lpstr>'RES-RS'!Área_de_impresión</vt:lpstr>
      <vt:lpstr>'RESUMEN TOTAL'!Área_de_impresión</vt:lpstr>
      <vt:lpstr>RG!Área_de_impresión</vt:lpstr>
      <vt:lpstr>'GG Contr.'!Títulos_a_imprimir</vt:lpstr>
      <vt:lpstr>'Mtdo-Ppto LP'!Títulos_a_imprimir</vt:lpstr>
      <vt:lpstr>'Mtdo-Ppto RP'!Títulos_a_imprimir</vt:lpstr>
      <vt:lpstr>'Mtdo-Ppto RS'!Títulos_a_imprimir</vt:lpstr>
      <vt:lpstr>'Mtdo-Ppto SFV'!Títulos_a_imprimir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javier condori porras</cp:lastModifiedBy>
  <cp:lastPrinted>2025-03-21T22:14:35Z</cp:lastPrinted>
  <dcterms:created xsi:type="dcterms:W3CDTF">2021-08-31T22:47:22Z</dcterms:created>
  <dcterms:modified xsi:type="dcterms:W3CDTF">2025-03-25T16:25:07Z</dcterms:modified>
</cp:coreProperties>
</file>