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21075" windowHeight="9750" activeTab="1"/>
  </bookViews>
  <sheets>
    <sheet name="Finance 2" sheetId="4" r:id="rId1"/>
    <sheet name="Sheet1" sheetId="1" r:id="rId2"/>
    <sheet name="Sheet2" sheetId="2" r:id="rId3"/>
    <sheet name="Sheet3" sheetId="3" r:id="rId4"/>
  </sheets>
  <externalReferences>
    <externalReference r:id="rId5"/>
    <externalReference r:id="rId6"/>
  </externalReferences>
  <definedNames>
    <definedName name="ActualCumulativeCo">[1]ReportInformation!$X$11</definedName>
    <definedName name="ActualCumulativeEIF">[1]ReportInformation!$W$11</definedName>
    <definedName name="AssetTypeItems">'[1]Data- TO BE HIDDEN'!$I$2:$I$4</definedName>
    <definedName name="CHANGELIGHT">'[1]5.Changes'!$M$28</definedName>
    <definedName name="Check1">'[1]1.Header'!$D$37</definedName>
    <definedName name="Check2">'[1]1.Header'!$D$39</definedName>
    <definedName name="CommsType">'[1]Data- TO BE HIDDEN'!$C$2:$C$9</definedName>
    <definedName name="COMMUNICATIONLIGHT">'[1]8.Communications'!$H$43</definedName>
    <definedName name="DEPENDENCYLIGHT">'[1]6.Dependencies'!$G$24</definedName>
    <definedName name="EarliestDate">'[1]Data- TO BE HIDDEN'!$F$2</definedName>
    <definedName name="FINANCELIGHT">'Finance 2'!$T$29</definedName>
    <definedName name="FINANCESTART">'Finance 2'!$D$25</definedName>
    <definedName name="ISSUELIGHT">'[1]3.Issues'!$K$28</definedName>
    <definedName name="LastDateReport" localSheetId="1">[2]RT029!$C$13</definedName>
    <definedName name="LastDateReport">'[1]1.Header'!$G$16</definedName>
    <definedName name="LASTQUARTER">'Finance 2'!$I$29</definedName>
    <definedName name="LatestDate">'[1]Data- TO BE HIDDEN'!$G$2</definedName>
    <definedName name="MEASURELIGHT">'[1]7.Measures'!$Q$46</definedName>
    <definedName name="MILESTONELIGHT">'[1]2.Milestones'!$P$37</definedName>
    <definedName name="OLE_LINK3" localSheetId="1">Sheet1!$A$4</definedName>
    <definedName name="OVERALLLIGHT">'[1]1.Header'!$AE$32</definedName>
    <definedName name="PercentageListItems">'[1]Data- TO BE HIDDEN'!$B$2:$B$6</definedName>
    <definedName name="_xlnm.Print_Area" localSheetId="0">'Finance 2'!$B$11:$M$102</definedName>
    <definedName name="ProjName">'[1]1.Header'!$G$14</definedName>
    <definedName name="ProjNo">'[1]1.Header'!$D$14</definedName>
    <definedName name="ReportFrom">'[1]1.Header'!$G$15</definedName>
    <definedName name="RISKLIGHT">'[1]4.Risks'!$G$25</definedName>
    <definedName name="RiskRating">'[1]Data- TO BE HIDDEN'!$D$2:$D$4</definedName>
    <definedName name="StatusItems">'[1]Data- TO BE HIDDEN'!$H$2:$H$4</definedName>
    <definedName name="TOTALEIF">'Finance 2'!$E$20</definedName>
    <definedName name="YesNo">'[1]Data- TO BE HIDDEN'!$E$2:$E$3</definedName>
  </definedNames>
  <calcPr calcId="125725"/>
</workbook>
</file>

<file path=xl/calcChain.xml><?xml version="1.0" encoding="utf-8"?>
<calcChain xmlns="http://schemas.openxmlformats.org/spreadsheetml/2006/main">
  <c r="K29" i="1"/>
  <c r="K28"/>
  <c r="N23"/>
  <c r="Q23"/>
  <c r="T23"/>
  <c r="K23"/>
  <c r="H23"/>
  <c r="M26" i="4"/>
  <c r="C3"/>
  <c r="C4"/>
  <c r="C6"/>
  <c r="C7"/>
  <c r="C11"/>
  <c r="D11"/>
  <c r="D12"/>
  <c r="D13"/>
  <c r="J20"/>
  <c r="H25"/>
  <c r="I25" s="1"/>
  <c r="L25"/>
  <c r="M25"/>
  <c r="E53" s="1"/>
  <c r="Q25"/>
  <c r="S25"/>
  <c r="B26"/>
  <c r="H26"/>
  <c r="F49" s="1"/>
  <c r="L26"/>
  <c r="Q26"/>
  <c r="T26"/>
  <c r="B27"/>
  <c r="H27"/>
  <c r="L27"/>
  <c r="Q27" s="1"/>
  <c r="N27"/>
  <c r="P27"/>
  <c r="U27"/>
  <c r="B28"/>
  <c r="H28"/>
  <c r="L28"/>
  <c r="Q28" s="1"/>
  <c r="N28"/>
  <c r="P28"/>
  <c r="S28"/>
  <c r="U28"/>
  <c r="B29"/>
  <c r="H29"/>
  <c r="P29" s="1"/>
  <c r="L29"/>
  <c r="Q29" s="1"/>
  <c r="N29"/>
  <c r="U29"/>
  <c r="B30"/>
  <c r="H30"/>
  <c r="N30" s="1"/>
  <c r="I30"/>
  <c r="P30" s="1"/>
  <c r="L30"/>
  <c r="Q30"/>
  <c r="B31"/>
  <c r="H31"/>
  <c r="N31" s="1"/>
  <c r="I31"/>
  <c r="P31" s="1"/>
  <c r="L31"/>
  <c r="Q31"/>
  <c r="B32"/>
  <c r="H32"/>
  <c r="I32"/>
  <c r="L47" s="1"/>
  <c r="L32"/>
  <c r="M32" s="1"/>
  <c r="N32"/>
  <c r="P32"/>
  <c r="B33"/>
  <c r="H33"/>
  <c r="I33" s="1"/>
  <c r="L33"/>
  <c r="M33"/>
  <c r="Q33" s="1"/>
  <c r="N33"/>
  <c r="B34"/>
  <c r="H34"/>
  <c r="I34" s="1"/>
  <c r="L34"/>
  <c r="M34"/>
  <c r="Q34" s="1"/>
  <c r="N34"/>
  <c r="B35"/>
  <c r="H35"/>
  <c r="I35"/>
  <c r="L35"/>
  <c r="O55" s="1"/>
  <c r="N35"/>
  <c r="P35"/>
  <c r="B36"/>
  <c r="H36"/>
  <c r="I36"/>
  <c r="P47" s="1"/>
  <c r="L36"/>
  <c r="M36" s="1"/>
  <c r="N36"/>
  <c r="P36"/>
  <c r="B37"/>
  <c r="H37"/>
  <c r="L37"/>
  <c r="M37"/>
  <c r="Q37" s="1"/>
  <c r="N37"/>
  <c r="D38"/>
  <c r="F20" s="1"/>
  <c r="E38"/>
  <c r="F38"/>
  <c r="G38"/>
  <c r="H38"/>
  <c r="R50" s="1"/>
  <c r="J38"/>
  <c r="K38"/>
  <c r="L38"/>
  <c r="R54" s="1"/>
  <c r="E45"/>
  <c r="F45"/>
  <c r="G45"/>
  <c r="G56" s="1"/>
  <c r="H45"/>
  <c r="H51" s="1"/>
  <c r="I45"/>
  <c r="J45"/>
  <c r="K45"/>
  <c r="K56" s="1"/>
  <c r="L45"/>
  <c r="L51" s="1"/>
  <c r="M45"/>
  <c r="N45"/>
  <c r="O45"/>
  <c r="O56" s="1"/>
  <c r="P45"/>
  <c r="P51" s="1"/>
  <c r="Q45"/>
  <c r="R46"/>
  <c r="E20" s="1"/>
  <c r="G47"/>
  <c r="H47"/>
  <c r="I47"/>
  <c r="O47"/>
  <c r="E49"/>
  <c r="R49" s="1"/>
  <c r="G49"/>
  <c r="H49"/>
  <c r="I49"/>
  <c r="J49"/>
  <c r="K49"/>
  <c r="L49"/>
  <c r="M49"/>
  <c r="N49"/>
  <c r="O49"/>
  <c r="P49"/>
  <c r="Q49"/>
  <c r="F50"/>
  <c r="G50"/>
  <c r="H50"/>
  <c r="I50"/>
  <c r="J50"/>
  <c r="K50"/>
  <c r="L50"/>
  <c r="M50"/>
  <c r="N50"/>
  <c r="O50"/>
  <c r="P50"/>
  <c r="Q50"/>
  <c r="E51"/>
  <c r="F51"/>
  <c r="I51"/>
  <c r="J51"/>
  <c r="M51"/>
  <c r="N51"/>
  <c r="Q51"/>
  <c r="R52"/>
  <c r="F53"/>
  <c r="G53"/>
  <c r="H53"/>
  <c r="I53"/>
  <c r="J53"/>
  <c r="K53"/>
  <c r="M53"/>
  <c r="N53"/>
  <c r="Q53"/>
  <c r="E55"/>
  <c r="E56" s="1"/>
  <c r="F55"/>
  <c r="G55"/>
  <c r="H55"/>
  <c r="J55"/>
  <c r="K55"/>
  <c r="M55"/>
  <c r="N55"/>
  <c r="Q55"/>
  <c r="F56"/>
  <c r="H56"/>
  <c r="I56"/>
  <c r="J56"/>
  <c r="L56"/>
  <c r="M56"/>
  <c r="N56"/>
  <c r="P56"/>
  <c r="Q56"/>
  <c r="R25" i="1"/>
  <c r="O26"/>
  <c r="H21"/>
  <c r="O25" s="1"/>
  <c r="E24"/>
  <c r="L26"/>
  <c r="Q13"/>
  <c r="Q15"/>
  <c r="N4"/>
  <c r="N5"/>
  <c r="N6"/>
  <c r="N7"/>
  <c r="N8"/>
  <c r="N9"/>
  <c r="N10"/>
  <c r="N11"/>
  <c r="N12"/>
  <c r="N14"/>
  <c r="N15"/>
  <c r="N13"/>
  <c r="K14"/>
  <c r="L25"/>
  <c r="P5"/>
  <c r="Q5"/>
  <c r="P6"/>
  <c r="Q6"/>
  <c r="P7"/>
  <c r="Q7"/>
  <c r="P8"/>
  <c r="Q8"/>
  <c r="P9"/>
  <c r="Q9"/>
  <c r="P10"/>
  <c r="Q10"/>
  <c r="P11"/>
  <c r="Q11"/>
  <c r="P12"/>
  <c r="Q12"/>
  <c r="P13"/>
  <c r="P14"/>
  <c r="Q14"/>
  <c r="P15"/>
  <c r="Q4"/>
  <c r="P4"/>
  <c r="S5"/>
  <c r="T5"/>
  <c r="S6"/>
  <c r="T6"/>
  <c r="S7"/>
  <c r="T7"/>
  <c r="S8"/>
  <c r="T8"/>
  <c r="S9"/>
  <c r="T9"/>
  <c r="S10"/>
  <c r="T10"/>
  <c r="S11"/>
  <c r="T11"/>
  <c r="S12"/>
  <c r="T12"/>
  <c r="S13"/>
  <c r="T13"/>
  <c r="S14"/>
  <c r="T14"/>
  <c r="S15"/>
  <c r="T15"/>
  <c r="T4"/>
  <c r="S4"/>
  <c r="M5"/>
  <c r="M6"/>
  <c r="M7"/>
  <c r="M8"/>
  <c r="M21" s="1"/>
  <c r="M9"/>
  <c r="M10"/>
  <c r="M11"/>
  <c r="M12"/>
  <c r="M13"/>
  <c r="M14"/>
  <c r="M15"/>
  <c r="M4"/>
  <c r="J6"/>
  <c r="K6"/>
  <c r="J7"/>
  <c r="K7"/>
  <c r="J8"/>
  <c r="K8"/>
  <c r="J10"/>
  <c r="K10"/>
  <c r="J11"/>
  <c r="K11"/>
  <c r="J13"/>
  <c r="K13"/>
  <c r="J14"/>
  <c r="J15"/>
  <c r="K15"/>
  <c r="K4"/>
  <c r="J4"/>
  <c r="H6"/>
  <c r="H7"/>
  <c r="H8"/>
  <c r="H10"/>
  <c r="H11"/>
  <c r="H13"/>
  <c r="H14"/>
  <c r="H15"/>
  <c r="H4"/>
  <c r="G6"/>
  <c r="G7"/>
  <c r="G8"/>
  <c r="G10"/>
  <c r="G11"/>
  <c r="G13"/>
  <c r="G14"/>
  <c r="G15"/>
  <c r="G4"/>
  <c r="H20" i="4" l="1"/>
  <c r="I39"/>
  <c r="Q36"/>
  <c r="U36"/>
  <c r="P53"/>
  <c r="E47"/>
  <c r="N25"/>
  <c r="E54"/>
  <c r="F54" s="1"/>
  <c r="G54" s="1"/>
  <c r="H54" s="1"/>
  <c r="I54" s="1"/>
  <c r="J54" s="1"/>
  <c r="K54" s="1"/>
  <c r="U33"/>
  <c r="M47"/>
  <c r="U32"/>
  <c r="L53"/>
  <c r="Q32"/>
  <c r="N47"/>
  <c r="U34"/>
  <c r="L20"/>
  <c r="J47"/>
  <c r="I37"/>
  <c r="M35"/>
  <c r="P33"/>
  <c r="U31"/>
  <c r="U30"/>
  <c r="P26"/>
  <c r="I26"/>
  <c r="K20"/>
  <c r="G20"/>
  <c r="R51"/>
  <c r="R56"/>
  <c r="P55"/>
  <c r="L55"/>
  <c r="O51"/>
  <c r="K51"/>
  <c r="G51"/>
  <c r="E50"/>
  <c r="K47"/>
  <c r="P34"/>
  <c r="U25"/>
  <c r="P25"/>
  <c r="M38"/>
  <c r="I55"/>
  <c r="R55" s="1"/>
  <c r="N21" i="1"/>
  <c r="M22"/>
  <c r="P21"/>
  <c r="Q21"/>
  <c r="T21"/>
  <c r="S21"/>
  <c r="K21"/>
  <c r="K22" s="1"/>
  <c r="J21"/>
  <c r="J22" s="1"/>
  <c r="G21"/>
  <c r="L54" i="4" l="1"/>
  <c r="M54" s="1"/>
  <c r="N54" s="1"/>
  <c r="Q38"/>
  <c r="U37"/>
  <c r="Q47"/>
  <c r="U35"/>
  <c r="Q35"/>
  <c r="O53"/>
  <c r="R53" s="1"/>
  <c r="F47"/>
  <c r="R47" s="1"/>
  <c r="N26"/>
  <c r="F41" s="1"/>
  <c r="U26"/>
  <c r="T27"/>
  <c r="T28" s="1"/>
  <c r="T24"/>
  <c r="T25" s="1"/>
  <c r="P38"/>
  <c r="P37"/>
  <c r="I38"/>
  <c r="E48"/>
  <c r="F48" s="1"/>
  <c r="G48" s="1"/>
  <c r="H48" s="1"/>
  <c r="I48" s="1"/>
  <c r="J48" s="1"/>
  <c r="K48" s="1"/>
  <c r="L48" s="1"/>
  <c r="M48" s="1"/>
  <c r="N48" s="1"/>
  <c r="O48" s="1"/>
  <c r="P48" s="1"/>
  <c r="Q48" s="1"/>
  <c r="R48" s="1"/>
  <c r="O54"/>
  <c r="P54" s="1"/>
  <c r="Q54" s="1"/>
  <c r="N22" i="1"/>
  <c r="Q22" s="1"/>
  <c r="T22" s="1"/>
  <c r="P22"/>
  <c r="S22" s="1"/>
  <c r="T23" i="4" l="1"/>
  <c r="T29" s="1"/>
  <c r="I20"/>
  <c r="J15" l="1"/>
  <c r="C9"/>
  <c r="C8" l="1"/>
  <c r="C5" l="1"/>
  <c r="C2" l="1"/>
  <c r="C1" l="1"/>
</calcChain>
</file>

<file path=xl/comments1.xml><?xml version="1.0" encoding="utf-8"?>
<comments xmlns="http://schemas.openxmlformats.org/spreadsheetml/2006/main">
  <authors>
    <author>mecolesm</author>
  </authors>
  <commentList>
    <comment ref="O19" authorId="0">
      <text>
        <r>
          <rPr>
            <b/>
            <sz val="8"/>
            <color rgb="FF000000"/>
            <rFont val="Tahoma"/>
            <family val="2"/>
          </rPr>
          <t>mecolesm:</t>
        </r>
        <r>
          <rPr>
            <sz val="8"/>
            <color rgb="FF000000"/>
            <rFont val="Tahoma"/>
            <family val="2"/>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sharedStrings.xml><?xml version="1.0" encoding="utf-8"?>
<sst xmlns="http://schemas.openxmlformats.org/spreadsheetml/2006/main" count="109" uniqueCount="99">
  <si>
    <t>Milestone</t>
  </si>
  <si>
    <t>Associated Deliverable Start Date</t>
  </si>
  <si>
    <t>Milestone Date</t>
  </si>
  <si>
    <t>EIF Funding</t>
  </si>
  <si>
    <t>Co-investment Funding</t>
  </si>
  <si>
    <t>Sub-contract signed</t>
  </si>
  <si>
    <t>Funding Milestone 1</t>
  </si>
  <si>
    <t>Established Support Tools &amp; Processes</t>
  </si>
  <si>
    <t>Funding Milestone 2</t>
  </si>
  <si>
    <t>Integrated existing application with AAF Authentication Services</t>
  </si>
  <si>
    <t>Integrated Invoicing &amp; Billing</t>
  </si>
  <si>
    <t>Initial Production Research Cloud Deployed</t>
  </si>
  <si>
    <t>Funding Milestone 3</t>
  </si>
  <si>
    <t>Implemented Data Extraction for Analysis Module</t>
  </si>
  <si>
    <t>Implemented Pedigree Storage &amp; Visualisation Module</t>
  </si>
  <si>
    <t>Funding Milestone 4</t>
  </si>
  <si>
    <t>Enhanced Data Linkage &amp; Reporting Module</t>
  </si>
  <si>
    <t>Implemented Registry Management Module</t>
  </si>
  <si>
    <t>Integrated Genotypic Data Management Capability</t>
  </si>
  <si>
    <t>Funding Milestone 5</t>
  </si>
  <si>
    <t>Funding Milestone 6 - Final Admin Closure</t>
  </si>
  <si>
    <t>System Support</t>
  </si>
  <si>
    <t>Travel Budget (UWA Centre for Genetic Epidemiology and Biostatistics)</t>
  </si>
  <si>
    <t>Other Expenses (UWA Research Matching Funds)</t>
  </si>
  <si>
    <t>Total EIF Request</t>
  </si>
  <si>
    <t>Cumulative Expenditure to 1 Dec 12</t>
  </si>
  <si>
    <t>Dec-March</t>
  </si>
  <si>
    <t>March-May</t>
  </si>
  <si>
    <t>May-August</t>
  </si>
  <si>
    <t>Aug-Nov</t>
  </si>
  <si>
    <t>Cumulative</t>
  </si>
  <si>
    <t>nectar</t>
  </si>
  <si>
    <t>co-inv</t>
  </si>
  <si>
    <t>however giving 15552 in order to deal with nectars reduced funding</t>
  </si>
  <si>
    <t>Co Inv Actuals (Accum)</t>
  </si>
  <si>
    <t>Co Inv Actuals</t>
  </si>
  <si>
    <t>PM Co inv Forecast (Accum)</t>
  </si>
  <si>
    <t>PM Co inv Forecast</t>
  </si>
  <si>
    <t>Co Inv Proposal Budget</t>
  </si>
  <si>
    <t>Nectar Paid (Accum)</t>
  </si>
  <si>
    <t>Nectar Actual (Accum)</t>
  </si>
  <si>
    <t>Nectar Actual</t>
  </si>
  <si>
    <t>PM Nectar Forecast (Accum)</t>
  </si>
  <si>
    <t>PM Nectar Forecast</t>
  </si>
  <si>
    <t>Nectar Proposal Budget</t>
  </si>
  <si>
    <t>Total</t>
  </si>
  <si>
    <t>Optional Comment</t>
  </si>
  <si>
    <t>Nectar Allocated</t>
  </si>
  <si>
    <t>TOTAL</t>
  </si>
  <si>
    <t>FINANCE LIGHT</t>
  </si>
  <si>
    <t>20% of funds</t>
  </si>
  <si>
    <t>Last Quarter</t>
  </si>
  <si>
    <t>30% of funds</t>
  </si>
  <si>
    <t>In-Kind Contribution</t>
  </si>
  <si>
    <t>Cash Contribution</t>
  </si>
  <si>
    <t>Other</t>
  </si>
  <si>
    <t>Equipment</t>
  </si>
  <si>
    <t>Personnel</t>
  </si>
  <si>
    <t>End Date</t>
  </si>
  <si>
    <t>Start Date</t>
  </si>
  <si>
    <t>Total Project Manager's Nectar and Co-investment ACTUAL and FORECASTED Expenditure</t>
  </si>
  <si>
    <t>PM estimate = EIF Allocated</t>
  </si>
  <si>
    <t>Project Manager's Estimated Project Cash Flow Co-investment</t>
  </si>
  <si>
    <t>Estimated Project Cash Flow EIF
- Shows Actuals where available</t>
  </si>
  <si>
    <t>Project Manager's Co-investment FORECAST</t>
  </si>
  <si>
    <t>Expenditure: Actual Co-investment</t>
  </si>
  <si>
    <t>Project Manager's Nectar Funds FORECAST</t>
  </si>
  <si>
    <t>Expenditure: Actual Nectar Funds</t>
  </si>
  <si>
    <t>Nectar Funds RECEIVED</t>
  </si>
  <si>
    <t>Financial Reporting Period</t>
  </si>
  <si>
    <t>Financial Reporting Period ID</t>
  </si>
  <si>
    <t>Status</t>
  </si>
  <si>
    <t>FinanceLight Element</t>
  </si>
  <si>
    <t>This column holds the values to put in the warning box in row 40</t>
  </si>
  <si>
    <t>Estimated Co-investment to Complete</t>
  </si>
  <si>
    <t>Actual Co-investment and in-Kind Expenditure Reported</t>
  </si>
  <si>
    <t>Total Approved Co-investment Funds</t>
  </si>
  <si>
    <t>Nectar Cash Flow amount to be allocated</t>
  </si>
  <si>
    <t>Estimated Cost to complete</t>
  </si>
  <si>
    <t>Actual Project Expenditure Reported</t>
  </si>
  <si>
    <t>Actual Nectar Funds PAID to Project</t>
  </si>
  <si>
    <t>Total Approved Nectar Funds</t>
  </si>
  <si>
    <t>FOR YOUR INFORMATION</t>
  </si>
  <si>
    <t>Approved Co-investment</t>
  </si>
  <si>
    <t>Approved Nectar Funds</t>
  </si>
  <si>
    <t>STATUS</t>
  </si>
  <si>
    <t>Finance</t>
  </si>
  <si>
    <t>To</t>
  </si>
  <si>
    <t>From</t>
  </si>
  <si>
    <t>9.Finance</t>
  </si>
  <si>
    <t>8.Communications</t>
  </si>
  <si>
    <t>7.Measures</t>
  </si>
  <si>
    <t>6.Dependencies</t>
  </si>
  <si>
    <t>5.Changes</t>
  </si>
  <si>
    <t>4.Risks</t>
  </si>
  <si>
    <t>3.Issues</t>
  </si>
  <si>
    <t>2.Deliverables</t>
  </si>
  <si>
    <t>1.Header</t>
  </si>
  <si>
    <t>total combined?</t>
  </si>
</sst>
</file>

<file path=xl/styles.xml><?xml version="1.0" encoding="utf-8"?>
<styleSheet xmlns="http://schemas.openxmlformats.org/spreadsheetml/2006/main">
  <numFmts count="6">
    <numFmt numFmtId="6" formatCode="&quot;$&quot;#,##0;[Red]\-&quot;$&quot;#,##0"/>
    <numFmt numFmtId="8" formatCode="&quot;$&quot;#,##0.00;[Red]\-&quot;$&quot;#,##0.00"/>
    <numFmt numFmtId="44" formatCode="_-&quot;$&quot;* #,##0.00_-;\-&quot;$&quot;* #,##0.00_-;_-&quot;$&quot;* &quot;-&quot;??_-;_-@_-"/>
    <numFmt numFmtId="164" formatCode="[&gt;=1000]#,##0,&quot;&quot;;0"/>
    <numFmt numFmtId="165" formatCode="[$-C09]dd\-mmm\-yy;@"/>
    <numFmt numFmtId="166" formatCode="[$-C09]dd\-mmmm\-yyyy;@"/>
  </numFmts>
  <fonts count="32">
    <font>
      <sz val="11"/>
      <color theme="1"/>
      <name val="Calibri"/>
      <family val="2"/>
      <scheme val="minor"/>
    </font>
    <font>
      <sz val="11"/>
      <color rgb="FFFF0000"/>
      <name val="Calibri"/>
      <family val="2"/>
      <scheme val="minor"/>
    </font>
    <font>
      <b/>
      <sz val="9"/>
      <color theme="1"/>
      <name val="Arial"/>
      <family val="2"/>
    </font>
    <font>
      <sz val="9"/>
      <color theme="1"/>
      <name val="Arial"/>
      <family val="2"/>
    </font>
    <font>
      <b/>
      <sz val="9"/>
      <color rgb="FFFF0000"/>
      <name val="Arial"/>
      <family val="2"/>
    </font>
    <font>
      <sz val="11"/>
      <color theme="9" tint="-0.249977111117893"/>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0"/>
      <color rgb="FF000000"/>
      <name val="Calibri"/>
    </font>
    <font>
      <sz val="11"/>
      <color rgb="FF000000"/>
      <name val="Calibri"/>
      <family val="2"/>
    </font>
    <font>
      <sz val="10"/>
      <color rgb="FF7F7F7F"/>
      <name val="Calibri"/>
      <family val="2"/>
    </font>
    <font>
      <b/>
      <i/>
      <sz val="14"/>
      <color rgb="FFFF0000"/>
      <name val="Calibri"/>
      <family val="2"/>
    </font>
    <font>
      <b/>
      <sz val="11"/>
      <color rgb="FF1F497D"/>
      <name val="Calibri"/>
      <family val="2"/>
    </font>
    <font>
      <b/>
      <sz val="11"/>
      <color rgb="FF000000"/>
      <name val="Calibri"/>
      <family val="2"/>
    </font>
    <font>
      <b/>
      <sz val="10"/>
      <color rgb="FFFFFFFF"/>
      <name val="Calibri"/>
      <family val="2"/>
    </font>
    <font>
      <b/>
      <sz val="9"/>
      <color rgb="FF1F497D"/>
      <name val="Calibri"/>
      <family val="2"/>
    </font>
    <font>
      <b/>
      <sz val="10"/>
      <color rgb="FF1F497D"/>
      <name val="Calibri"/>
      <family val="2"/>
    </font>
    <font>
      <b/>
      <sz val="8"/>
      <color rgb="FF000000"/>
      <name val="Calibri"/>
      <family val="2"/>
    </font>
    <font>
      <b/>
      <sz val="15"/>
      <color rgb="FF1F497D"/>
      <name val="Calibri"/>
      <family val="2"/>
    </font>
    <font>
      <b/>
      <sz val="13"/>
      <color rgb="FF1F497D"/>
      <name val="Calibri"/>
      <family val="2"/>
    </font>
    <font>
      <u/>
      <sz val="10"/>
      <color rgb="FF0000FF"/>
      <name val="Calibri"/>
      <family val="2"/>
    </font>
    <font>
      <b/>
      <sz val="10"/>
      <color rgb="FF000000"/>
      <name val="Calibri"/>
      <family val="2"/>
    </font>
    <font>
      <b/>
      <sz val="8"/>
      <color rgb="FF000000"/>
      <name val="Tahoma"/>
      <family val="2"/>
    </font>
    <font>
      <sz val="8"/>
      <color rgb="FF000000"/>
      <name val="Tahoma"/>
      <family val="2"/>
    </font>
    <font>
      <sz val="12"/>
      <color theme="1"/>
      <name val="Calibri"/>
      <family val="2"/>
      <scheme val="minor"/>
    </font>
    <font>
      <sz val="12"/>
      <color theme="0"/>
      <name val="Calibri"/>
      <family val="2"/>
      <scheme val="minor"/>
    </font>
    <font>
      <sz val="10"/>
      <color theme="0" tint="-0.499984740745262"/>
      <name val="Calibri"/>
      <family val="2"/>
      <scheme val="minor"/>
    </font>
    <font>
      <sz val="10"/>
      <color theme="1"/>
      <name val="Calibri"/>
      <family val="2"/>
      <scheme val="minor"/>
    </font>
    <font>
      <u/>
      <sz val="10"/>
      <color theme="10"/>
      <name val="Calibri"/>
      <family val="2"/>
      <scheme val="minor"/>
    </font>
    <font>
      <sz val="10"/>
      <name val="Verdana"/>
      <family val="2"/>
    </font>
  </fonts>
  <fills count="11">
    <fill>
      <patternFill patternType="none"/>
    </fill>
    <fill>
      <patternFill patternType="gray125"/>
    </fill>
    <fill>
      <patternFill patternType="solid">
        <fgColor rgb="FFE0E0E0"/>
        <bgColor indexed="64"/>
      </patternFill>
    </fill>
    <fill>
      <patternFill patternType="solid">
        <fgColor theme="4"/>
      </patternFill>
    </fill>
    <fill>
      <patternFill patternType="solid">
        <fgColor theme="4" tint="0.79998168889431442"/>
        <bgColor indexed="65"/>
      </patternFill>
    </fill>
    <fill>
      <patternFill patternType="solid">
        <fgColor rgb="FFF2F2F2"/>
        <bgColor rgb="FFFFFFFF"/>
      </patternFill>
    </fill>
    <fill>
      <patternFill patternType="solid">
        <fgColor rgb="FFDBE5F1"/>
        <bgColor rgb="FFFFFFFF"/>
      </patternFill>
    </fill>
    <fill>
      <patternFill patternType="solid">
        <fgColor rgb="FFFF0000"/>
        <bgColor rgb="FFFFFFFF"/>
      </patternFill>
    </fill>
    <fill>
      <patternFill patternType="solid">
        <fgColor rgb="FFFFFF00"/>
        <bgColor rgb="FFFFFFFF"/>
      </patternFill>
    </fill>
    <fill>
      <patternFill patternType="solid">
        <fgColor rgb="FFFFFFFF"/>
        <bgColor rgb="FFFFFFFF"/>
      </patternFill>
    </fill>
    <fill>
      <patternFill patternType="solid">
        <fgColor theme="0" tint="-4.9989318521683403E-2"/>
        <bgColor indexed="65"/>
      </patternFill>
    </fill>
  </fills>
  <borders count="7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medium">
        <color rgb="FF95B3D7"/>
      </top>
      <bottom style="thin">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top/>
      <bottom style="medium">
        <color rgb="FF95B3D7"/>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bottom style="medium">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medium">
        <color rgb="FF000000"/>
      </left>
      <right style="medium">
        <color rgb="FF000000"/>
      </right>
      <top style="thin">
        <color rgb="FF000000"/>
      </top>
      <bottom/>
      <diagonal/>
    </border>
    <border>
      <left/>
      <right/>
      <top style="thin">
        <color rgb="FF000000"/>
      </top>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diagonal/>
    </border>
    <border>
      <left style="medium">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mediumDashed">
        <color rgb="FF000000"/>
      </left>
      <right style="mediumDashed">
        <color rgb="FF000000"/>
      </right>
      <top/>
      <bottom style="mediumDashed">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bottom style="medium">
        <color rgb="FF000000"/>
      </bottom>
      <diagonal/>
    </border>
    <border>
      <left style="mediumDashed">
        <color rgb="FF000000"/>
      </left>
      <right style="mediumDashed">
        <color rgb="FF000000"/>
      </right>
      <top style="mediumDashed">
        <color rgb="FF000000"/>
      </top>
      <bottom style="medium">
        <color rgb="FF000000"/>
      </bottom>
      <diagonal/>
    </border>
    <border>
      <left/>
      <right style="medium">
        <color rgb="FF000000"/>
      </right>
      <top style="medium">
        <color rgb="FF000000"/>
      </top>
      <bottom style="medium">
        <color rgb="FF95B3D7"/>
      </bottom>
      <diagonal/>
    </border>
    <border>
      <left/>
      <right/>
      <top style="medium">
        <color rgb="FF000000"/>
      </top>
      <bottom style="medium">
        <color rgb="FF95B3D7"/>
      </bottom>
      <diagonal/>
    </border>
    <border>
      <left style="medium">
        <color rgb="FF000000"/>
      </left>
      <right/>
      <top style="medium">
        <color rgb="FF000000"/>
      </top>
      <bottom style="medium">
        <color rgb="FF95B3D7"/>
      </bottom>
      <diagonal/>
    </border>
    <border>
      <left/>
      <right/>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style="medium">
        <color rgb="FF000000"/>
      </left>
      <right style="medium">
        <color rgb="FF000000"/>
      </right>
      <top/>
      <bottom/>
      <diagonal/>
    </border>
    <border>
      <left/>
      <right/>
      <top style="medium">
        <color theme="4" tint="0.39997558519241921"/>
      </top>
      <bottom/>
      <diagonal/>
    </border>
    <border>
      <left style="thin">
        <color indexed="64"/>
      </left>
      <right style="thin">
        <color indexed="64"/>
      </right>
      <top style="thin">
        <color indexed="64"/>
      </top>
      <bottom style="thin">
        <color indexed="64"/>
      </bottom>
      <diagonal/>
    </border>
    <border>
      <left/>
      <right/>
      <top style="medium">
        <color theme="4" tint="0.39997558519241921"/>
      </top>
      <bottom style="thin">
        <color indexed="64"/>
      </bottom>
      <diagonal/>
    </border>
  </borders>
  <cellStyleXfs count="16">
    <xf numFmtId="0" fontId="0" fillId="0" borderId="0"/>
    <xf numFmtId="0" fontId="10" fillId="0" borderId="0"/>
    <xf numFmtId="0" fontId="26" fillId="4" borderId="0" applyNumberFormat="0" applyBorder="0" applyAlignment="0" applyProtection="0"/>
    <xf numFmtId="0" fontId="27" fillId="3" borderId="0" applyNumberFormat="0" applyBorder="0" applyAlignment="0" applyProtection="0"/>
    <xf numFmtId="0" fontId="28" fillId="10" borderId="67" applyNumberFormat="0" applyBorder="0" applyAlignment="0">
      <alignment horizontal="center"/>
    </xf>
    <xf numFmtId="44" fontId="6" fillId="0" borderId="0" applyFont="0" applyFill="0" applyBorder="0" applyAlignment="0" applyProtection="0"/>
    <xf numFmtId="0" fontId="29" fillId="0" borderId="68" applyNumberFormat="0" applyAlignment="0">
      <protection locked="0"/>
    </xf>
    <xf numFmtId="0" fontId="7" fillId="0" borderId="5" applyNumberFormat="0" applyFill="0" applyAlignment="0" applyProtection="0"/>
    <xf numFmtId="0" fontId="8" fillId="0" borderId="6" applyNumberFormat="0" applyFill="0" applyAlignment="0" applyProtection="0"/>
    <xf numFmtId="0" fontId="9" fillId="0" borderId="7" applyNumberFormat="0" applyFill="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31" fillId="0" borderId="0"/>
    <xf numFmtId="0" fontId="31" fillId="0" borderId="0"/>
    <xf numFmtId="0" fontId="6" fillId="0" borderId="0"/>
    <xf numFmtId="0" fontId="29" fillId="4" borderId="69" applyNumberFormat="0">
      <alignment horizontal="left" wrapText="1"/>
    </xf>
  </cellStyleXfs>
  <cellXfs count="166">
    <xf numFmtId="0" fontId="0" fillId="0" borderId="0" xfId="0"/>
    <xf numFmtId="0" fontId="2" fillId="2" borderId="1" xfId="0" applyFont="1" applyFill="1" applyBorder="1" applyAlignment="1">
      <alignment wrapText="1"/>
    </xf>
    <xf numFmtId="0" fontId="2" fillId="2" borderId="2" xfId="0" applyFont="1" applyFill="1" applyBorder="1" applyAlignment="1">
      <alignment wrapText="1"/>
    </xf>
    <xf numFmtId="0" fontId="2" fillId="0" borderId="3" xfId="0" applyFont="1" applyBorder="1"/>
    <xf numFmtId="0" fontId="3" fillId="0" borderId="4" xfId="0" applyFont="1" applyBorder="1" applyAlignment="1">
      <alignment horizontal="right"/>
    </xf>
    <xf numFmtId="15" fontId="0" fillId="0" borderId="0" xfId="0" applyNumberFormat="1"/>
    <xf numFmtId="15" fontId="3" fillId="0" borderId="4" xfId="0" applyNumberFormat="1" applyFont="1" applyBorder="1" applyAlignment="1">
      <alignment horizontal="right"/>
    </xf>
    <xf numFmtId="0" fontId="2" fillId="0" borderId="4" xfId="0" applyFont="1" applyBorder="1" applyAlignment="1">
      <alignment horizontal="right"/>
    </xf>
    <xf numFmtId="0" fontId="4" fillId="2" borderId="3" xfId="0" applyFont="1" applyFill="1" applyBorder="1"/>
    <xf numFmtId="0" fontId="4" fillId="2" borderId="4" xfId="0" applyFont="1" applyFill="1" applyBorder="1" applyAlignment="1">
      <alignment horizontal="right"/>
    </xf>
    <xf numFmtId="15" fontId="4" fillId="2" borderId="4" xfId="0" applyNumberFormat="1" applyFont="1" applyFill="1" applyBorder="1" applyAlignment="1">
      <alignment horizontal="right"/>
    </xf>
    <xf numFmtId="6" fontId="0" fillId="0" borderId="0" xfId="0" applyNumberFormat="1"/>
    <xf numFmtId="6" fontId="4" fillId="2" borderId="4" xfId="0" applyNumberFormat="1" applyFont="1" applyFill="1" applyBorder="1" applyAlignment="1">
      <alignment horizontal="right"/>
    </xf>
    <xf numFmtId="0" fontId="3" fillId="2" borderId="4" xfId="0" applyFont="1" applyFill="1" applyBorder="1"/>
    <xf numFmtId="6" fontId="2" fillId="0" borderId="4" xfId="0" applyNumberFormat="1" applyFont="1" applyBorder="1" applyAlignment="1">
      <alignment horizontal="right"/>
    </xf>
    <xf numFmtId="0" fontId="2" fillId="2" borderId="4" xfId="0" applyFont="1" applyFill="1" applyBorder="1"/>
    <xf numFmtId="0" fontId="4" fillId="2" borderId="4" xfId="0" applyFont="1" applyFill="1" applyBorder="1"/>
    <xf numFmtId="0" fontId="3" fillId="0" borderId="4" xfId="0" applyFont="1" applyBorder="1"/>
    <xf numFmtId="0" fontId="3" fillId="0" borderId="3" xfId="0" applyFont="1" applyBorder="1"/>
    <xf numFmtId="6" fontId="3" fillId="0" borderId="4" xfId="0" applyNumberFormat="1" applyFont="1" applyBorder="1" applyAlignment="1">
      <alignment horizontal="right"/>
    </xf>
    <xf numFmtId="0" fontId="2" fillId="0" borderId="4" xfId="0" applyFont="1" applyBorder="1"/>
    <xf numFmtId="9" fontId="0" fillId="0" borderId="0" xfId="0" applyNumberFormat="1"/>
    <xf numFmtId="0" fontId="2" fillId="0" borderId="0" xfId="0" applyFont="1" applyFill="1" applyBorder="1" applyAlignment="1">
      <alignment horizontal="center" wrapText="1"/>
    </xf>
    <xf numFmtId="9" fontId="1" fillId="0" borderId="0" xfId="0" applyNumberFormat="1" applyFont="1"/>
    <xf numFmtId="9" fontId="5" fillId="0" borderId="0" xfId="0" applyNumberFormat="1" applyFont="1"/>
    <xf numFmtId="8" fontId="0" fillId="0" borderId="0" xfId="0" applyNumberFormat="1"/>
    <xf numFmtId="44" fontId="0" fillId="0" borderId="8" xfId="0" applyNumberFormat="1" applyFill="1" applyBorder="1" applyProtection="1">
      <protection locked="0"/>
    </xf>
    <xf numFmtId="0" fontId="10" fillId="0" borderId="0" xfId="1" applyFill="1"/>
    <xf numFmtId="0" fontId="11" fillId="0" borderId="0" xfId="1" applyFont="1" applyFill="1"/>
    <xf numFmtId="164" fontId="12" fillId="5" borderId="9" xfId="1" applyNumberFormat="1" applyFont="1" applyFill="1" applyBorder="1"/>
    <xf numFmtId="0" fontId="12" fillId="5" borderId="0" xfId="1" applyFont="1" applyFill="1"/>
    <xf numFmtId="164" fontId="12" fillId="5" borderId="9" xfId="1" applyNumberFormat="1" applyFont="1" applyFill="1" applyBorder="1" applyAlignment="1">
      <alignment horizontal="left" wrapText="1"/>
    </xf>
    <xf numFmtId="164" fontId="10" fillId="6" borderId="9" xfId="1" applyNumberFormat="1" applyFill="1" applyBorder="1" applyAlignment="1">
      <alignment horizontal="left" wrapText="1"/>
    </xf>
    <xf numFmtId="0" fontId="10" fillId="6" borderId="10" xfId="1" applyFill="1" applyBorder="1" applyAlignment="1">
      <alignment horizontal="left" wrapText="1"/>
    </xf>
    <xf numFmtId="0" fontId="10" fillId="6" borderId="9" xfId="1" applyFill="1" applyBorder="1" applyAlignment="1">
      <alignment horizontal="left" wrapText="1"/>
    </xf>
    <xf numFmtId="17" fontId="12" fillId="5" borderId="9" xfId="1" applyNumberFormat="1" applyFont="1" applyFill="1" applyBorder="1" applyAlignment="1">
      <alignment horizontal="center"/>
    </xf>
    <xf numFmtId="0" fontId="13" fillId="0" borderId="0" xfId="1" applyFont="1" applyFill="1" applyAlignment="1">
      <alignment horizontal="center" vertical="center"/>
    </xf>
    <xf numFmtId="0" fontId="14" fillId="0" borderId="0" xfId="1" applyFont="1" applyFill="1"/>
    <xf numFmtId="0" fontId="14" fillId="0" borderId="14" xfId="1" applyFont="1" applyFill="1" applyBorder="1"/>
    <xf numFmtId="44" fontId="11" fillId="0" borderId="0" xfId="1" applyNumberFormat="1" applyFont="1" applyFill="1"/>
    <xf numFmtId="44" fontId="12" fillId="5" borderId="0" xfId="1" applyNumberFormat="1" applyFont="1" applyFill="1"/>
    <xf numFmtId="44" fontId="12" fillId="5" borderId="18" xfId="1" applyNumberFormat="1" applyFont="1" applyFill="1" applyBorder="1"/>
    <xf numFmtId="44" fontId="12" fillId="5" borderId="19" xfId="1" applyNumberFormat="1" applyFont="1" applyFill="1" applyBorder="1"/>
    <xf numFmtId="44" fontId="15" fillId="0" borderId="0" xfId="1" applyNumberFormat="1" applyFont="1" applyFill="1"/>
    <xf numFmtId="44" fontId="16" fillId="7" borderId="11" xfId="1" applyNumberFormat="1" applyFont="1" applyFill="1" applyBorder="1"/>
    <xf numFmtId="44" fontId="12" fillId="5" borderId="20" xfId="1" applyNumberFormat="1" applyFont="1" applyFill="1" applyBorder="1"/>
    <xf numFmtId="44" fontId="12" fillId="5" borderId="21" xfId="1" applyNumberFormat="1" applyFont="1" applyFill="1" applyBorder="1"/>
    <xf numFmtId="44" fontId="12" fillId="5" borderId="22" xfId="1" applyNumberFormat="1" applyFont="1" applyFill="1" applyBorder="1"/>
    <xf numFmtId="44" fontId="16" fillId="7" borderId="23" xfId="1" applyNumberFormat="1" applyFont="1" applyFill="1" applyBorder="1"/>
    <xf numFmtId="44" fontId="12" fillId="5" borderId="24" xfId="1" applyNumberFormat="1" applyFont="1" applyFill="1" applyBorder="1"/>
    <xf numFmtId="0" fontId="12" fillId="5" borderId="25" xfId="1" applyFont="1" applyFill="1" applyBorder="1"/>
    <xf numFmtId="1" fontId="15" fillId="0" borderId="0" xfId="1" applyNumberFormat="1" applyFont="1" applyFill="1"/>
    <xf numFmtId="44" fontId="12" fillId="5" borderId="23" xfId="1" applyNumberFormat="1" applyFont="1" applyFill="1" applyBorder="1"/>
    <xf numFmtId="44" fontId="12" fillId="5" borderId="26" xfId="1" applyNumberFormat="1" applyFont="1" applyFill="1" applyBorder="1"/>
    <xf numFmtId="44" fontId="12" fillId="5" borderId="9" xfId="1" applyNumberFormat="1" applyFont="1" applyFill="1" applyBorder="1" applyAlignment="1">
      <alignment horizontal="left" wrapText="1"/>
    </xf>
    <xf numFmtId="44" fontId="12" fillId="5" borderId="27" xfId="1" applyNumberFormat="1" applyFont="1" applyFill="1" applyBorder="1"/>
    <xf numFmtId="44" fontId="12" fillId="5" borderId="28" xfId="1" applyNumberFormat="1" applyFont="1" applyFill="1" applyBorder="1"/>
    <xf numFmtId="44" fontId="12" fillId="5" borderId="29" xfId="1" applyNumberFormat="1" applyFont="1" applyFill="1" applyBorder="1"/>
    <xf numFmtId="44" fontId="12" fillId="5" borderId="30" xfId="1" applyNumberFormat="1" applyFont="1" applyFill="1" applyBorder="1"/>
    <xf numFmtId="44" fontId="12" fillId="5" borderId="31" xfId="1" applyNumberFormat="1" applyFont="1" applyFill="1" applyBorder="1"/>
    <xf numFmtId="0" fontId="12" fillId="5" borderId="32" xfId="1" applyFont="1" applyFill="1" applyBorder="1" applyAlignment="1">
      <alignment horizontal="left" wrapText="1"/>
    </xf>
    <xf numFmtId="165" fontId="12" fillId="5" borderId="33" xfId="1" applyNumberFormat="1" applyFont="1" applyFill="1" applyBorder="1" applyAlignment="1">
      <alignment horizontal="left" wrapText="1"/>
    </xf>
    <xf numFmtId="165" fontId="12" fillId="5" borderId="18" xfId="1" applyNumberFormat="1" applyFont="1" applyFill="1" applyBorder="1" applyAlignment="1">
      <alignment horizontal="left" wrapText="1"/>
    </xf>
    <xf numFmtId="0" fontId="10" fillId="6" borderId="33" xfId="1" applyFill="1" applyBorder="1" applyAlignment="1">
      <alignment horizontal="left" wrapText="1"/>
    </xf>
    <xf numFmtId="44" fontId="12" fillId="5" borderId="34" xfId="1" applyNumberFormat="1" applyFont="1" applyFill="1" applyBorder="1"/>
    <xf numFmtId="44" fontId="12" fillId="5" borderId="9" xfId="1" applyNumberFormat="1" applyFont="1" applyFill="1" applyBorder="1"/>
    <xf numFmtId="44" fontId="12" fillId="5" borderId="8" xfId="1" applyNumberFormat="1" applyFont="1" applyFill="1" applyBorder="1"/>
    <xf numFmtId="44" fontId="12" fillId="5" borderId="35" xfId="1" applyNumberFormat="1" applyFont="1" applyFill="1" applyBorder="1"/>
    <xf numFmtId="0" fontId="12" fillId="5" borderId="16" xfId="1" applyFont="1" applyFill="1" applyBorder="1" applyAlignment="1">
      <alignment horizontal="left" wrapText="1"/>
    </xf>
    <xf numFmtId="165" fontId="12" fillId="5" borderId="35" xfId="1" applyNumberFormat="1" applyFont="1" applyFill="1" applyBorder="1" applyAlignment="1">
      <alignment horizontal="left" wrapText="1"/>
    </xf>
    <xf numFmtId="165" fontId="12" fillId="5" borderId="26" xfId="1" applyNumberFormat="1" applyFont="1" applyFill="1" applyBorder="1" applyAlignment="1">
      <alignment horizontal="left" wrapText="1"/>
    </xf>
    <xf numFmtId="0" fontId="10" fillId="6" borderId="35" xfId="1" applyFill="1" applyBorder="1" applyAlignment="1">
      <alignment horizontal="left" wrapText="1"/>
    </xf>
    <xf numFmtId="44" fontId="10" fillId="0" borderId="9" xfId="1" applyNumberFormat="1" applyFill="1" applyBorder="1" applyProtection="1">
      <protection locked="0"/>
    </xf>
    <xf numFmtId="14" fontId="12" fillId="5" borderId="16" xfId="1" applyNumberFormat="1" applyFont="1" applyFill="1" applyBorder="1" applyAlignment="1">
      <alignment horizontal="left" wrapText="1"/>
    </xf>
    <xf numFmtId="44" fontId="12" fillId="5" borderId="16" xfId="1" applyNumberFormat="1" applyFont="1" applyFill="1" applyBorder="1" applyAlignment="1">
      <alignment horizontal="left" wrapText="1"/>
    </xf>
    <xf numFmtId="44" fontId="12" fillId="5" borderId="15" xfId="1" applyNumberFormat="1" applyFont="1" applyFill="1" applyBorder="1"/>
    <xf numFmtId="0" fontId="12" fillId="5" borderId="36" xfId="1" applyFont="1" applyFill="1" applyBorder="1"/>
    <xf numFmtId="44" fontId="10" fillId="0" borderId="26" xfId="1" applyNumberFormat="1" applyFill="1" applyBorder="1" applyProtection="1">
      <protection locked="0"/>
    </xf>
    <xf numFmtId="44" fontId="10" fillId="0" borderId="8" xfId="1" applyNumberFormat="1" applyFill="1" applyBorder="1" applyProtection="1">
      <protection locked="0"/>
    </xf>
    <xf numFmtId="44" fontId="10" fillId="0" borderId="35" xfId="1" applyNumberFormat="1" applyFill="1" applyBorder="1" applyProtection="1">
      <protection locked="0"/>
    </xf>
    <xf numFmtId="44" fontId="10" fillId="0" borderId="16" xfId="1" applyNumberFormat="1" applyFill="1" applyBorder="1" applyAlignment="1" applyProtection="1">
      <alignment horizontal="left" wrapText="1"/>
      <protection locked="0"/>
    </xf>
    <xf numFmtId="165" fontId="10" fillId="6" borderId="35" xfId="1" applyNumberFormat="1" applyFill="1" applyBorder="1" applyAlignment="1">
      <alignment horizontal="left" wrapText="1"/>
    </xf>
    <xf numFmtId="165" fontId="10" fillId="6" borderId="26" xfId="1" applyNumberFormat="1" applyFill="1" applyBorder="1" applyAlignment="1">
      <alignment horizontal="left" wrapText="1"/>
    </xf>
    <xf numFmtId="44" fontId="12" fillId="5" borderId="37" xfId="1" applyNumberFormat="1" applyFont="1" applyFill="1" applyBorder="1"/>
    <xf numFmtId="44" fontId="10" fillId="0" borderId="38" xfId="1" applyNumberFormat="1" applyFill="1" applyBorder="1" applyAlignment="1" applyProtection="1">
      <alignment horizontal="left" wrapText="1"/>
      <protection locked="0"/>
    </xf>
    <xf numFmtId="165" fontId="10" fillId="6" borderId="37" xfId="1" applyNumberFormat="1" applyFill="1" applyBorder="1" applyAlignment="1">
      <alignment horizontal="left" wrapText="1"/>
    </xf>
    <xf numFmtId="165" fontId="10" fillId="6" borderId="39" xfId="1" applyNumberFormat="1" applyFill="1" applyBorder="1" applyAlignment="1">
      <alignment horizontal="left" wrapText="1"/>
    </xf>
    <xf numFmtId="0" fontId="15" fillId="0" borderId="0" xfId="1" applyFont="1" applyFill="1" applyAlignment="1">
      <alignment vertical="top" wrapText="1"/>
    </xf>
    <xf numFmtId="44" fontId="11" fillId="0" borderId="0" xfId="1" applyNumberFormat="1" applyFont="1" applyFill="1" applyAlignment="1">
      <alignment vertical="top" wrapText="1"/>
    </xf>
    <xf numFmtId="0" fontId="15" fillId="0" borderId="0" xfId="1" applyFont="1" applyFill="1" applyAlignment="1">
      <alignment horizontal="left" vertical="top" wrapText="1"/>
    </xf>
    <xf numFmtId="0" fontId="14" fillId="6" borderId="34" xfId="1" applyFont="1" applyFill="1" applyBorder="1" applyAlignment="1">
      <alignment horizontal="center" vertical="top" wrapText="1"/>
    </xf>
    <xf numFmtId="0" fontId="14" fillId="6" borderId="9" xfId="1" applyFont="1" applyFill="1" applyBorder="1" applyAlignment="1">
      <alignment horizontal="center" vertical="top" wrapText="1"/>
    </xf>
    <xf numFmtId="0" fontId="14" fillId="6" borderId="8" xfId="1" applyFont="1" applyFill="1" applyBorder="1" applyAlignment="1">
      <alignment horizontal="center" vertical="top" wrapText="1"/>
    </xf>
    <xf numFmtId="0" fontId="18" fillId="6" borderId="15" xfId="1" applyFont="1" applyFill="1" applyBorder="1" applyAlignment="1">
      <alignment horizontal="center" vertical="top" wrapText="1"/>
    </xf>
    <xf numFmtId="0" fontId="11" fillId="0" borderId="0" xfId="1" applyFont="1" applyFill="1" applyAlignment="1">
      <alignment vertical="top"/>
    </xf>
    <xf numFmtId="0" fontId="19" fillId="0" borderId="0" xfId="1" applyFont="1" applyFill="1" applyAlignment="1">
      <alignment vertical="top" wrapText="1"/>
    </xf>
    <xf numFmtId="0" fontId="17" fillId="0" borderId="0" xfId="1" applyFont="1" applyFill="1" applyAlignment="1">
      <alignment vertical="top" wrapText="1"/>
    </xf>
    <xf numFmtId="0" fontId="14" fillId="6" borderId="0" xfId="1" applyFont="1" applyFill="1"/>
    <xf numFmtId="44" fontId="12" fillId="5" borderId="51" xfId="1" applyNumberFormat="1" applyFont="1" applyFill="1" applyBorder="1"/>
    <xf numFmtId="44" fontId="12" fillId="5" borderId="52" xfId="1" applyNumberFormat="1" applyFont="1" applyFill="1" applyBorder="1" applyAlignment="1">
      <alignment horizontal="right"/>
    </xf>
    <xf numFmtId="44" fontId="12" fillId="5" borderId="41" xfId="1" applyNumberFormat="1" applyFont="1" applyFill="1" applyBorder="1"/>
    <xf numFmtId="44" fontId="11" fillId="8" borderId="53" xfId="1" applyNumberFormat="1" applyFont="1" applyFill="1" applyBorder="1" applyAlignment="1">
      <alignment horizontal="center" vertical="center"/>
    </xf>
    <xf numFmtId="44" fontId="12" fillId="5" borderId="54" xfId="1" applyNumberFormat="1" applyFont="1" applyFill="1" applyBorder="1" applyAlignment="1">
      <alignment horizontal="left" wrapText="1"/>
    </xf>
    <xf numFmtId="44" fontId="12" fillId="5" borderId="55" xfId="1" applyNumberFormat="1" applyFont="1" applyFill="1" applyBorder="1" applyAlignment="1">
      <alignment horizontal="left" wrapText="1"/>
    </xf>
    <xf numFmtId="44" fontId="12" fillId="5" borderId="56" xfId="1" applyNumberFormat="1" applyFont="1" applyFill="1" applyBorder="1" applyAlignment="1">
      <alignment horizontal="left" wrapText="1"/>
    </xf>
    <xf numFmtId="0" fontId="11" fillId="0" borderId="41" xfId="1" applyFont="1" applyFill="1" applyBorder="1"/>
    <xf numFmtId="0" fontId="11" fillId="0" borderId="57" xfId="1" applyFont="1" applyFill="1" applyBorder="1"/>
    <xf numFmtId="0" fontId="18" fillId="6" borderId="26" xfId="1" applyFont="1" applyFill="1" applyBorder="1" applyAlignment="1">
      <alignment horizontal="center" vertical="center" wrapText="1"/>
    </xf>
    <xf numFmtId="3" fontId="18" fillId="6" borderId="9" xfId="1" applyNumberFormat="1" applyFont="1" applyFill="1" applyBorder="1" applyAlignment="1">
      <alignment horizontal="center" vertical="center" wrapText="1"/>
    </xf>
    <xf numFmtId="3" fontId="18" fillId="6" borderId="16" xfId="1" applyNumberFormat="1" applyFont="1" applyFill="1" applyBorder="1" applyAlignment="1">
      <alignment horizontal="center" vertical="center" wrapText="1"/>
    </xf>
    <xf numFmtId="0" fontId="18" fillId="6" borderId="58" xfId="1" applyFont="1" applyFill="1" applyBorder="1" applyAlignment="1">
      <alignment horizontal="center" vertical="center" wrapText="1"/>
    </xf>
    <xf numFmtId="0" fontId="18" fillId="6" borderId="32" xfId="1" applyFont="1" applyFill="1" applyBorder="1" applyAlignment="1">
      <alignment horizontal="center" vertical="center" wrapText="1"/>
    </xf>
    <xf numFmtId="0" fontId="18" fillId="6" borderId="29" xfId="1" applyFont="1" applyFill="1" applyBorder="1" applyAlignment="1">
      <alignment horizontal="center" vertical="center" wrapText="1"/>
    </xf>
    <xf numFmtId="0" fontId="18" fillId="6" borderId="30" xfId="1" applyFont="1" applyFill="1" applyBorder="1" applyAlignment="1">
      <alignment horizontal="center" vertical="center" wrapText="1"/>
    </xf>
    <xf numFmtId="0" fontId="11" fillId="0" borderId="36" xfId="1" applyFont="1" applyFill="1" applyBorder="1" applyAlignment="1">
      <alignment horizontal="center" vertical="center" wrapText="1"/>
    </xf>
    <xf numFmtId="0" fontId="11" fillId="0" borderId="46" xfId="1" applyFont="1" applyFill="1" applyBorder="1"/>
    <xf numFmtId="0" fontId="11" fillId="0" borderId="47" xfId="1" applyFont="1" applyFill="1" applyBorder="1"/>
    <xf numFmtId="0" fontId="20" fillId="0" borderId="0" xfId="1" applyFont="1" applyFill="1" applyAlignment="1">
      <alignment horizontal="left"/>
    </xf>
    <xf numFmtId="14" fontId="10" fillId="0" borderId="0" xfId="1" applyNumberFormat="1" applyFill="1"/>
    <xf numFmtId="166" fontId="21" fillId="9" borderId="0" xfId="1" applyNumberFormat="1" applyFont="1" applyFill="1" applyAlignment="1">
      <alignment horizontal="left"/>
    </xf>
    <xf numFmtId="0" fontId="21" fillId="9" borderId="0" xfId="1" applyFont="1" applyFill="1" applyAlignment="1">
      <alignment horizontal="left"/>
    </xf>
    <xf numFmtId="0" fontId="22" fillId="0" borderId="0" xfId="1" applyFont="1" applyFill="1" applyProtection="1">
      <protection locked="0"/>
    </xf>
    <xf numFmtId="165" fontId="21" fillId="9" borderId="62" xfId="1" applyNumberFormat="1" applyFont="1" applyFill="1" applyBorder="1" applyAlignment="1">
      <alignment horizontal="left"/>
    </xf>
    <xf numFmtId="0" fontId="21" fillId="9" borderId="63" xfId="1" applyFont="1" applyFill="1" applyBorder="1" applyAlignment="1">
      <alignment horizontal="left"/>
    </xf>
    <xf numFmtId="165" fontId="21" fillId="9" borderId="0" xfId="1" applyNumberFormat="1" applyFont="1" applyFill="1" applyAlignment="1">
      <alignment horizontal="left"/>
    </xf>
    <xf numFmtId="0" fontId="21" fillId="9" borderId="64" xfId="1" applyFont="1" applyFill="1" applyBorder="1" applyAlignment="1">
      <alignment horizontal="left"/>
    </xf>
    <xf numFmtId="0" fontId="21" fillId="9" borderId="32" xfId="1" applyFont="1" applyFill="1" applyBorder="1" applyAlignment="1">
      <alignment horizontal="left"/>
    </xf>
    <xf numFmtId="0" fontId="21" fillId="9" borderId="65" xfId="1" applyFont="1" applyFill="1" applyBorder="1" applyAlignment="1">
      <alignment horizontal="left"/>
    </xf>
    <xf numFmtId="0" fontId="10" fillId="0" borderId="0" xfId="1" applyFill="1" applyAlignment="1">
      <alignment horizontal="center"/>
    </xf>
    <xf numFmtId="0" fontId="10" fillId="0" borderId="32" xfId="1" applyFill="1" applyBorder="1" applyAlignment="1">
      <alignment horizontal="center"/>
    </xf>
    <xf numFmtId="0" fontId="10" fillId="0" borderId="31" xfId="1" applyFill="1" applyBorder="1" applyAlignment="1">
      <alignment horizontal="center"/>
    </xf>
    <xf numFmtId="0" fontId="10" fillId="0" borderId="35" xfId="1" applyFill="1" applyBorder="1" applyAlignment="1">
      <alignment horizontal="center"/>
    </xf>
    <xf numFmtId="0" fontId="10" fillId="0" borderId="66" xfId="1" applyFill="1" applyBorder="1" applyAlignment="1">
      <alignment horizontal="center"/>
    </xf>
    <xf numFmtId="0" fontId="23" fillId="0" borderId="0" xfId="1" applyFont="1" applyFill="1" applyAlignment="1">
      <alignment horizontal="center"/>
    </xf>
    <xf numFmtId="0" fontId="23" fillId="0" borderId="42" xfId="1" applyFont="1" applyFill="1" applyBorder="1" applyAlignment="1">
      <alignment horizontal="center"/>
    </xf>
    <xf numFmtId="0" fontId="14" fillId="6" borderId="46" xfId="1" applyFont="1" applyFill="1" applyBorder="1" applyAlignment="1">
      <alignment horizontal="center" vertical="top" wrapText="1"/>
    </xf>
    <xf numFmtId="0" fontId="14" fillId="6" borderId="41" xfId="1" applyFont="1" applyFill="1" applyBorder="1" applyAlignment="1">
      <alignment horizontal="center" vertical="top" wrapText="1"/>
    </xf>
    <xf numFmtId="0" fontId="10" fillId="6" borderId="9" xfId="1" applyFill="1" applyBorder="1" applyAlignment="1">
      <alignment horizontal="left" wrapText="1"/>
    </xf>
    <xf numFmtId="0" fontId="14" fillId="6" borderId="47" xfId="1" applyFont="1" applyFill="1" applyBorder="1" applyAlignment="1">
      <alignment horizontal="center" vertical="top" wrapText="1"/>
    </xf>
    <xf numFmtId="0" fontId="14" fillId="6" borderId="43" xfId="1" applyFont="1" applyFill="1" applyBorder="1" applyAlignment="1">
      <alignment horizontal="center" vertical="top" wrapText="1"/>
    </xf>
    <xf numFmtId="0" fontId="18" fillId="6" borderId="42" xfId="1" applyFont="1" applyFill="1" applyBorder="1" applyAlignment="1">
      <alignment horizontal="center" vertical="top" wrapText="1"/>
    </xf>
    <xf numFmtId="0" fontId="18" fillId="6" borderId="37" xfId="1" applyFont="1" applyFill="1" applyBorder="1" applyAlignment="1">
      <alignment horizontal="center" vertical="top" wrapText="1"/>
    </xf>
    <xf numFmtId="0" fontId="14" fillId="6" borderId="61" xfId="1" applyFont="1" applyFill="1" applyBorder="1" applyAlignment="1">
      <alignment horizontal="center" vertical="center"/>
    </xf>
    <xf numFmtId="0" fontId="14" fillId="6" borderId="60" xfId="1" applyFont="1" applyFill="1" applyBorder="1" applyAlignment="1">
      <alignment horizontal="center" vertical="center"/>
    </xf>
    <xf numFmtId="0" fontId="14" fillId="6" borderId="59" xfId="1" applyFont="1" applyFill="1" applyBorder="1" applyAlignment="1">
      <alignment horizontal="center" vertical="center"/>
    </xf>
    <xf numFmtId="0" fontId="14" fillId="6" borderId="61" xfId="1" applyFont="1" applyFill="1" applyBorder="1" applyAlignment="1">
      <alignment horizontal="center" vertical="center" wrapText="1"/>
    </xf>
    <xf numFmtId="0" fontId="14" fillId="6" borderId="60" xfId="1" applyFont="1" applyFill="1" applyBorder="1" applyAlignment="1">
      <alignment horizontal="center" vertical="center" wrapText="1"/>
    </xf>
    <xf numFmtId="0" fontId="14" fillId="6" borderId="59" xfId="1" applyFont="1" applyFill="1" applyBorder="1" applyAlignment="1">
      <alignment horizontal="center" vertical="center" wrapText="1"/>
    </xf>
    <xf numFmtId="0" fontId="17" fillId="6" borderId="50" xfId="1" applyFont="1" applyFill="1" applyBorder="1" applyAlignment="1">
      <alignment horizontal="center" vertical="top" wrapText="1"/>
    </xf>
    <xf numFmtId="0" fontId="17" fillId="6" borderId="35" xfId="1" applyFont="1" applyFill="1" applyBorder="1" applyAlignment="1">
      <alignment horizontal="center" vertical="top" wrapText="1"/>
    </xf>
    <xf numFmtId="0" fontId="14" fillId="6" borderId="49" xfId="1" applyFont="1" applyFill="1" applyBorder="1" applyAlignment="1">
      <alignment horizontal="center" vertical="top" wrapText="1"/>
    </xf>
    <xf numFmtId="0" fontId="14" fillId="6" borderId="48" xfId="1" applyFont="1" applyFill="1" applyBorder="1" applyAlignment="1">
      <alignment horizontal="center" vertical="top" wrapText="1"/>
    </xf>
    <xf numFmtId="0" fontId="17" fillId="6" borderId="42" xfId="1" applyFont="1" applyFill="1" applyBorder="1" applyAlignment="1">
      <alignment horizontal="center" vertical="top" wrapText="1"/>
    </xf>
    <xf numFmtId="0" fontId="17" fillId="6" borderId="40" xfId="1" applyFont="1" applyFill="1" applyBorder="1" applyAlignment="1">
      <alignment horizontal="center" vertical="top" wrapText="1"/>
    </xf>
    <xf numFmtId="0" fontId="10" fillId="0" borderId="13" xfId="1" applyFill="1" applyBorder="1" applyAlignment="1" applyProtection="1">
      <alignment horizontal="left" vertical="top" wrapText="1"/>
      <protection locked="0"/>
    </xf>
    <xf numFmtId="0" fontId="10" fillId="0" borderId="12" xfId="1" applyFill="1" applyBorder="1" applyAlignment="1" applyProtection="1">
      <alignment horizontal="left" vertical="top" wrapText="1"/>
      <protection locked="0"/>
    </xf>
    <xf numFmtId="0" fontId="10" fillId="0" borderId="11" xfId="1" applyFill="1" applyBorder="1" applyAlignment="1" applyProtection="1">
      <alignment horizontal="left" vertical="top" wrapText="1"/>
      <protection locked="0"/>
    </xf>
    <xf numFmtId="0" fontId="13" fillId="0" borderId="17" xfId="1" applyFont="1" applyFill="1" applyBorder="1" applyAlignment="1">
      <alignment horizontal="center" vertical="center"/>
    </xf>
    <xf numFmtId="0" fontId="13" fillId="0" borderId="16" xfId="1" applyFont="1" applyFill="1" applyBorder="1" applyAlignment="1">
      <alignment horizontal="center" vertical="center"/>
    </xf>
    <xf numFmtId="0" fontId="13" fillId="0" borderId="15" xfId="1" applyFont="1" applyFill="1" applyBorder="1" applyAlignment="1">
      <alignment horizontal="center" vertical="center"/>
    </xf>
    <xf numFmtId="0" fontId="14" fillId="6" borderId="45" xfId="1" applyFont="1" applyFill="1" applyBorder="1" applyAlignment="1">
      <alignment horizontal="center" vertical="top" wrapText="1"/>
    </xf>
    <xf numFmtId="0" fontId="14" fillId="6" borderId="38" xfId="1" applyFont="1" applyFill="1" applyBorder="1" applyAlignment="1">
      <alignment horizontal="center" vertical="top" wrapText="1"/>
    </xf>
    <xf numFmtId="0" fontId="14" fillId="6" borderId="44" xfId="1" applyFont="1" applyFill="1" applyBorder="1" applyAlignment="1">
      <alignment horizontal="center" vertical="top" wrapText="1"/>
    </xf>
    <xf numFmtId="0" fontId="18" fillId="6" borderId="43" xfId="1" applyFont="1" applyFill="1" applyBorder="1" applyAlignment="1">
      <alignment horizontal="center" vertical="top" wrapText="1"/>
    </xf>
    <xf numFmtId="0" fontId="18" fillId="6" borderId="39" xfId="1" applyFont="1" applyFill="1" applyBorder="1" applyAlignment="1">
      <alignment horizontal="center" vertical="top" wrapText="1"/>
    </xf>
    <xf numFmtId="0" fontId="2" fillId="2" borderId="0" xfId="0" applyFont="1" applyFill="1" applyBorder="1" applyAlignment="1">
      <alignment horizontal="center" wrapText="1"/>
    </xf>
  </cellXfs>
  <cellStyles count="16">
    <cellStyle name="20% - Accent1 2" xfId="2"/>
    <cellStyle name="Accent1 2" xfId="3"/>
    <cellStyle name="Calculations 2" xfId="4"/>
    <cellStyle name="Currency 3" xfId="5"/>
    <cellStyle name="editable 2" xfId="6"/>
    <cellStyle name="Heading 1 2" xfId="7"/>
    <cellStyle name="Heading 2 2" xfId="8"/>
    <cellStyle name="Heading 3 2" xfId="9"/>
    <cellStyle name="Heading 4 2" xfId="10"/>
    <cellStyle name="Hyperlink 2" xfId="11"/>
    <cellStyle name="Normal" xfId="0" builtinId="0"/>
    <cellStyle name="Normal 2" xfId="1"/>
    <cellStyle name="Normal 2 2" xfId="12"/>
    <cellStyle name="Normal 2 2 2" xfId="13"/>
    <cellStyle name="Normal 3" xfId="14"/>
    <cellStyle name="prepopulated 2" xfId="15"/>
  </cellStyles>
  <dxfs count="166">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sz val="10"/>
        <color rgb="FF000000"/>
        <name val="Calibri"/>
      </font>
      <numFmt numFmtId="0" formatCode="General"/>
      <fill>
        <patternFill patternType="solid">
          <fgColor rgb="FF000000"/>
          <bgColor rgb="FFCCFFCC"/>
        </patternFill>
      </fill>
    </dxf>
    <dxf>
      <numFmt numFmtId="0" formatCode="General"/>
      <fill>
        <patternFill patternType="none"/>
      </fill>
    </dxf>
    <dxf>
      <font>
        <sz val="10"/>
        <color rgb="FF000000"/>
        <name val="Calibri"/>
      </font>
      <numFmt numFmtId="0" formatCode="General"/>
      <fill>
        <patternFill patternType="solid">
          <fgColor rgb="FF000000"/>
          <bgColor rgb="FFCCFFCC"/>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T029%20Report%2031%20March%202013_travis_late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ECTAR/Finance/Subprojects%20Stage%201/RT%20Stage%201_new%20templat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Header"/>
      <sheetName val="2.Milestones"/>
      <sheetName val="3.Issues"/>
      <sheetName val="4.Risks"/>
      <sheetName val="5.Changes"/>
      <sheetName val="6.Dependencies"/>
      <sheetName val="7.Measures"/>
      <sheetName val="8.Communications"/>
      <sheetName val="9.Finance"/>
      <sheetName val="Legend"/>
      <sheetName val="Data- TO BE HIDDEN"/>
      <sheetName val="ReportInformation"/>
      <sheetName val="10.Assets"/>
      <sheetName val="Sheet1"/>
      <sheetName val="RT029"/>
    </sheetNames>
    <sheetDataSet>
      <sheetData sheetId="0">
        <row r="14">
          <cell r="D14" t="str">
            <v>RT029</v>
          </cell>
          <cell r="G14" t="str">
            <v>Cloud Based Bioinformatics Tools</v>
          </cell>
        </row>
        <row r="15">
          <cell r="G15">
            <v>41244</v>
          </cell>
        </row>
        <row r="16">
          <cell r="G16">
            <v>41334</v>
          </cell>
        </row>
        <row r="32">
          <cell r="AE32" t="str">
            <v>AMBER</v>
          </cell>
        </row>
      </sheetData>
      <sheetData sheetId="1">
        <row r="37">
          <cell r="P37" t="str">
            <v>RED</v>
          </cell>
        </row>
      </sheetData>
      <sheetData sheetId="2">
        <row r="28">
          <cell r="K28" t="str">
            <v>GREEN</v>
          </cell>
        </row>
      </sheetData>
      <sheetData sheetId="3">
        <row r="25">
          <cell r="G25" t="str">
            <v>GREEN</v>
          </cell>
        </row>
      </sheetData>
      <sheetData sheetId="4">
        <row r="28">
          <cell r="M28" t="str">
            <v>GREEN</v>
          </cell>
        </row>
      </sheetData>
      <sheetData sheetId="5">
        <row r="24">
          <cell r="G24" t="str">
            <v/>
          </cell>
        </row>
      </sheetData>
      <sheetData sheetId="6">
        <row r="46">
          <cell r="Q46" t="str">
            <v/>
          </cell>
        </row>
      </sheetData>
      <sheetData sheetId="7">
        <row r="43">
          <cell r="H43" t="str">
            <v>GREEN</v>
          </cell>
        </row>
      </sheetData>
      <sheetData sheetId="8" refreshError="1"/>
      <sheetData sheetId="9" refreshError="1"/>
      <sheetData sheetId="10">
        <row r="2">
          <cell r="B2">
            <v>0</v>
          </cell>
          <cell r="C2" t="str">
            <v>e-news</v>
          </cell>
          <cell r="D2" t="str">
            <v>Green</v>
          </cell>
          <cell r="E2" t="str">
            <v>Yes</v>
          </cell>
          <cell r="F2">
            <v>40909</v>
          </cell>
          <cell r="G2">
            <v>42004</v>
          </cell>
          <cell r="H2" t="str">
            <v>Pilot</v>
          </cell>
          <cell r="I2" t="str">
            <v>Hardware</v>
          </cell>
        </row>
        <row r="3">
          <cell r="B3">
            <v>25</v>
          </cell>
          <cell r="C3" t="str">
            <v>press release</v>
          </cell>
          <cell r="D3" t="str">
            <v>Amber</v>
          </cell>
          <cell r="E3" t="str">
            <v>No</v>
          </cell>
          <cell r="H3" t="str">
            <v>Production</v>
          </cell>
          <cell r="I3" t="str">
            <v>Software</v>
          </cell>
        </row>
        <row r="4">
          <cell r="B4">
            <v>50</v>
          </cell>
          <cell r="C4" t="str">
            <v>radio item</v>
          </cell>
          <cell r="D4" t="str">
            <v>Red</v>
          </cell>
          <cell r="H4" t="str">
            <v>Out of Service</v>
          </cell>
          <cell r="I4" t="str">
            <v>Document</v>
          </cell>
        </row>
        <row r="5">
          <cell r="B5">
            <v>75</v>
          </cell>
          <cell r="C5" t="str">
            <v>television item</v>
          </cell>
        </row>
        <row r="6">
          <cell r="B6">
            <v>100</v>
          </cell>
          <cell r="C6" t="str">
            <v>article</v>
          </cell>
        </row>
        <row r="7">
          <cell r="C7" t="str">
            <v>event</v>
          </cell>
        </row>
        <row r="8">
          <cell r="C8" t="str">
            <v>presentation</v>
          </cell>
        </row>
        <row r="9">
          <cell r="C9" t="str">
            <v>social media</v>
          </cell>
        </row>
      </sheetData>
      <sheetData sheetId="11">
        <row r="11">
          <cell r="W11">
            <v>169000</v>
          </cell>
          <cell r="X11">
            <v>114000</v>
          </cell>
        </row>
      </sheetData>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T001"/>
      <sheetName val="RT007"/>
      <sheetName val="RT009"/>
      <sheetName val="RT012"/>
      <sheetName val="RT014"/>
      <sheetName val="RT015"/>
      <sheetName val="RT016"/>
      <sheetName val="RT017"/>
      <sheetName val="RT020"/>
      <sheetName val="RT022"/>
      <sheetName val="RT025"/>
      <sheetName val="RT029"/>
      <sheetName val="RT031"/>
      <sheetName val="RT035"/>
      <sheetName val="RT038"/>
      <sheetName val="RT043"/>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row r="13">
          <cell r="C13">
            <v>41274</v>
          </cell>
        </row>
      </sheetData>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CCFFCC"/>
  </sheetPr>
  <dimension ref="A1:WVW57"/>
  <sheetViews>
    <sheetView showGridLines="0" topLeftCell="B10" zoomScale="75" zoomScaleNormal="75" workbookViewId="0">
      <selection activeCell="M26" sqref="M26"/>
    </sheetView>
  </sheetViews>
  <sheetFormatPr defaultColWidth="8.85546875" defaultRowHeight="15"/>
  <cols>
    <col min="1" max="1" width="8.42578125" style="28" customWidth="1"/>
    <col min="2" max="2" width="15.85546875" style="28" customWidth="1"/>
    <col min="3" max="3" width="17.7109375" style="28" customWidth="1"/>
    <col min="4" max="4" width="14.28515625" style="28" customWidth="1"/>
    <col min="5" max="5" width="13" style="28" customWidth="1"/>
    <col min="6" max="8" width="14" style="28" customWidth="1"/>
    <col min="9" max="9" width="14.42578125" style="28" customWidth="1"/>
    <col min="10" max="10" width="17.7109375" style="28" customWidth="1"/>
    <col min="11" max="11" width="16.28515625" style="28" customWidth="1"/>
    <col min="12" max="12" width="14" style="28" customWidth="1"/>
    <col min="13" max="13" width="17" style="28" customWidth="1"/>
    <col min="14" max="14" width="14.42578125" style="28" hidden="1" customWidth="1"/>
    <col min="15" max="15" width="9.140625" style="28" hidden="1" customWidth="1"/>
    <col min="16" max="16" width="18" style="28" hidden="1" customWidth="1"/>
    <col min="17" max="17" width="16" style="28" hidden="1" customWidth="1"/>
    <col min="18" max="18" width="9.140625" style="28" hidden="1" customWidth="1"/>
    <col min="19" max="19" width="34.42578125" style="28" hidden="1" customWidth="1"/>
    <col min="20" max="20" width="23.28515625" style="28" hidden="1" customWidth="1"/>
    <col min="21" max="21" width="16.7109375" style="28" customWidth="1"/>
    <col min="22" max="258" width="8.85546875" style="28"/>
    <col min="259" max="259" width="9.7109375" style="28" customWidth="1"/>
    <col min="260" max="260" width="21.85546875" style="28" customWidth="1"/>
    <col min="261" max="261" width="13" style="28" customWidth="1"/>
    <col min="262" max="264" width="14" style="28" customWidth="1"/>
    <col min="265" max="265" width="17.140625" style="28" customWidth="1"/>
    <col min="266" max="266" width="17.7109375" style="28" customWidth="1"/>
    <col min="267" max="267" width="16.28515625" style="28" customWidth="1"/>
    <col min="268" max="268" width="14" style="28" customWidth="1"/>
    <col min="269" max="269" width="17" style="28" customWidth="1"/>
    <col min="270" max="270" width="14.42578125" style="28" customWidth="1"/>
    <col min="271" max="514" width="8.85546875" style="28"/>
    <col min="515" max="515" width="9.7109375" style="28" customWidth="1"/>
    <col min="516" max="516" width="21.85546875" style="28" customWidth="1"/>
    <col min="517" max="517" width="13" style="28" customWidth="1"/>
    <col min="518" max="520" width="14" style="28" customWidth="1"/>
    <col min="521" max="521" width="17.140625" style="28" customWidth="1"/>
    <col min="522" max="522" width="17.7109375" style="28" customWidth="1"/>
    <col min="523" max="523" width="16.28515625" style="28" customWidth="1"/>
    <col min="524" max="524" width="14" style="28" customWidth="1"/>
    <col min="525" max="525" width="17" style="28" customWidth="1"/>
    <col min="526" max="526" width="14.42578125" style="28" customWidth="1"/>
    <col min="527" max="770" width="8.85546875" style="28"/>
    <col min="771" max="771" width="9.7109375" style="28" customWidth="1"/>
    <col min="772" max="772" width="21.85546875" style="28" customWidth="1"/>
    <col min="773" max="773" width="13" style="28" customWidth="1"/>
    <col min="774" max="776" width="14" style="28" customWidth="1"/>
    <col min="777" max="777" width="17.140625" style="28" customWidth="1"/>
    <col min="778" max="778" width="17.7109375" style="28" customWidth="1"/>
    <col min="779" max="779" width="16.28515625" style="28" customWidth="1"/>
    <col min="780" max="780" width="14" style="28" customWidth="1"/>
    <col min="781" max="781" width="17" style="28" customWidth="1"/>
    <col min="782" max="782" width="14.42578125" style="28" customWidth="1"/>
    <col min="783" max="1026" width="8.85546875" style="28"/>
    <col min="1027" max="1027" width="9.7109375" style="28" customWidth="1"/>
    <col min="1028" max="1028" width="21.85546875" style="28" customWidth="1"/>
    <col min="1029" max="1029" width="13" style="28" customWidth="1"/>
    <col min="1030" max="1032" width="14" style="28" customWidth="1"/>
    <col min="1033" max="1033" width="17.140625" style="28" customWidth="1"/>
    <col min="1034" max="1034" width="17.7109375" style="28" customWidth="1"/>
    <col min="1035" max="1035" width="16.28515625" style="28" customWidth="1"/>
    <col min="1036" max="1036" width="14" style="28" customWidth="1"/>
    <col min="1037" max="1037" width="17" style="28" customWidth="1"/>
    <col min="1038" max="1038" width="14.42578125" style="28" customWidth="1"/>
    <col min="1039" max="1282" width="8.85546875" style="28"/>
    <col min="1283" max="1283" width="9.7109375" style="28" customWidth="1"/>
    <col min="1284" max="1284" width="21.85546875" style="28" customWidth="1"/>
    <col min="1285" max="1285" width="13" style="28" customWidth="1"/>
    <col min="1286" max="1288" width="14" style="28" customWidth="1"/>
    <col min="1289" max="1289" width="17.140625" style="28" customWidth="1"/>
    <col min="1290" max="1290" width="17.7109375" style="28" customWidth="1"/>
    <col min="1291" max="1291" width="16.28515625" style="28" customWidth="1"/>
    <col min="1292" max="1292" width="14" style="28" customWidth="1"/>
    <col min="1293" max="1293" width="17" style="28" customWidth="1"/>
    <col min="1294" max="1294" width="14.42578125" style="28" customWidth="1"/>
    <col min="1295" max="1538" width="8.85546875" style="28"/>
    <col min="1539" max="1539" width="9.7109375" style="28" customWidth="1"/>
    <col min="1540" max="1540" width="21.85546875" style="28" customWidth="1"/>
    <col min="1541" max="1541" width="13" style="28" customWidth="1"/>
    <col min="1542" max="1544" width="14" style="28" customWidth="1"/>
    <col min="1545" max="1545" width="17.140625" style="28" customWidth="1"/>
    <col min="1546" max="1546" width="17.7109375" style="28" customWidth="1"/>
    <col min="1547" max="1547" width="16.28515625" style="28" customWidth="1"/>
    <col min="1548" max="1548" width="14" style="28" customWidth="1"/>
    <col min="1549" max="1549" width="17" style="28" customWidth="1"/>
    <col min="1550" max="1550" width="14.42578125" style="28" customWidth="1"/>
    <col min="1551" max="1794" width="8.85546875" style="28"/>
    <col min="1795" max="1795" width="9.7109375" style="28" customWidth="1"/>
    <col min="1796" max="1796" width="21.85546875" style="28" customWidth="1"/>
    <col min="1797" max="1797" width="13" style="28" customWidth="1"/>
    <col min="1798" max="1800" width="14" style="28" customWidth="1"/>
    <col min="1801" max="1801" width="17.140625" style="28" customWidth="1"/>
    <col min="1802" max="1802" width="17.7109375" style="28" customWidth="1"/>
    <col min="1803" max="1803" width="16.28515625" style="28" customWidth="1"/>
    <col min="1804" max="1804" width="14" style="28" customWidth="1"/>
    <col min="1805" max="1805" width="17" style="28" customWidth="1"/>
    <col min="1806" max="1806" width="14.42578125" style="28" customWidth="1"/>
    <col min="1807" max="2050" width="8.85546875" style="28"/>
    <col min="2051" max="2051" width="9.7109375" style="28" customWidth="1"/>
    <col min="2052" max="2052" width="21.85546875" style="28" customWidth="1"/>
    <col min="2053" max="2053" width="13" style="28" customWidth="1"/>
    <col min="2054" max="2056" width="14" style="28" customWidth="1"/>
    <col min="2057" max="2057" width="17.140625" style="28" customWidth="1"/>
    <col min="2058" max="2058" width="17.7109375" style="28" customWidth="1"/>
    <col min="2059" max="2059" width="16.28515625" style="28" customWidth="1"/>
    <col min="2060" max="2060" width="14" style="28" customWidth="1"/>
    <col min="2061" max="2061" width="17" style="28" customWidth="1"/>
    <col min="2062" max="2062" width="14.42578125" style="28" customWidth="1"/>
    <col min="2063" max="2306" width="8.85546875" style="28"/>
    <col min="2307" max="2307" width="9.7109375" style="28" customWidth="1"/>
    <col min="2308" max="2308" width="21.85546875" style="28" customWidth="1"/>
    <col min="2309" max="2309" width="13" style="28" customWidth="1"/>
    <col min="2310" max="2312" width="14" style="28" customWidth="1"/>
    <col min="2313" max="2313" width="17.140625" style="28" customWidth="1"/>
    <col min="2314" max="2314" width="17.7109375" style="28" customWidth="1"/>
    <col min="2315" max="2315" width="16.28515625" style="28" customWidth="1"/>
    <col min="2316" max="2316" width="14" style="28" customWidth="1"/>
    <col min="2317" max="2317" width="17" style="28" customWidth="1"/>
    <col min="2318" max="2318" width="14.42578125" style="28" customWidth="1"/>
    <col min="2319" max="2562" width="8.85546875" style="28"/>
    <col min="2563" max="2563" width="9.7109375" style="28" customWidth="1"/>
    <col min="2564" max="2564" width="21.85546875" style="28" customWidth="1"/>
    <col min="2565" max="2565" width="13" style="28" customWidth="1"/>
    <col min="2566" max="2568" width="14" style="28" customWidth="1"/>
    <col min="2569" max="2569" width="17.140625" style="28" customWidth="1"/>
    <col min="2570" max="2570" width="17.7109375" style="28" customWidth="1"/>
    <col min="2571" max="2571" width="16.28515625" style="28" customWidth="1"/>
    <col min="2572" max="2572" width="14" style="28" customWidth="1"/>
    <col min="2573" max="2573" width="17" style="28" customWidth="1"/>
    <col min="2574" max="2574" width="14.42578125" style="28" customWidth="1"/>
    <col min="2575" max="2818" width="8.85546875" style="28"/>
    <col min="2819" max="2819" width="9.7109375" style="28" customWidth="1"/>
    <col min="2820" max="2820" width="21.85546875" style="28" customWidth="1"/>
    <col min="2821" max="2821" width="13" style="28" customWidth="1"/>
    <col min="2822" max="2824" width="14" style="28" customWidth="1"/>
    <col min="2825" max="2825" width="17.140625" style="28" customWidth="1"/>
    <col min="2826" max="2826" width="17.7109375" style="28" customWidth="1"/>
    <col min="2827" max="2827" width="16.28515625" style="28" customWidth="1"/>
    <col min="2828" max="2828" width="14" style="28" customWidth="1"/>
    <col min="2829" max="2829" width="17" style="28" customWidth="1"/>
    <col min="2830" max="2830" width="14.42578125" style="28" customWidth="1"/>
    <col min="2831" max="3074" width="8.85546875" style="28"/>
    <col min="3075" max="3075" width="9.7109375" style="28" customWidth="1"/>
    <col min="3076" max="3076" width="21.85546875" style="28" customWidth="1"/>
    <col min="3077" max="3077" width="13" style="28" customWidth="1"/>
    <col min="3078" max="3080" width="14" style="28" customWidth="1"/>
    <col min="3081" max="3081" width="17.140625" style="28" customWidth="1"/>
    <col min="3082" max="3082" width="17.7109375" style="28" customWidth="1"/>
    <col min="3083" max="3083" width="16.28515625" style="28" customWidth="1"/>
    <col min="3084" max="3084" width="14" style="28" customWidth="1"/>
    <col min="3085" max="3085" width="17" style="28" customWidth="1"/>
    <col min="3086" max="3086" width="14.42578125" style="28" customWidth="1"/>
    <col min="3087" max="3330" width="8.85546875" style="28"/>
    <col min="3331" max="3331" width="9.7109375" style="28" customWidth="1"/>
    <col min="3332" max="3332" width="21.85546875" style="28" customWidth="1"/>
    <col min="3333" max="3333" width="13" style="28" customWidth="1"/>
    <col min="3334" max="3336" width="14" style="28" customWidth="1"/>
    <col min="3337" max="3337" width="17.140625" style="28" customWidth="1"/>
    <col min="3338" max="3338" width="17.7109375" style="28" customWidth="1"/>
    <col min="3339" max="3339" width="16.28515625" style="28" customWidth="1"/>
    <col min="3340" max="3340" width="14" style="28" customWidth="1"/>
    <col min="3341" max="3341" width="17" style="28" customWidth="1"/>
    <col min="3342" max="3342" width="14.42578125" style="28" customWidth="1"/>
    <col min="3343" max="3586" width="8.85546875" style="28"/>
    <col min="3587" max="3587" width="9.7109375" style="28" customWidth="1"/>
    <col min="3588" max="3588" width="21.85546875" style="28" customWidth="1"/>
    <col min="3589" max="3589" width="13" style="28" customWidth="1"/>
    <col min="3590" max="3592" width="14" style="28" customWidth="1"/>
    <col min="3593" max="3593" width="17.140625" style="28" customWidth="1"/>
    <col min="3594" max="3594" width="17.7109375" style="28" customWidth="1"/>
    <col min="3595" max="3595" width="16.28515625" style="28" customWidth="1"/>
    <col min="3596" max="3596" width="14" style="28" customWidth="1"/>
    <col min="3597" max="3597" width="17" style="28" customWidth="1"/>
    <col min="3598" max="3598" width="14.42578125" style="28" customWidth="1"/>
    <col min="3599" max="3842" width="8.85546875" style="28"/>
    <col min="3843" max="3843" width="9.7109375" style="28" customWidth="1"/>
    <col min="3844" max="3844" width="21.85546875" style="28" customWidth="1"/>
    <col min="3845" max="3845" width="13" style="28" customWidth="1"/>
    <col min="3846" max="3848" width="14" style="28" customWidth="1"/>
    <col min="3849" max="3849" width="17.140625" style="28" customWidth="1"/>
    <col min="3850" max="3850" width="17.7109375" style="28" customWidth="1"/>
    <col min="3851" max="3851" width="16.28515625" style="28" customWidth="1"/>
    <col min="3852" max="3852" width="14" style="28" customWidth="1"/>
    <col min="3853" max="3853" width="17" style="28" customWidth="1"/>
    <col min="3854" max="3854" width="14.42578125" style="28" customWidth="1"/>
    <col min="3855" max="4098" width="8.85546875" style="28"/>
    <col min="4099" max="4099" width="9.7109375" style="28" customWidth="1"/>
    <col min="4100" max="4100" width="21.85546875" style="28" customWidth="1"/>
    <col min="4101" max="4101" width="13" style="28" customWidth="1"/>
    <col min="4102" max="4104" width="14" style="28" customWidth="1"/>
    <col min="4105" max="4105" width="17.140625" style="28" customWidth="1"/>
    <col min="4106" max="4106" width="17.7109375" style="28" customWidth="1"/>
    <col min="4107" max="4107" width="16.28515625" style="28" customWidth="1"/>
    <col min="4108" max="4108" width="14" style="28" customWidth="1"/>
    <col min="4109" max="4109" width="17" style="28" customWidth="1"/>
    <col min="4110" max="4110" width="14.42578125" style="28" customWidth="1"/>
    <col min="4111" max="4354" width="8.85546875" style="28"/>
    <col min="4355" max="4355" width="9.7109375" style="28" customWidth="1"/>
    <col min="4356" max="4356" width="21.85546875" style="28" customWidth="1"/>
    <col min="4357" max="4357" width="13" style="28" customWidth="1"/>
    <col min="4358" max="4360" width="14" style="28" customWidth="1"/>
    <col min="4361" max="4361" width="17.140625" style="28" customWidth="1"/>
    <col min="4362" max="4362" width="17.7109375" style="28" customWidth="1"/>
    <col min="4363" max="4363" width="16.28515625" style="28" customWidth="1"/>
    <col min="4364" max="4364" width="14" style="28" customWidth="1"/>
    <col min="4365" max="4365" width="17" style="28" customWidth="1"/>
    <col min="4366" max="4366" width="14.42578125" style="28" customWidth="1"/>
    <col min="4367" max="4610" width="8.85546875" style="28"/>
    <col min="4611" max="4611" width="9.7109375" style="28" customWidth="1"/>
    <col min="4612" max="4612" width="21.85546875" style="28" customWidth="1"/>
    <col min="4613" max="4613" width="13" style="28" customWidth="1"/>
    <col min="4614" max="4616" width="14" style="28" customWidth="1"/>
    <col min="4617" max="4617" width="17.140625" style="28" customWidth="1"/>
    <col min="4618" max="4618" width="17.7109375" style="28" customWidth="1"/>
    <col min="4619" max="4619" width="16.28515625" style="28" customWidth="1"/>
    <col min="4620" max="4620" width="14" style="28" customWidth="1"/>
    <col min="4621" max="4621" width="17" style="28" customWidth="1"/>
    <col min="4622" max="4622" width="14.42578125" style="28" customWidth="1"/>
    <col min="4623" max="4866" width="8.85546875" style="28"/>
    <col min="4867" max="4867" width="9.7109375" style="28" customWidth="1"/>
    <col min="4868" max="4868" width="21.85546875" style="28" customWidth="1"/>
    <col min="4869" max="4869" width="13" style="28" customWidth="1"/>
    <col min="4870" max="4872" width="14" style="28" customWidth="1"/>
    <col min="4873" max="4873" width="17.140625" style="28" customWidth="1"/>
    <col min="4874" max="4874" width="17.7109375" style="28" customWidth="1"/>
    <col min="4875" max="4875" width="16.28515625" style="28" customWidth="1"/>
    <col min="4876" max="4876" width="14" style="28" customWidth="1"/>
    <col min="4877" max="4877" width="17" style="28" customWidth="1"/>
    <col min="4878" max="4878" width="14.42578125" style="28" customWidth="1"/>
    <col min="4879" max="5122" width="8.85546875" style="28"/>
    <col min="5123" max="5123" width="9.7109375" style="28" customWidth="1"/>
    <col min="5124" max="5124" width="21.85546875" style="28" customWidth="1"/>
    <col min="5125" max="5125" width="13" style="28" customWidth="1"/>
    <col min="5126" max="5128" width="14" style="28" customWidth="1"/>
    <col min="5129" max="5129" width="17.140625" style="28" customWidth="1"/>
    <col min="5130" max="5130" width="17.7109375" style="28" customWidth="1"/>
    <col min="5131" max="5131" width="16.28515625" style="28" customWidth="1"/>
    <col min="5132" max="5132" width="14" style="28" customWidth="1"/>
    <col min="5133" max="5133" width="17" style="28" customWidth="1"/>
    <col min="5134" max="5134" width="14.42578125" style="28" customWidth="1"/>
    <col min="5135" max="5378" width="8.85546875" style="28"/>
    <col min="5379" max="5379" width="9.7109375" style="28" customWidth="1"/>
    <col min="5380" max="5380" width="21.85546875" style="28" customWidth="1"/>
    <col min="5381" max="5381" width="13" style="28" customWidth="1"/>
    <col min="5382" max="5384" width="14" style="28" customWidth="1"/>
    <col min="5385" max="5385" width="17.140625" style="28" customWidth="1"/>
    <col min="5386" max="5386" width="17.7109375" style="28" customWidth="1"/>
    <col min="5387" max="5387" width="16.28515625" style="28" customWidth="1"/>
    <col min="5388" max="5388" width="14" style="28" customWidth="1"/>
    <col min="5389" max="5389" width="17" style="28" customWidth="1"/>
    <col min="5390" max="5390" width="14.42578125" style="28" customWidth="1"/>
    <col min="5391" max="5634" width="8.85546875" style="28"/>
    <col min="5635" max="5635" width="9.7109375" style="28" customWidth="1"/>
    <col min="5636" max="5636" width="21.85546875" style="28" customWidth="1"/>
    <col min="5637" max="5637" width="13" style="28" customWidth="1"/>
    <col min="5638" max="5640" width="14" style="28" customWidth="1"/>
    <col min="5641" max="5641" width="17.140625" style="28" customWidth="1"/>
    <col min="5642" max="5642" width="17.7109375" style="28" customWidth="1"/>
    <col min="5643" max="5643" width="16.28515625" style="28" customWidth="1"/>
    <col min="5644" max="5644" width="14" style="28" customWidth="1"/>
    <col min="5645" max="5645" width="17" style="28" customWidth="1"/>
    <col min="5646" max="5646" width="14.42578125" style="28" customWidth="1"/>
    <col min="5647" max="5890" width="8.85546875" style="28"/>
    <col min="5891" max="5891" width="9.7109375" style="28" customWidth="1"/>
    <col min="5892" max="5892" width="21.85546875" style="28" customWidth="1"/>
    <col min="5893" max="5893" width="13" style="28" customWidth="1"/>
    <col min="5894" max="5896" width="14" style="28" customWidth="1"/>
    <col min="5897" max="5897" width="17.140625" style="28" customWidth="1"/>
    <col min="5898" max="5898" width="17.7109375" style="28" customWidth="1"/>
    <col min="5899" max="5899" width="16.28515625" style="28" customWidth="1"/>
    <col min="5900" max="5900" width="14" style="28" customWidth="1"/>
    <col min="5901" max="5901" width="17" style="28" customWidth="1"/>
    <col min="5902" max="5902" width="14.42578125" style="28" customWidth="1"/>
    <col min="5903" max="6146" width="8.85546875" style="28"/>
    <col min="6147" max="6147" width="9.7109375" style="28" customWidth="1"/>
    <col min="6148" max="6148" width="21.85546875" style="28" customWidth="1"/>
    <col min="6149" max="6149" width="13" style="28" customWidth="1"/>
    <col min="6150" max="6152" width="14" style="28" customWidth="1"/>
    <col min="6153" max="6153" width="17.140625" style="28" customWidth="1"/>
    <col min="6154" max="6154" width="17.7109375" style="28" customWidth="1"/>
    <col min="6155" max="6155" width="16.28515625" style="28" customWidth="1"/>
    <col min="6156" max="6156" width="14" style="28" customWidth="1"/>
    <col min="6157" max="6157" width="17" style="28" customWidth="1"/>
    <col min="6158" max="6158" width="14.42578125" style="28" customWidth="1"/>
    <col min="6159" max="6402" width="8.85546875" style="28"/>
    <col min="6403" max="6403" width="9.7109375" style="28" customWidth="1"/>
    <col min="6404" max="6404" width="21.85546875" style="28" customWidth="1"/>
    <col min="6405" max="6405" width="13" style="28" customWidth="1"/>
    <col min="6406" max="6408" width="14" style="28" customWidth="1"/>
    <col min="6409" max="6409" width="17.140625" style="28" customWidth="1"/>
    <col min="6410" max="6410" width="17.7109375" style="28" customWidth="1"/>
    <col min="6411" max="6411" width="16.28515625" style="28" customWidth="1"/>
    <col min="6412" max="6412" width="14" style="28" customWidth="1"/>
    <col min="6413" max="6413" width="17" style="28" customWidth="1"/>
    <col min="6414" max="6414" width="14.42578125" style="28" customWidth="1"/>
    <col min="6415" max="6658" width="8.85546875" style="28"/>
    <col min="6659" max="6659" width="9.7109375" style="28" customWidth="1"/>
    <col min="6660" max="6660" width="21.85546875" style="28" customWidth="1"/>
    <col min="6661" max="6661" width="13" style="28" customWidth="1"/>
    <col min="6662" max="6664" width="14" style="28" customWidth="1"/>
    <col min="6665" max="6665" width="17.140625" style="28" customWidth="1"/>
    <col min="6666" max="6666" width="17.7109375" style="28" customWidth="1"/>
    <col min="6667" max="6667" width="16.28515625" style="28" customWidth="1"/>
    <col min="6668" max="6668" width="14" style="28" customWidth="1"/>
    <col min="6669" max="6669" width="17" style="28" customWidth="1"/>
    <col min="6670" max="6670" width="14.42578125" style="28" customWidth="1"/>
    <col min="6671" max="6914" width="8.85546875" style="28"/>
    <col min="6915" max="6915" width="9.7109375" style="28" customWidth="1"/>
    <col min="6916" max="6916" width="21.85546875" style="28" customWidth="1"/>
    <col min="6917" max="6917" width="13" style="28" customWidth="1"/>
    <col min="6918" max="6920" width="14" style="28" customWidth="1"/>
    <col min="6921" max="6921" width="17.140625" style="28" customWidth="1"/>
    <col min="6922" max="6922" width="17.7109375" style="28" customWidth="1"/>
    <col min="6923" max="6923" width="16.28515625" style="28" customWidth="1"/>
    <col min="6924" max="6924" width="14" style="28" customWidth="1"/>
    <col min="6925" max="6925" width="17" style="28" customWidth="1"/>
    <col min="6926" max="6926" width="14.42578125" style="28" customWidth="1"/>
    <col min="6927" max="7170" width="8.85546875" style="28"/>
    <col min="7171" max="7171" width="9.7109375" style="28" customWidth="1"/>
    <col min="7172" max="7172" width="21.85546875" style="28" customWidth="1"/>
    <col min="7173" max="7173" width="13" style="28" customWidth="1"/>
    <col min="7174" max="7176" width="14" style="28" customWidth="1"/>
    <col min="7177" max="7177" width="17.140625" style="28" customWidth="1"/>
    <col min="7178" max="7178" width="17.7109375" style="28" customWidth="1"/>
    <col min="7179" max="7179" width="16.28515625" style="28" customWidth="1"/>
    <col min="7180" max="7180" width="14" style="28" customWidth="1"/>
    <col min="7181" max="7181" width="17" style="28" customWidth="1"/>
    <col min="7182" max="7182" width="14.42578125" style="28" customWidth="1"/>
    <col min="7183" max="7426" width="8.85546875" style="28"/>
    <col min="7427" max="7427" width="9.7109375" style="28" customWidth="1"/>
    <col min="7428" max="7428" width="21.85546875" style="28" customWidth="1"/>
    <col min="7429" max="7429" width="13" style="28" customWidth="1"/>
    <col min="7430" max="7432" width="14" style="28" customWidth="1"/>
    <col min="7433" max="7433" width="17.140625" style="28" customWidth="1"/>
    <col min="7434" max="7434" width="17.7109375" style="28" customWidth="1"/>
    <col min="7435" max="7435" width="16.28515625" style="28" customWidth="1"/>
    <col min="7436" max="7436" width="14" style="28" customWidth="1"/>
    <col min="7437" max="7437" width="17" style="28" customWidth="1"/>
    <col min="7438" max="7438" width="14.42578125" style="28" customWidth="1"/>
    <col min="7439" max="7682" width="8.85546875" style="28"/>
    <col min="7683" max="7683" width="9.7109375" style="28" customWidth="1"/>
    <col min="7684" max="7684" width="21.85546875" style="28" customWidth="1"/>
    <col min="7685" max="7685" width="13" style="28" customWidth="1"/>
    <col min="7686" max="7688" width="14" style="28" customWidth="1"/>
    <col min="7689" max="7689" width="17.140625" style="28" customWidth="1"/>
    <col min="7690" max="7690" width="17.7109375" style="28" customWidth="1"/>
    <col min="7691" max="7691" width="16.28515625" style="28" customWidth="1"/>
    <col min="7692" max="7692" width="14" style="28" customWidth="1"/>
    <col min="7693" max="7693" width="17" style="28" customWidth="1"/>
    <col min="7694" max="7694" width="14.42578125" style="28" customWidth="1"/>
    <col min="7695" max="7938" width="8.85546875" style="28"/>
    <col min="7939" max="7939" width="9.7109375" style="28" customWidth="1"/>
    <col min="7940" max="7940" width="21.85546875" style="28" customWidth="1"/>
    <col min="7941" max="7941" width="13" style="28" customWidth="1"/>
    <col min="7942" max="7944" width="14" style="28" customWidth="1"/>
    <col min="7945" max="7945" width="17.140625" style="28" customWidth="1"/>
    <col min="7946" max="7946" width="17.7109375" style="28" customWidth="1"/>
    <col min="7947" max="7947" width="16.28515625" style="28" customWidth="1"/>
    <col min="7948" max="7948" width="14" style="28" customWidth="1"/>
    <col min="7949" max="7949" width="17" style="28" customWidth="1"/>
    <col min="7950" max="7950" width="14.42578125" style="28" customWidth="1"/>
    <col min="7951" max="8194" width="8.85546875" style="28"/>
    <col min="8195" max="8195" width="9.7109375" style="28" customWidth="1"/>
    <col min="8196" max="8196" width="21.85546875" style="28" customWidth="1"/>
    <col min="8197" max="8197" width="13" style="28" customWidth="1"/>
    <col min="8198" max="8200" width="14" style="28" customWidth="1"/>
    <col min="8201" max="8201" width="17.140625" style="28" customWidth="1"/>
    <col min="8202" max="8202" width="17.7109375" style="28" customWidth="1"/>
    <col min="8203" max="8203" width="16.28515625" style="28" customWidth="1"/>
    <col min="8204" max="8204" width="14" style="28" customWidth="1"/>
    <col min="8205" max="8205" width="17" style="28" customWidth="1"/>
    <col min="8206" max="8206" width="14.42578125" style="28" customWidth="1"/>
    <col min="8207" max="8450" width="8.85546875" style="28"/>
    <col min="8451" max="8451" width="9.7109375" style="28" customWidth="1"/>
    <col min="8452" max="8452" width="21.85546875" style="28" customWidth="1"/>
    <col min="8453" max="8453" width="13" style="28" customWidth="1"/>
    <col min="8454" max="8456" width="14" style="28" customWidth="1"/>
    <col min="8457" max="8457" width="17.140625" style="28" customWidth="1"/>
    <col min="8458" max="8458" width="17.7109375" style="28" customWidth="1"/>
    <col min="8459" max="8459" width="16.28515625" style="28" customWidth="1"/>
    <col min="8460" max="8460" width="14" style="28" customWidth="1"/>
    <col min="8461" max="8461" width="17" style="28" customWidth="1"/>
    <col min="8462" max="8462" width="14.42578125" style="28" customWidth="1"/>
    <col min="8463" max="8706" width="8.85546875" style="28"/>
    <col min="8707" max="8707" width="9.7109375" style="28" customWidth="1"/>
    <col min="8708" max="8708" width="21.85546875" style="28" customWidth="1"/>
    <col min="8709" max="8709" width="13" style="28" customWidth="1"/>
    <col min="8710" max="8712" width="14" style="28" customWidth="1"/>
    <col min="8713" max="8713" width="17.140625" style="28" customWidth="1"/>
    <col min="8714" max="8714" width="17.7109375" style="28" customWidth="1"/>
    <col min="8715" max="8715" width="16.28515625" style="28" customWidth="1"/>
    <col min="8716" max="8716" width="14" style="28" customWidth="1"/>
    <col min="8717" max="8717" width="17" style="28" customWidth="1"/>
    <col min="8718" max="8718" width="14.42578125" style="28" customWidth="1"/>
    <col min="8719" max="8962" width="8.85546875" style="28"/>
    <col min="8963" max="8963" width="9.7109375" style="28" customWidth="1"/>
    <col min="8964" max="8964" width="21.85546875" style="28" customWidth="1"/>
    <col min="8965" max="8965" width="13" style="28" customWidth="1"/>
    <col min="8966" max="8968" width="14" style="28" customWidth="1"/>
    <col min="8969" max="8969" width="17.140625" style="28" customWidth="1"/>
    <col min="8970" max="8970" width="17.7109375" style="28" customWidth="1"/>
    <col min="8971" max="8971" width="16.28515625" style="28" customWidth="1"/>
    <col min="8972" max="8972" width="14" style="28" customWidth="1"/>
    <col min="8973" max="8973" width="17" style="28" customWidth="1"/>
    <col min="8974" max="8974" width="14.42578125" style="28" customWidth="1"/>
    <col min="8975" max="9218" width="8.85546875" style="28"/>
    <col min="9219" max="9219" width="9.7109375" style="28" customWidth="1"/>
    <col min="9220" max="9220" width="21.85546875" style="28" customWidth="1"/>
    <col min="9221" max="9221" width="13" style="28" customWidth="1"/>
    <col min="9222" max="9224" width="14" style="28" customWidth="1"/>
    <col min="9225" max="9225" width="17.140625" style="28" customWidth="1"/>
    <col min="9226" max="9226" width="17.7109375" style="28" customWidth="1"/>
    <col min="9227" max="9227" width="16.28515625" style="28" customWidth="1"/>
    <col min="9228" max="9228" width="14" style="28" customWidth="1"/>
    <col min="9229" max="9229" width="17" style="28" customWidth="1"/>
    <col min="9230" max="9230" width="14.42578125" style="28" customWidth="1"/>
    <col min="9231" max="9474" width="8.85546875" style="28"/>
    <col min="9475" max="9475" width="9.7109375" style="28" customWidth="1"/>
    <col min="9476" max="9476" width="21.85546875" style="28" customWidth="1"/>
    <col min="9477" max="9477" width="13" style="28" customWidth="1"/>
    <col min="9478" max="9480" width="14" style="28" customWidth="1"/>
    <col min="9481" max="9481" width="17.140625" style="28" customWidth="1"/>
    <col min="9482" max="9482" width="17.7109375" style="28" customWidth="1"/>
    <col min="9483" max="9483" width="16.28515625" style="28" customWidth="1"/>
    <col min="9484" max="9484" width="14" style="28" customWidth="1"/>
    <col min="9485" max="9485" width="17" style="28" customWidth="1"/>
    <col min="9486" max="9486" width="14.42578125" style="28" customWidth="1"/>
    <col min="9487" max="9730" width="8.85546875" style="28"/>
    <col min="9731" max="9731" width="9.7109375" style="28" customWidth="1"/>
    <col min="9732" max="9732" width="21.85546875" style="28" customWidth="1"/>
    <col min="9733" max="9733" width="13" style="28" customWidth="1"/>
    <col min="9734" max="9736" width="14" style="28" customWidth="1"/>
    <col min="9737" max="9737" width="17.140625" style="28" customWidth="1"/>
    <col min="9738" max="9738" width="17.7109375" style="28" customWidth="1"/>
    <col min="9739" max="9739" width="16.28515625" style="28" customWidth="1"/>
    <col min="9740" max="9740" width="14" style="28" customWidth="1"/>
    <col min="9741" max="9741" width="17" style="28" customWidth="1"/>
    <col min="9742" max="9742" width="14.42578125" style="28" customWidth="1"/>
    <col min="9743" max="9986" width="8.85546875" style="28"/>
    <col min="9987" max="9987" width="9.7109375" style="28" customWidth="1"/>
    <col min="9988" max="9988" width="21.85546875" style="28" customWidth="1"/>
    <col min="9989" max="9989" width="13" style="28" customWidth="1"/>
    <col min="9990" max="9992" width="14" style="28" customWidth="1"/>
    <col min="9993" max="9993" width="17.140625" style="28" customWidth="1"/>
    <col min="9994" max="9994" width="17.7109375" style="28" customWidth="1"/>
    <col min="9995" max="9995" width="16.28515625" style="28" customWidth="1"/>
    <col min="9996" max="9996" width="14" style="28" customWidth="1"/>
    <col min="9997" max="9997" width="17" style="28" customWidth="1"/>
    <col min="9998" max="9998" width="14.42578125" style="28" customWidth="1"/>
    <col min="9999" max="10242" width="8.85546875" style="28"/>
    <col min="10243" max="10243" width="9.7109375" style="28" customWidth="1"/>
    <col min="10244" max="10244" width="21.85546875" style="28" customWidth="1"/>
    <col min="10245" max="10245" width="13" style="28" customWidth="1"/>
    <col min="10246" max="10248" width="14" style="28" customWidth="1"/>
    <col min="10249" max="10249" width="17.140625" style="28" customWidth="1"/>
    <col min="10250" max="10250" width="17.7109375" style="28" customWidth="1"/>
    <col min="10251" max="10251" width="16.28515625" style="28" customWidth="1"/>
    <col min="10252" max="10252" width="14" style="28" customWidth="1"/>
    <col min="10253" max="10253" width="17" style="28" customWidth="1"/>
    <col min="10254" max="10254" width="14.42578125" style="28" customWidth="1"/>
    <col min="10255" max="10498" width="8.85546875" style="28"/>
    <col min="10499" max="10499" width="9.7109375" style="28" customWidth="1"/>
    <col min="10500" max="10500" width="21.85546875" style="28" customWidth="1"/>
    <col min="10501" max="10501" width="13" style="28" customWidth="1"/>
    <col min="10502" max="10504" width="14" style="28" customWidth="1"/>
    <col min="10505" max="10505" width="17.140625" style="28" customWidth="1"/>
    <col min="10506" max="10506" width="17.7109375" style="28" customWidth="1"/>
    <col min="10507" max="10507" width="16.28515625" style="28" customWidth="1"/>
    <col min="10508" max="10508" width="14" style="28" customWidth="1"/>
    <col min="10509" max="10509" width="17" style="28" customWidth="1"/>
    <col min="10510" max="10510" width="14.42578125" style="28" customWidth="1"/>
    <col min="10511" max="10754" width="8.85546875" style="28"/>
    <col min="10755" max="10755" width="9.7109375" style="28" customWidth="1"/>
    <col min="10756" max="10756" width="21.85546875" style="28" customWidth="1"/>
    <col min="10757" max="10757" width="13" style="28" customWidth="1"/>
    <col min="10758" max="10760" width="14" style="28" customWidth="1"/>
    <col min="10761" max="10761" width="17.140625" style="28" customWidth="1"/>
    <col min="10762" max="10762" width="17.7109375" style="28" customWidth="1"/>
    <col min="10763" max="10763" width="16.28515625" style="28" customWidth="1"/>
    <col min="10764" max="10764" width="14" style="28" customWidth="1"/>
    <col min="10765" max="10765" width="17" style="28" customWidth="1"/>
    <col min="10766" max="10766" width="14.42578125" style="28" customWidth="1"/>
    <col min="10767" max="11010" width="8.85546875" style="28"/>
    <col min="11011" max="11011" width="9.7109375" style="28" customWidth="1"/>
    <col min="11012" max="11012" width="21.85546875" style="28" customWidth="1"/>
    <col min="11013" max="11013" width="13" style="28" customWidth="1"/>
    <col min="11014" max="11016" width="14" style="28" customWidth="1"/>
    <col min="11017" max="11017" width="17.140625" style="28" customWidth="1"/>
    <col min="11018" max="11018" width="17.7109375" style="28" customWidth="1"/>
    <col min="11019" max="11019" width="16.28515625" style="28" customWidth="1"/>
    <col min="11020" max="11020" width="14" style="28" customWidth="1"/>
    <col min="11021" max="11021" width="17" style="28" customWidth="1"/>
    <col min="11022" max="11022" width="14.42578125" style="28" customWidth="1"/>
    <col min="11023" max="11266" width="8.85546875" style="28"/>
    <col min="11267" max="11267" width="9.7109375" style="28" customWidth="1"/>
    <col min="11268" max="11268" width="21.85546875" style="28" customWidth="1"/>
    <col min="11269" max="11269" width="13" style="28" customWidth="1"/>
    <col min="11270" max="11272" width="14" style="28" customWidth="1"/>
    <col min="11273" max="11273" width="17.140625" style="28" customWidth="1"/>
    <col min="11274" max="11274" width="17.7109375" style="28" customWidth="1"/>
    <col min="11275" max="11275" width="16.28515625" style="28" customWidth="1"/>
    <col min="11276" max="11276" width="14" style="28" customWidth="1"/>
    <col min="11277" max="11277" width="17" style="28" customWidth="1"/>
    <col min="11278" max="11278" width="14.42578125" style="28" customWidth="1"/>
    <col min="11279" max="11522" width="8.85546875" style="28"/>
    <col min="11523" max="11523" width="9.7109375" style="28" customWidth="1"/>
    <col min="11524" max="11524" width="21.85546875" style="28" customWidth="1"/>
    <col min="11525" max="11525" width="13" style="28" customWidth="1"/>
    <col min="11526" max="11528" width="14" style="28" customWidth="1"/>
    <col min="11529" max="11529" width="17.140625" style="28" customWidth="1"/>
    <col min="11530" max="11530" width="17.7109375" style="28" customWidth="1"/>
    <col min="11531" max="11531" width="16.28515625" style="28" customWidth="1"/>
    <col min="11532" max="11532" width="14" style="28" customWidth="1"/>
    <col min="11533" max="11533" width="17" style="28" customWidth="1"/>
    <col min="11534" max="11534" width="14.42578125" style="28" customWidth="1"/>
    <col min="11535" max="11778" width="8.85546875" style="28"/>
    <col min="11779" max="11779" width="9.7109375" style="28" customWidth="1"/>
    <col min="11780" max="11780" width="21.85546875" style="28" customWidth="1"/>
    <col min="11781" max="11781" width="13" style="28" customWidth="1"/>
    <col min="11782" max="11784" width="14" style="28" customWidth="1"/>
    <col min="11785" max="11785" width="17.140625" style="28" customWidth="1"/>
    <col min="11786" max="11786" width="17.7109375" style="28" customWidth="1"/>
    <col min="11787" max="11787" width="16.28515625" style="28" customWidth="1"/>
    <col min="11788" max="11788" width="14" style="28" customWidth="1"/>
    <col min="11789" max="11789" width="17" style="28" customWidth="1"/>
    <col min="11790" max="11790" width="14.42578125" style="28" customWidth="1"/>
    <col min="11791" max="12034" width="8.85546875" style="28"/>
    <col min="12035" max="12035" width="9.7109375" style="28" customWidth="1"/>
    <col min="12036" max="12036" width="21.85546875" style="28" customWidth="1"/>
    <col min="12037" max="12037" width="13" style="28" customWidth="1"/>
    <col min="12038" max="12040" width="14" style="28" customWidth="1"/>
    <col min="12041" max="12041" width="17.140625" style="28" customWidth="1"/>
    <col min="12042" max="12042" width="17.7109375" style="28" customWidth="1"/>
    <col min="12043" max="12043" width="16.28515625" style="28" customWidth="1"/>
    <col min="12044" max="12044" width="14" style="28" customWidth="1"/>
    <col min="12045" max="12045" width="17" style="28" customWidth="1"/>
    <col min="12046" max="12046" width="14.42578125" style="28" customWidth="1"/>
    <col min="12047" max="12290" width="8.85546875" style="28"/>
    <col min="12291" max="12291" width="9.7109375" style="28" customWidth="1"/>
    <col min="12292" max="12292" width="21.85546875" style="28" customWidth="1"/>
    <col min="12293" max="12293" width="13" style="28" customWidth="1"/>
    <col min="12294" max="12296" width="14" style="28" customWidth="1"/>
    <col min="12297" max="12297" width="17.140625" style="28" customWidth="1"/>
    <col min="12298" max="12298" width="17.7109375" style="28" customWidth="1"/>
    <col min="12299" max="12299" width="16.28515625" style="28" customWidth="1"/>
    <col min="12300" max="12300" width="14" style="28" customWidth="1"/>
    <col min="12301" max="12301" width="17" style="28" customWidth="1"/>
    <col min="12302" max="12302" width="14.42578125" style="28" customWidth="1"/>
    <col min="12303" max="12546" width="8.85546875" style="28"/>
    <col min="12547" max="12547" width="9.7109375" style="28" customWidth="1"/>
    <col min="12548" max="12548" width="21.85546875" style="28" customWidth="1"/>
    <col min="12549" max="12549" width="13" style="28" customWidth="1"/>
    <col min="12550" max="12552" width="14" style="28" customWidth="1"/>
    <col min="12553" max="12553" width="17.140625" style="28" customWidth="1"/>
    <col min="12554" max="12554" width="17.7109375" style="28" customWidth="1"/>
    <col min="12555" max="12555" width="16.28515625" style="28" customWidth="1"/>
    <col min="12556" max="12556" width="14" style="28" customWidth="1"/>
    <col min="12557" max="12557" width="17" style="28" customWidth="1"/>
    <col min="12558" max="12558" width="14.42578125" style="28" customWidth="1"/>
    <col min="12559" max="12802" width="8.85546875" style="28"/>
    <col min="12803" max="12803" width="9.7109375" style="28" customWidth="1"/>
    <col min="12804" max="12804" width="21.85546875" style="28" customWidth="1"/>
    <col min="12805" max="12805" width="13" style="28" customWidth="1"/>
    <col min="12806" max="12808" width="14" style="28" customWidth="1"/>
    <col min="12809" max="12809" width="17.140625" style="28" customWidth="1"/>
    <col min="12810" max="12810" width="17.7109375" style="28" customWidth="1"/>
    <col min="12811" max="12811" width="16.28515625" style="28" customWidth="1"/>
    <col min="12812" max="12812" width="14" style="28" customWidth="1"/>
    <col min="12813" max="12813" width="17" style="28" customWidth="1"/>
    <col min="12814" max="12814" width="14.42578125" style="28" customWidth="1"/>
    <col min="12815" max="13058" width="8.85546875" style="28"/>
    <col min="13059" max="13059" width="9.7109375" style="28" customWidth="1"/>
    <col min="13060" max="13060" width="21.85546875" style="28" customWidth="1"/>
    <col min="13061" max="13061" width="13" style="28" customWidth="1"/>
    <col min="13062" max="13064" width="14" style="28" customWidth="1"/>
    <col min="13065" max="13065" width="17.140625" style="28" customWidth="1"/>
    <col min="13066" max="13066" width="17.7109375" style="28" customWidth="1"/>
    <col min="13067" max="13067" width="16.28515625" style="28" customWidth="1"/>
    <col min="13068" max="13068" width="14" style="28" customWidth="1"/>
    <col min="13069" max="13069" width="17" style="28" customWidth="1"/>
    <col min="13070" max="13070" width="14.42578125" style="28" customWidth="1"/>
    <col min="13071" max="13314" width="8.85546875" style="28"/>
    <col min="13315" max="13315" width="9.7109375" style="28" customWidth="1"/>
    <col min="13316" max="13316" width="21.85546875" style="28" customWidth="1"/>
    <col min="13317" max="13317" width="13" style="28" customWidth="1"/>
    <col min="13318" max="13320" width="14" style="28" customWidth="1"/>
    <col min="13321" max="13321" width="17.140625" style="28" customWidth="1"/>
    <col min="13322" max="13322" width="17.7109375" style="28" customWidth="1"/>
    <col min="13323" max="13323" width="16.28515625" style="28" customWidth="1"/>
    <col min="13324" max="13324" width="14" style="28" customWidth="1"/>
    <col min="13325" max="13325" width="17" style="28" customWidth="1"/>
    <col min="13326" max="13326" width="14.42578125" style="28" customWidth="1"/>
    <col min="13327" max="13570" width="8.85546875" style="28"/>
    <col min="13571" max="13571" width="9.7109375" style="28" customWidth="1"/>
    <col min="13572" max="13572" width="21.85546875" style="28" customWidth="1"/>
    <col min="13573" max="13573" width="13" style="28" customWidth="1"/>
    <col min="13574" max="13576" width="14" style="28" customWidth="1"/>
    <col min="13577" max="13577" width="17.140625" style="28" customWidth="1"/>
    <col min="13578" max="13578" width="17.7109375" style="28" customWidth="1"/>
    <col min="13579" max="13579" width="16.28515625" style="28" customWidth="1"/>
    <col min="13580" max="13580" width="14" style="28" customWidth="1"/>
    <col min="13581" max="13581" width="17" style="28" customWidth="1"/>
    <col min="13582" max="13582" width="14.42578125" style="28" customWidth="1"/>
    <col min="13583" max="13826" width="8.85546875" style="28"/>
    <col min="13827" max="13827" width="9.7109375" style="28" customWidth="1"/>
    <col min="13828" max="13828" width="21.85546875" style="28" customWidth="1"/>
    <col min="13829" max="13829" width="13" style="28" customWidth="1"/>
    <col min="13830" max="13832" width="14" style="28" customWidth="1"/>
    <col min="13833" max="13833" width="17.140625" style="28" customWidth="1"/>
    <col min="13834" max="13834" width="17.7109375" style="28" customWidth="1"/>
    <col min="13835" max="13835" width="16.28515625" style="28" customWidth="1"/>
    <col min="13836" max="13836" width="14" style="28" customWidth="1"/>
    <col min="13837" max="13837" width="17" style="28" customWidth="1"/>
    <col min="13838" max="13838" width="14.42578125" style="28" customWidth="1"/>
    <col min="13839" max="14082" width="8.85546875" style="28"/>
    <col min="14083" max="14083" width="9.7109375" style="28" customWidth="1"/>
    <col min="14084" max="14084" width="21.85546875" style="28" customWidth="1"/>
    <col min="14085" max="14085" width="13" style="28" customWidth="1"/>
    <col min="14086" max="14088" width="14" style="28" customWidth="1"/>
    <col min="14089" max="14089" width="17.140625" style="28" customWidth="1"/>
    <col min="14090" max="14090" width="17.7109375" style="28" customWidth="1"/>
    <col min="14091" max="14091" width="16.28515625" style="28" customWidth="1"/>
    <col min="14092" max="14092" width="14" style="28" customWidth="1"/>
    <col min="14093" max="14093" width="17" style="28" customWidth="1"/>
    <col min="14094" max="14094" width="14.42578125" style="28" customWidth="1"/>
    <col min="14095" max="14338" width="8.85546875" style="28"/>
    <col min="14339" max="14339" width="9.7109375" style="28" customWidth="1"/>
    <col min="14340" max="14340" width="21.85546875" style="28" customWidth="1"/>
    <col min="14341" max="14341" width="13" style="28" customWidth="1"/>
    <col min="14342" max="14344" width="14" style="28" customWidth="1"/>
    <col min="14345" max="14345" width="17.140625" style="28" customWidth="1"/>
    <col min="14346" max="14346" width="17.7109375" style="28" customWidth="1"/>
    <col min="14347" max="14347" width="16.28515625" style="28" customWidth="1"/>
    <col min="14348" max="14348" width="14" style="28" customWidth="1"/>
    <col min="14349" max="14349" width="17" style="28" customWidth="1"/>
    <col min="14350" max="14350" width="14.42578125" style="28" customWidth="1"/>
    <col min="14351" max="14594" width="8.85546875" style="28"/>
    <col min="14595" max="14595" width="9.7109375" style="28" customWidth="1"/>
    <col min="14596" max="14596" width="21.85546875" style="28" customWidth="1"/>
    <col min="14597" max="14597" width="13" style="28" customWidth="1"/>
    <col min="14598" max="14600" width="14" style="28" customWidth="1"/>
    <col min="14601" max="14601" width="17.140625" style="28" customWidth="1"/>
    <col min="14602" max="14602" width="17.7109375" style="28" customWidth="1"/>
    <col min="14603" max="14603" width="16.28515625" style="28" customWidth="1"/>
    <col min="14604" max="14604" width="14" style="28" customWidth="1"/>
    <col min="14605" max="14605" width="17" style="28" customWidth="1"/>
    <col min="14606" max="14606" width="14.42578125" style="28" customWidth="1"/>
    <col min="14607" max="14850" width="8.85546875" style="28"/>
    <col min="14851" max="14851" width="9.7109375" style="28" customWidth="1"/>
    <col min="14852" max="14852" width="21.85546875" style="28" customWidth="1"/>
    <col min="14853" max="14853" width="13" style="28" customWidth="1"/>
    <col min="14854" max="14856" width="14" style="28" customWidth="1"/>
    <col min="14857" max="14857" width="17.140625" style="28" customWidth="1"/>
    <col min="14858" max="14858" width="17.7109375" style="28" customWidth="1"/>
    <col min="14859" max="14859" width="16.28515625" style="28" customWidth="1"/>
    <col min="14860" max="14860" width="14" style="28" customWidth="1"/>
    <col min="14861" max="14861" width="17" style="28" customWidth="1"/>
    <col min="14862" max="14862" width="14.42578125" style="28" customWidth="1"/>
    <col min="14863" max="15106" width="8.85546875" style="28"/>
    <col min="15107" max="15107" width="9.7109375" style="28" customWidth="1"/>
    <col min="15108" max="15108" width="21.85546875" style="28" customWidth="1"/>
    <col min="15109" max="15109" width="13" style="28" customWidth="1"/>
    <col min="15110" max="15112" width="14" style="28" customWidth="1"/>
    <col min="15113" max="15113" width="17.140625" style="28" customWidth="1"/>
    <col min="15114" max="15114" width="17.7109375" style="28" customWidth="1"/>
    <col min="15115" max="15115" width="16.28515625" style="28" customWidth="1"/>
    <col min="15116" max="15116" width="14" style="28" customWidth="1"/>
    <col min="15117" max="15117" width="17" style="28" customWidth="1"/>
    <col min="15118" max="15118" width="14.42578125" style="28" customWidth="1"/>
    <col min="15119" max="15362" width="8.85546875" style="28"/>
    <col min="15363" max="15363" width="9.7109375" style="28" customWidth="1"/>
    <col min="15364" max="15364" width="21.85546875" style="28" customWidth="1"/>
    <col min="15365" max="15365" width="13" style="28" customWidth="1"/>
    <col min="15366" max="15368" width="14" style="28" customWidth="1"/>
    <col min="15369" max="15369" width="17.140625" style="28" customWidth="1"/>
    <col min="15370" max="15370" width="17.7109375" style="28" customWidth="1"/>
    <col min="15371" max="15371" width="16.28515625" style="28" customWidth="1"/>
    <col min="15372" max="15372" width="14" style="28" customWidth="1"/>
    <col min="15373" max="15373" width="17" style="28" customWidth="1"/>
    <col min="15374" max="15374" width="14.42578125" style="28" customWidth="1"/>
    <col min="15375" max="15618" width="8.85546875" style="28"/>
    <col min="15619" max="15619" width="9.7109375" style="28" customWidth="1"/>
    <col min="15620" max="15620" width="21.85546875" style="28" customWidth="1"/>
    <col min="15621" max="15621" width="13" style="28" customWidth="1"/>
    <col min="15622" max="15624" width="14" style="28" customWidth="1"/>
    <col min="15625" max="15625" width="17.140625" style="28" customWidth="1"/>
    <col min="15626" max="15626" width="17.7109375" style="28" customWidth="1"/>
    <col min="15627" max="15627" width="16.28515625" style="28" customWidth="1"/>
    <col min="15628" max="15628" width="14" style="28" customWidth="1"/>
    <col min="15629" max="15629" width="17" style="28" customWidth="1"/>
    <col min="15630" max="15630" width="14.42578125" style="28" customWidth="1"/>
    <col min="15631" max="15874" width="8.85546875" style="28"/>
    <col min="15875" max="15875" width="9.7109375" style="28" customWidth="1"/>
    <col min="15876" max="15876" width="21.85546875" style="28" customWidth="1"/>
    <col min="15877" max="15877" width="13" style="28" customWidth="1"/>
    <col min="15878" max="15880" width="14" style="28" customWidth="1"/>
    <col min="15881" max="15881" width="17.140625" style="28" customWidth="1"/>
    <col min="15882" max="15882" width="17.7109375" style="28" customWidth="1"/>
    <col min="15883" max="15883" width="16.28515625" style="28" customWidth="1"/>
    <col min="15884" max="15884" width="14" style="28" customWidth="1"/>
    <col min="15885" max="15885" width="17" style="28" customWidth="1"/>
    <col min="15886" max="15886" width="14.42578125" style="28" customWidth="1"/>
    <col min="15887" max="16130" width="8.85546875" style="28"/>
    <col min="16131" max="16131" width="9.7109375" style="28" customWidth="1"/>
    <col min="16132" max="16132" width="21.85546875" style="28" customWidth="1"/>
    <col min="16133" max="16133" width="13" style="28" customWidth="1"/>
    <col min="16134" max="16136" width="14" style="28" customWidth="1"/>
    <col min="16137" max="16137" width="17.140625" style="28" customWidth="1"/>
    <col min="16138" max="16138" width="17.7109375" style="28" customWidth="1"/>
    <col min="16139" max="16139" width="16.28515625" style="28" customWidth="1"/>
    <col min="16140" max="16140" width="14" style="28" customWidth="1"/>
    <col min="16141" max="16141" width="17" style="28" customWidth="1"/>
    <col min="16142" max="16142" width="14.42578125" style="28" customWidth="1"/>
    <col min="16143" max="16143" width="8.85546875" style="28"/>
    <col min="16144" max="16384" width="8.85546875" style="27"/>
  </cols>
  <sheetData>
    <row r="1" spans="2:13" s="27" customFormat="1" ht="12.75">
      <c r="B1" s="121" t="s">
        <v>97</v>
      </c>
      <c r="C1" s="134" t="str">
        <f>OVERALLLIGHT</f>
        <v>AMBER</v>
      </c>
      <c r="D1" s="133"/>
    </row>
    <row r="2" spans="2:13" s="27" customFormat="1" ht="12.75">
      <c r="B2" s="121" t="s">
        <v>96</v>
      </c>
      <c r="C2" s="131" t="str">
        <f>MILESTONELIGHT</f>
        <v>RED</v>
      </c>
      <c r="D2" s="128"/>
    </row>
    <row r="3" spans="2:13" s="27" customFormat="1" ht="12.75">
      <c r="B3" s="121" t="s">
        <v>95</v>
      </c>
      <c r="C3" s="131" t="str">
        <f>ISSUELIGHT</f>
        <v>GREEN</v>
      </c>
      <c r="D3" s="128"/>
    </row>
    <row r="4" spans="2:13" s="27" customFormat="1" ht="12.75">
      <c r="B4" s="121" t="s">
        <v>94</v>
      </c>
      <c r="C4" s="131" t="str">
        <f>RISKLIGHT</f>
        <v>GREEN</v>
      </c>
      <c r="D4" s="128"/>
    </row>
    <row r="5" spans="2:13" s="27" customFormat="1" ht="12.75">
      <c r="B5" s="121" t="s">
        <v>93</v>
      </c>
      <c r="C5" s="131" t="str">
        <f>CHANGELIGHT</f>
        <v>GREEN</v>
      </c>
      <c r="D5" s="128"/>
    </row>
    <row r="6" spans="2:13" s="27" customFormat="1" ht="12.75">
      <c r="B6" s="121" t="s">
        <v>92</v>
      </c>
      <c r="C6" s="132" t="str">
        <f>DEPENDENCYLIGHT</f>
        <v/>
      </c>
      <c r="D6" s="128"/>
    </row>
    <row r="7" spans="2:13" s="27" customFormat="1" ht="12.75">
      <c r="B7" s="121" t="s">
        <v>91</v>
      </c>
      <c r="C7" s="132" t="str">
        <f>MEASURELIGHT</f>
        <v/>
      </c>
      <c r="D7" s="128"/>
    </row>
    <row r="8" spans="2:13" s="27" customFormat="1">
      <c r="B8" s="121" t="s">
        <v>90</v>
      </c>
      <c r="C8" s="131" t="str">
        <f>COMMUNICATIONLIGHT</f>
        <v>GREEN</v>
      </c>
      <c r="D8" s="128"/>
      <c r="F8" s="28"/>
    </row>
    <row r="9" spans="2:13" s="27" customFormat="1">
      <c r="B9" s="121" t="s">
        <v>89</v>
      </c>
      <c r="C9" s="130" t="str">
        <f>FINANCELIGHT</f>
        <v>GREEN</v>
      </c>
      <c r="D9" s="128"/>
      <c r="F9" s="28"/>
    </row>
    <row r="10" spans="2:13" s="27" customFormat="1" ht="12.75">
      <c r="B10" s="121"/>
      <c r="C10" s="129"/>
      <c r="D10" s="128"/>
    </row>
    <row r="11" spans="2:13" s="27" customFormat="1" ht="15.95" customHeight="1">
      <c r="B11" s="121"/>
      <c r="C11" s="127" t="str">
        <f>ProjNo</f>
        <v>RT029</v>
      </c>
      <c r="D11" s="126" t="str">
        <f>ProjName</f>
        <v>Cloud Based Bioinformatics Tools</v>
      </c>
    </row>
    <row r="12" spans="2:13" s="27" customFormat="1" ht="15.95" customHeight="1">
      <c r="B12" s="121"/>
      <c r="C12" s="125" t="s">
        <v>88</v>
      </c>
      <c r="D12" s="124">
        <f>ReportFrom</f>
        <v>41244</v>
      </c>
      <c r="F12" s="118"/>
    </row>
    <row r="13" spans="2:13" s="27" customFormat="1" ht="15.95" customHeight="1">
      <c r="B13" s="121"/>
      <c r="C13" s="123" t="s">
        <v>87</v>
      </c>
      <c r="D13" s="122">
        <f>LastDateReport</f>
        <v>41334</v>
      </c>
      <c r="F13" s="118"/>
    </row>
    <row r="14" spans="2:13" s="27" customFormat="1" ht="6" customHeight="1">
      <c r="B14" s="121"/>
      <c r="C14" s="120"/>
      <c r="D14" s="120"/>
      <c r="E14" s="119"/>
      <c r="F14" s="118"/>
    </row>
    <row r="15" spans="2:13" s="27" customFormat="1" ht="18.95" customHeight="1">
      <c r="C15" s="117" t="s">
        <v>86</v>
      </c>
      <c r="D15" s="117"/>
      <c r="E15" s="117"/>
      <c r="F15" s="117"/>
      <c r="I15" s="117" t="s">
        <v>85</v>
      </c>
      <c r="J15" s="117" t="str">
        <f>FINANCELIGHT</f>
        <v>GREEN</v>
      </c>
      <c r="K15" s="117"/>
      <c r="M15" s="117"/>
    </row>
    <row r="17" spans="1:21" s="27" customFormat="1" ht="15" customHeight="1" thickBot="1">
      <c r="A17" s="28"/>
      <c r="B17" s="28"/>
      <c r="C17" s="28"/>
      <c r="D17" s="28"/>
      <c r="E17" s="28"/>
      <c r="F17" s="28"/>
      <c r="G17" s="28"/>
      <c r="H17" s="28"/>
      <c r="I17" s="28"/>
      <c r="J17" s="28"/>
      <c r="K17" s="28"/>
      <c r="L17" s="28"/>
      <c r="M17" s="28"/>
      <c r="N17" s="28"/>
      <c r="O17" s="28"/>
      <c r="P17" s="28"/>
      <c r="Q17" s="28"/>
      <c r="R17" s="28"/>
      <c r="S17" s="28"/>
      <c r="T17" s="28"/>
      <c r="U17" s="28"/>
    </row>
    <row r="18" spans="1:21" s="27" customFormat="1" ht="15" customHeight="1" thickBot="1">
      <c r="A18" s="28"/>
      <c r="B18" s="28"/>
      <c r="C18" s="116"/>
      <c r="D18" s="115"/>
      <c r="E18" s="142" t="s">
        <v>84</v>
      </c>
      <c r="F18" s="143"/>
      <c r="G18" s="143"/>
      <c r="H18" s="144"/>
      <c r="I18" s="28"/>
      <c r="J18" s="145" t="s">
        <v>83</v>
      </c>
      <c r="K18" s="146"/>
      <c r="L18" s="147"/>
      <c r="M18" s="28"/>
      <c r="N18" s="28"/>
      <c r="O18" s="28"/>
      <c r="P18" s="28"/>
      <c r="Q18" s="28"/>
      <c r="R18" s="28"/>
      <c r="S18" s="28"/>
      <c r="T18" s="28"/>
      <c r="U18" s="28"/>
    </row>
    <row r="19" spans="1:21" s="27" customFormat="1" ht="57" customHeight="1" thickBot="1">
      <c r="A19" s="28"/>
      <c r="B19" s="28"/>
      <c r="C19" s="114" t="s">
        <v>82</v>
      </c>
      <c r="D19" s="28"/>
      <c r="E19" s="113" t="s">
        <v>81</v>
      </c>
      <c r="F19" s="112" t="s">
        <v>80</v>
      </c>
      <c r="G19" s="112" t="s">
        <v>79</v>
      </c>
      <c r="H19" s="111" t="s">
        <v>78</v>
      </c>
      <c r="I19" s="110" t="s">
        <v>77</v>
      </c>
      <c r="J19" s="109" t="s">
        <v>76</v>
      </c>
      <c r="K19" s="108" t="s">
        <v>75</v>
      </c>
      <c r="L19" s="107" t="s">
        <v>74</v>
      </c>
      <c r="M19" s="28"/>
      <c r="N19" s="28"/>
      <c r="O19" s="28"/>
      <c r="P19" s="28"/>
      <c r="Q19" s="28"/>
      <c r="R19" s="28"/>
      <c r="S19" s="28"/>
      <c r="T19" s="28"/>
      <c r="U19" s="28"/>
    </row>
    <row r="20" spans="1:21" s="27" customFormat="1" ht="15" customHeight="1" thickBot="1">
      <c r="A20" s="28"/>
      <c r="B20" s="28"/>
      <c r="C20" s="106"/>
      <c r="D20" s="105"/>
      <c r="E20" s="104">
        <f>R46</f>
        <v>289000</v>
      </c>
      <c r="F20" s="103">
        <f>D38</f>
        <v>104000</v>
      </c>
      <c r="G20" s="103">
        <f>H38</f>
        <v>152482</v>
      </c>
      <c r="H20" s="102">
        <f>E20-F20</f>
        <v>185000</v>
      </c>
      <c r="I20" s="101">
        <f>E20-I38</f>
        <v>0</v>
      </c>
      <c r="J20" s="100">
        <f>R52</f>
        <v>323892</v>
      </c>
      <c r="K20" s="99">
        <f>L38</f>
        <v>102384</v>
      </c>
      <c r="L20" s="98">
        <f>J20-K20</f>
        <v>221508</v>
      </c>
      <c r="M20" s="28"/>
      <c r="N20" s="28"/>
      <c r="O20" s="28"/>
      <c r="P20" s="28"/>
      <c r="Q20" s="28"/>
      <c r="R20" s="28"/>
      <c r="S20" s="28"/>
      <c r="T20" s="28"/>
      <c r="U20" s="28"/>
    </row>
    <row r="22" spans="1:21" s="27" customFormat="1" ht="15.75" customHeight="1" thickBot="1">
      <c r="A22" s="28"/>
      <c r="B22" s="28"/>
      <c r="C22" s="28"/>
      <c r="D22" s="28"/>
      <c r="E22" s="28"/>
      <c r="F22" s="28"/>
      <c r="G22" s="28"/>
      <c r="H22" s="28"/>
      <c r="I22" s="28"/>
      <c r="J22" s="28"/>
      <c r="K22" s="28"/>
      <c r="L22" s="28"/>
      <c r="M22" s="28"/>
      <c r="N22" s="28" t="s">
        <v>73</v>
      </c>
      <c r="O22" s="28"/>
      <c r="P22" s="28"/>
      <c r="Q22" s="28"/>
      <c r="R22" s="28"/>
      <c r="S22" s="97" t="s">
        <v>72</v>
      </c>
      <c r="T22" s="97" t="s">
        <v>71</v>
      </c>
      <c r="U22" s="96"/>
    </row>
    <row r="23" spans="1:21" s="87" customFormat="1" ht="20.25" customHeight="1">
      <c r="A23" s="148" t="s">
        <v>70</v>
      </c>
      <c r="B23" s="150" t="s">
        <v>69</v>
      </c>
      <c r="C23" s="151"/>
      <c r="D23" s="135" t="s">
        <v>68</v>
      </c>
      <c r="E23" s="138" t="s">
        <v>67</v>
      </c>
      <c r="F23" s="135"/>
      <c r="G23" s="135"/>
      <c r="H23" s="139"/>
      <c r="I23" s="140" t="s">
        <v>66</v>
      </c>
      <c r="J23" s="160" t="s">
        <v>65</v>
      </c>
      <c r="K23" s="161"/>
      <c r="L23" s="162"/>
      <c r="M23" s="163" t="s">
        <v>64</v>
      </c>
      <c r="N23" s="89"/>
      <c r="P23" s="137" t="s">
        <v>63</v>
      </c>
      <c r="Q23" s="137" t="s">
        <v>62</v>
      </c>
      <c r="S23" s="95" t="s">
        <v>61</v>
      </c>
      <c r="T23" s="94" t="str">
        <f>IF(I38&lt;&gt;I39,"RED","Correct "&amp;I38&amp;" = "&amp;I39)</f>
        <v>Correct 289000 = 289000</v>
      </c>
      <c r="U23" s="152" t="s">
        <v>60</v>
      </c>
    </row>
    <row r="24" spans="1:21" s="87" customFormat="1" ht="38.25" customHeight="1" thickBot="1">
      <c r="A24" s="149"/>
      <c r="B24" s="93" t="s">
        <v>59</v>
      </c>
      <c r="C24" s="90" t="s">
        <v>58</v>
      </c>
      <c r="D24" s="136"/>
      <c r="E24" s="92" t="s">
        <v>57</v>
      </c>
      <c r="F24" s="91" t="s">
        <v>56</v>
      </c>
      <c r="G24" s="91" t="s">
        <v>55</v>
      </c>
      <c r="H24" s="90" t="s">
        <v>45</v>
      </c>
      <c r="I24" s="141"/>
      <c r="J24" s="92" t="s">
        <v>54</v>
      </c>
      <c r="K24" s="91" t="s">
        <v>53</v>
      </c>
      <c r="L24" s="90" t="s">
        <v>45</v>
      </c>
      <c r="M24" s="164"/>
      <c r="N24" s="89"/>
      <c r="P24" s="137"/>
      <c r="Q24" s="137"/>
      <c r="S24" s="87" t="s">
        <v>52</v>
      </c>
      <c r="T24" s="88">
        <f>I39*0.3</f>
        <v>86700</v>
      </c>
      <c r="U24" s="153"/>
    </row>
    <row r="25" spans="1:21" s="27" customFormat="1" ht="15.75" customHeight="1">
      <c r="A25" s="71">
        <v>1</v>
      </c>
      <c r="B25" s="86">
        <v>41091</v>
      </c>
      <c r="C25" s="85">
        <v>41274</v>
      </c>
      <c r="D25" s="84">
        <v>104000</v>
      </c>
      <c r="E25" s="78">
        <v>122279</v>
      </c>
      <c r="F25" s="72">
        <v>0</v>
      </c>
      <c r="G25" s="72"/>
      <c r="H25" s="64">
        <f t="shared" ref="H25:H37" si="0">SUM(E25:G25)</f>
        <v>122279</v>
      </c>
      <c r="I25" s="79">
        <f>H25</f>
        <v>122279</v>
      </c>
      <c r="J25" s="78">
        <v>2364</v>
      </c>
      <c r="K25" s="72">
        <v>72474</v>
      </c>
      <c r="L25" s="64">
        <f t="shared" ref="L25:L37" si="1">SUM(J25:K25)</f>
        <v>74838</v>
      </c>
      <c r="M25" s="77">
        <f>L25</f>
        <v>74838</v>
      </c>
      <c r="N25" s="28" t="str">
        <f>IF(H25&gt;0,IF(I25&lt;&gt;H25,"WARNING!! UPDATE: I25 $"&amp;I25&amp;" WITH ACTUAL SPEND:$ "&amp;H25,""),"")</f>
        <v/>
      </c>
      <c r="O25" s="28"/>
      <c r="P25" s="54">
        <f t="shared" ref="P25:P37" si="2">IF(H25&gt;0,H25,I25)</f>
        <v>122279</v>
      </c>
      <c r="Q25" s="53">
        <f t="shared" ref="Q25:Q37" si="3">IF(L25&gt;0,L25,M25)</f>
        <v>74838</v>
      </c>
      <c r="R25" s="28"/>
      <c r="S25" s="28" t="str">
        <f>S24&amp;" or more in last quarter"</f>
        <v>30% of funds or more in last quarter</v>
      </c>
      <c r="T25" s="28" t="str">
        <f>IF(LASTQUARTER&gt;T24-1,"RED","Less than "&amp; S24&amp;" in last quarter: "&amp;LASTQUARTER)</f>
        <v>Less than 30% of funds in last quarter: 15552</v>
      </c>
      <c r="U25" s="83">
        <f t="shared" ref="U25:U37" si="4">M25+I25</f>
        <v>197117</v>
      </c>
    </row>
    <row r="26" spans="1:21" s="27" customFormat="1" ht="15.75" customHeight="1">
      <c r="A26" s="71">
        <v>2</v>
      </c>
      <c r="B26" s="82">
        <f t="shared" ref="B26:B37" si="5">C25+1</f>
        <v>41275</v>
      </c>
      <c r="C26" s="81">
        <v>41364</v>
      </c>
      <c r="D26" s="80"/>
      <c r="E26" s="78">
        <v>30203</v>
      </c>
      <c r="F26" s="72"/>
      <c r="G26" s="72"/>
      <c r="H26" s="64">
        <f t="shared" si="0"/>
        <v>30203</v>
      </c>
      <c r="I26" s="79">
        <f>H26</f>
        <v>30203</v>
      </c>
      <c r="J26" s="78"/>
      <c r="K26" s="72">
        <v>9910</v>
      </c>
      <c r="L26" s="64">
        <f t="shared" si="1"/>
        <v>9910</v>
      </c>
      <c r="M26" s="77">
        <f>L26</f>
        <v>9910</v>
      </c>
      <c r="N26" s="28" t="str">
        <f>IF(H26&gt;0,IF(I26&lt;&gt;H26,"WARNING!! UPDATE: I26 $"&amp;I26&amp;" WITH ACTUAL SPEND:$ "&amp;H26,""),"")</f>
        <v/>
      </c>
      <c r="O26" s="28"/>
      <c r="P26" s="54">
        <f t="shared" si="2"/>
        <v>30203</v>
      </c>
      <c r="Q26" s="53">
        <f t="shared" si="3"/>
        <v>9910</v>
      </c>
      <c r="R26" s="28"/>
      <c r="S26" s="28" t="s">
        <v>51</v>
      </c>
      <c r="T26" s="28">
        <f>LASTQUARTER</f>
        <v>15552</v>
      </c>
      <c r="U26" s="67">
        <f t="shared" si="4"/>
        <v>40113</v>
      </c>
    </row>
    <row r="27" spans="1:21" s="27" customFormat="1" ht="15" customHeight="1">
      <c r="A27" s="71">
        <v>3</v>
      </c>
      <c r="B27" s="82">
        <f t="shared" si="5"/>
        <v>41365</v>
      </c>
      <c r="C27" s="81">
        <v>41455</v>
      </c>
      <c r="D27" s="80"/>
      <c r="E27" s="78"/>
      <c r="F27" s="72"/>
      <c r="G27" s="72"/>
      <c r="H27" s="64">
        <f t="shared" si="0"/>
        <v>0</v>
      </c>
      <c r="I27" s="79">
        <v>60141</v>
      </c>
      <c r="J27" s="78">
        <v>6000</v>
      </c>
      <c r="K27" s="72"/>
      <c r="L27" s="64">
        <f t="shared" si="1"/>
        <v>6000</v>
      </c>
      <c r="M27" s="77">
        <v>2825</v>
      </c>
      <c r="N27" s="28" t="str">
        <f>IF(H27&gt;0,IF(I27&lt;&gt;H27,"WARNING!! UPDATE: I27 $"&amp;I27&amp;" WITH ACTUAL SPEND:$ "&amp;H27,""),"")</f>
        <v/>
      </c>
      <c r="O27" s="28"/>
      <c r="P27" s="54">
        <f t="shared" si="2"/>
        <v>60141</v>
      </c>
      <c r="Q27" s="53">
        <f t="shared" si="3"/>
        <v>6000</v>
      </c>
      <c r="R27" s="28"/>
      <c r="S27" s="28" t="s">
        <v>50</v>
      </c>
      <c r="T27" s="39">
        <f>I39*0.2</f>
        <v>57800</v>
      </c>
      <c r="U27" s="67">
        <f t="shared" si="4"/>
        <v>62966</v>
      </c>
    </row>
    <row r="28" spans="1:21" s="27" customFormat="1" ht="15.75" customHeight="1">
      <c r="A28" s="71">
        <v>4</v>
      </c>
      <c r="B28" s="82">
        <f t="shared" si="5"/>
        <v>41456</v>
      </c>
      <c r="C28" s="81">
        <v>41547</v>
      </c>
      <c r="D28" s="80"/>
      <c r="E28" s="78"/>
      <c r="F28" s="72"/>
      <c r="G28" s="72"/>
      <c r="H28" s="64">
        <f t="shared" si="0"/>
        <v>0</v>
      </c>
      <c r="I28" s="79">
        <v>60825</v>
      </c>
      <c r="J28" s="78">
        <v>6000</v>
      </c>
      <c r="K28" s="72"/>
      <c r="L28" s="64">
        <f t="shared" si="1"/>
        <v>6000</v>
      </c>
      <c r="M28" s="77">
        <v>16637</v>
      </c>
      <c r="N28" s="28" t="str">
        <f>IF(H28&gt;0,IF(I28&lt;&gt;H28,"WARNING!! UPDATE: I28 $"&amp;I28&amp;" WITH ACTUAL SPEND:$ "&amp;H28,""),"")</f>
        <v/>
      </c>
      <c r="O28" s="28"/>
      <c r="P28" s="54">
        <f t="shared" si="2"/>
        <v>60825</v>
      </c>
      <c r="Q28" s="53">
        <f t="shared" si="3"/>
        <v>6000</v>
      </c>
      <c r="R28" s="28"/>
      <c r="S28" s="28" t="str">
        <f>S27&amp; " or more in last quarter"</f>
        <v>20% of funds or more in last quarter</v>
      </c>
      <c r="T28" s="28" t="str">
        <f>IF(LASTQUARTER&gt;T27-1,"AMBER","Less than "&amp;S27&amp;" in last quarter: "&amp;LASTQUARTER)</f>
        <v>Less than 20% of funds in last quarter: 15552</v>
      </c>
      <c r="U28" s="67">
        <f t="shared" si="4"/>
        <v>77462</v>
      </c>
    </row>
    <row r="29" spans="1:21" s="27" customFormat="1" ht="15.75" customHeight="1">
      <c r="A29" s="71">
        <v>5</v>
      </c>
      <c r="B29" s="82">
        <f t="shared" si="5"/>
        <v>41548</v>
      </c>
      <c r="C29" s="81">
        <v>41639</v>
      </c>
      <c r="D29" s="80"/>
      <c r="E29" s="78"/>
      <c r="F29" s="72"/>
      <c r="G29" s="72"/>
      <c r="H29" s="64">
        <f t="shared" si="0"/>
        <v>0</v>
      </c>
      <c r="I29" s="79">
        <v>15552</v>
      </c>
      <c r="J29" s="78">
        <v>5636</v>
      </c>
      <c r="K29" s="72"/>
      <c r="L29" s="64">
        <f t="shared" si="1"/>
        <v>5636</v>
      </c>
      <c r="M29" s="77">
        <v>4927</v>
      </c>
      <c r="N29" s="28" t="str">
        <f>IF(H29&gt;0,IF(I29&lt;&gt;H29,"WARNING!! UPDATE: I29 $"&amp;I29&amp;" WITH ACTUAL SPEND:$ "&amp;H29,""),"")</f>
        <v/>
      </c>
      <c r="O29" s="28"/>
      <c r="P29" s="54">
        <f t="shared" si="2"/>
        <v>15552</v>
      </c>
      <c r="Q29" s="53">
        <f t="shared" si="3"/>
        <v>5636</v>
      </c>
      <c r="R29" s="28"/>
      <c r="S29" s="28" t="s">
        <v>49</v>
      </c>
      <c r="T29" s="28" t="str">
        <f>IF(T23="RED","RED",IF(T25="RED","RED",IF(T28="AMBER","AMBER","GREEN")))</f>
        <v>GREEN</v>
      </c>
      <c r="U29" s="67">
        <f t="shared" si="4"/>
        <v>20479</v>
      </c>
    </row>
    <row r="30" spans="1:21" s="27" customFormat="1" ht="15" customHeight="1">
      <c r="A30" s="71">
        <v>6</v>
      </c>
      <c r="B30" s="70">
        <f t="shared" si="5"/>
        <v>41640</v>
      </c>
      <c r="C30" s="69">
        <v>41729</v>
      </c>
      <c r="D30" s="74"/>
      <c r="E30" s="66"/>
      <c r="F30" s="65"/>
      <c r="G30" s="65"/>
      <c r="H30" s="64">
        <f t="shared" si="0"/>
        <v>0</v>
      </c>
      <c r="I30" s="67">
        <f t="shared" ref="I30:I37" si="6">H30</f>
        <v>0</v>
      </c>
      <c r="J30" s="66"/>
      <c r="K30" s="65"/>
      <c r="L30" s="64">
        <f t="shared" si="1"/>
        <v>0</v>
      </c>
      <c r="M30" s="72">
        <v>110637</v>
      </c>
      <c r="N30" s="28" t="str">
        <f>IF(H30&gt;0,IF(I30&lt;&gt;H30,"WARNING!! UPDATE: I30 $"&amp;I30&amp;" WITH ACTUAL SPEND:$ "&amp;H30,""),"")</f>
        <v/>
      </c>
      <c r="O30" s="28"/>
      <c r="P30" s="54">
        <f t="shared" si="2"/>
        <v>0</v>
      </c>
      <c r="Q30" s="53">
        <f t="shared" si="3"/>
        <v>110637</v>
      </c>
      <c r="R30" s="28"/>
      <c r="S30" s="28"/>
      <c r="T30" s="28"/>
      <c r="U30" s="67">
        <f t="shared" si="4"/>
        <v>110637</v>
      </c>
    </row>
    <row r="31" spans="1:21" s="27" customFormat="1" ht="15.75" customHeight="1" thickBot="1">
      <c r="A31" s="71">
        <v>7</v>
      </c>
      <c r="B31" s="70">
        <f t="shared" si="5"/>
        <v>41730</v>
      </c>
      <c r="C31" s="69">
        <v>41820</v>
      </c>
      <c r="D31" s="74"/>
      <c r="E31" s="76"/>
      <c r="F31" s="65"/>
      <c r="G31" s="65"/>
      <c r="H31" s="64">
        <f t="shared" si="0"/>
        <v>0</v>
      </c>
      <c r="I31" s="67">
        <f t="shared" si="6"/>
        <v>0</v>
      </c>
      <c r="J31" s="66"/>
      <c r="K31" s="65"/>
      <c r="L31" s="64">
        <f t="shared" si="1"/>
        <v>0</v>
      </c>
      <c r="M31" s="72">
        <v>110638</v>
      </c>
      <c r="N31" s="28" t="str">
        <f>IF(H31&gt;0,IF(I31&lt;&gt;H31,"WARNING!! UPDATE: I31 $"&amp;I31&amp;" WITH ACTUAL SPEND:$ "&amp;H31,""),"")</f>
        <v/>
      </c>
      <c r="O31" s="28"/>
      <c r="P31" s="54">
        <f t="shared" si="2"/>
        <v>0</v>
      </c>
      <c r="Q31" s="53">
        <f t="shared" si="3"/>
        <v>110638</v>
      </c>
      <c r="R31" s="28"/>
      <c r="S31" s="28"/>
      <c r="T31" s="28"/>
      <c r="U31" s="67">
        <f t="shared" si="4"/>
        <v>110638</v>
      </c>
    </row>
    <row r="32" spans="1:21" s="27" customFormat="1" ht="15.75" hidden="1" customHeight="1">
      <c r="A32" s="71">
        <v>8</v>
      </c>
      <c r="B32" s="70">
        <f t="shared" si="5"/>
        <v>41821</v>
      </c>
      <c r="C32" s="69">
        <v>41912</v>
      </c>
      <c r="D32" s="74"/>
      <c r="E32" s="66"/>
      <c r="F32" s="75"/>
      <c r="G32" s="65"/>
      <c r="H32" s="64">
        <f t="shared" si="0"/>
        <v>0</v>
      </c>
      <c r="I32" s="67">
        <f t="shared" si="6"/>
        <v>0</v>
      </c>
      <c r="J32" s="66"/>
      <c r="K32" s="65"/>
      <c r="L32" s="64">
        <f t="shared" si="1"/>
        <v>0</v>
      </c>
      <c r="M32" s="72">
        <f t="shared" ref="M32:M37" si="7">L32</f>
        <v>0</v>
      </c>
      <c r="N32" s="28" t="str">
        <f>IF(H32&gt;0,IF(I32&lt;&gt;H32,"WARNING!! UPDATE: I32 $"&amp;I32&amp;" WITH ACTUAL SPEND:$ "&amp;H32,""),"")</f>
        <v/>
      </c>
      <c r="O32" s="28"/>
      <c r="P32" s="54">
        <f t="shared" si="2"/>
        <v>0</v>
      </c>
      <c r="Q32" s="53">
        <f t="shared" si="3"/>
        <v>0</v>
      </c>
      <c r="R32" s="28"/>
      <c r="S32" s="28"/>
      <c r="T32" s="28"/>
      <c r="U32" s="67">
        <f t="shared" si="4"/>
        <v>0</v>
      </c>
    </row>
    <row r="33" spans="1:21" s="27" customFormat="1" ht="15.75" hidden="1" customHeight="1">
      <c r="A33" s="71">
        <v>9</v>
      </c>
      <c r="B33" s="70">
        <f t="shared" si="5"/>
        <v>41913</v>
      </c>
      <c r="C33" s="69">
        <v>42004</v>
      </c>
      <c r="D33" s="74"/>
      <c r="E33" s="66"/>
      <c r="F33" s="65"/>
      <c r="G33" s="65"/>
      <c r="H33" s="64">
        <f t="shared" si="0"/>
        <v>0</v>
      </c>
      <c r="I33" s="67">
        <f t="shared" si="6"/>
        <v>0</v>
      </c>
      <c r="J33" s="66"/>
      <c r="K33" s="65"/>
      <c r="L33" s="64">
        <f t="shared" si="1"/>
        <v>0</v>
      </c>
      <c r="M33" s="72">
        <f t="shared" si="7"/>
        <v>0</v>
      </c>
      <c r="N33" s="28" t="str">
        <f>IF(H33&gt;0,IF(I33&lt;&gt;H33,"WARNING!! UPDATE: I33 $"&amp;I33&amp;" WITH ACTUAL SPEND:$ "&amp;H33,""),"")</f>
        <v/>
      </c>
      <c r="O33" s="28"/>
      <c r="P33" s="54">
        <f t="shared" si="2"/>
        <v>0</v>
      </c>
      <c r="Q33" s="53">
        <f t="shared" si="3"/>
        <v>0</v>
      </c>
      <c r="R33" s="28"/>
      <c r="S33" s="28"/>
      <c r="T33" s="28"/>
      <c r="U33" s="67">
        <f t="shared" si="4"/>
        <v>0</v>
      </c>
    </row>
    <row r="34" spans="1:21" s="27" customFormat="1" ht="15.75" hidden="1" customHeight="1">
      <c r="A34" s="71">
        <v>10</v>
      </c>
      <c r="B34" s="70">
        <f t="shared" si="5"/>
        <v>42005</v>
      </c>
      <c r="C34" s="69">
        <v>42094</v>
      </c>
      <c r="D34" s="73"/>
      <c r="E34" s="66"/>
      <c r="F34" s="65"/>
      <c r="G34" s="65"/>
      <c r="H34" s="64">
        <f t="shared" si="0"/>
        <v>0</v>
      </c>
      <c r="I34" s="67">
        <f t="shared" si="6"/>
        <v>0</v>
      </c>
      <c r="J34" s="66"/>
      <c r="K34" s="65"/>
      <c r="L34" s="64">
        <f t="shared" si="1"/>
        <v>0</v>
      </c>
      <c r="M34" s="72">
        <f t="shared" si="7"/>
        <v>0</v>
      </c>
      <c r="N34" s="28" t="str">
        <f>IF(H34&gt;0,IF(I34&lt;&gt;H34,"WARNING!! UPDATE: I34 $"&amp;I34&amp;" WITH ACTUAL SPEND:$ "&amp;H34,""),"")</f>
        <v/>
      </c>
      <c r="O34" s="28"/>
      <c r="P34" s="54">
        <f t="shared" si="2"/>
        <v>0</v>
      </c>
      <c r="Q34" s="53">
        <f t="shared" si="3"/>
        <v>0</v>
      </c>
      <c r="R34" s="28"/>
      <c r="S34" s="28"/>
      <c r="T34" s="28"/>
      <c r="U34" s="67">
        <f t="shared" si="4"/>
        <v>0</v>
      </c>
    </row>
    <row r="35" spans="1:21" s="27" customFormat="1" ht="15.75" hidden="1" customHeight="1">
      <c r="A35" s="71">
        <v>11</v>
      </c>
      <c r="B35" s="70">
        <f t="shared" si="5"/>
        <v>42095</v>
      </c>
      <c r="C35" s="69">
        <v>42185</v>
      </c>
      <c r="D35" s="73"/>
      <c r="E35" s="66"/>
      <c r="F35" s="65"/>
      <c r="G35" s="65"/>
      <c r="H35" s="64">
        <f t="shared" si="0"/>
        <v>0</v>
      </c>
      <c r="I35" s="67">
        <f t="shared" si="6"/>
        <v>0</v>
      </c>
      <c r="J35" s="66"/>
      <c r="K35" s="65"/>
      <c r="L35" s="64">
        <f t="shared" si="1"/>
        <v>0</v>
      </c>
      <c r="M35" s="72">
        <f t="shared" si="7"/>
        <v>0</v>
      </c>
      <c r="N35" s="28" t="str">
        <f>IF(H35&gt;0,IF(I35&lt;&gt;H35,"WARNING!! UPDATE: I35 $"&amp;I35&amp;" WITH ACTUAL SPEND:$ "&amp;H35,""),"")</f>
        <v/>
      </c>
      <c r="O35" s="28"/>
      <c r="P35" s="54">
        <f t="shared" si="2"/>
        <v>0</v>
      </c>
      <c r="Q35" s="53">
        <f t="shared" si="3"/>
        <v>0</v>
      </c>
      <c r="R35" s="28"/>
      <c r="S35" s="28"/>
      <c r="T35" s="28"/>
      <c r="U35" s="67">
        <f t="shared" si="4"/>
        <v>0</v>
      </c>
    </row>
    <row r="36" spans="1:21" s="27" customFormat="1" ht="15.75" hidden="1" customHeight="1">
      <c r="A36" s="71">
        <v>12</v>
      </c>
      <c r="B36" s="70">
        <f t="shared" si="5"/>
        <v>42186</v>
      </c>
      <c r="C36" s="69">
        <v>42277</v>
      </c>
      <c r="D36" s="68"/>
      <c r="E36" s="66"/>
      <c r="F36" s="65"/>
      <c r="G36" s="65"/>
      <c r="H36" s="64">
        <f t="shared" si="0"/>
        <v>0</v>
      </c>
      <c r="I36" s="67">
        <f t="shared" si="6"/>
        <v>0</v>
      </c>
      <c r="J36" s="66"/>
      <c r="K36" s="65"/>
      <c r="L36" s="64">
        <f t="shared" si="1"/>
        <v>0</v>
      </c>
      <c r="M36" s="53">
        <f t="shared" si="7"/>
        <v>0</v>
      </c>
      <c r="N36" s="30" t="str">
        <f>IF(H36&gt;0,IF(I36&lt;&gt;H36,"WARNING!! UPDATE: I36 $"&amp;I36&amp;" WITH ACTUAL SPEND:$ "&amp;H36,""),"")</f>
        <v/>
      </c>
      <c r="O36" s="30"/>
      <c r="P36" s="54">
        <f t="shared" si="2"/>
        <v>0</v>
      </c>
      <c r="Q36" s="53">
        <f t="shared" si="3"/>
        <v>0</v>
      </c>
      <c r="R36" s="28"/>
      <c r="S36" s="28"/>
      <c r="T36" s="28"/>
      <c r="U36" s="59">
        <f t="shared" si="4"/>
        <v>0</v>
      </c>
    </row>
    <row r="37" spans="1:21" s="27" customFormat="1" ht="15.75" hidden="1" customHeight="1">
      <c r="A37" s="63">
        <v>13</v>
      </c>
      <c r="B37" s="62">
        <f t="shared" si="5"/>
        <v>42278</v>
      </c>
      <c r="C37" s="61">
        <v>42369</v>
      </c>
      <c r="D37" s="60"/>
      <c r="E37" s="58"/>
      <c r="F37" s="57"/>
      <c r="G37" s="57"/>
      <c r="H37" s="56">
        <f t="shared" si="0"/>
        <v>0</v>
      </c>
      <c r="I37" s="59">
        <f t="shared" si="6"/>
        <v>0</v>
      </c>
      <c r="J37" s="58"/>
      <c r="K37" s="57"/>
      <c r="L37" s="56">
        <f t="shared" si="1"/>
        <v>0</v>
      </c>
      <c r="M37" s="55">
        <f t="shared" si="7"/>
        <v>0</v>
      </c>
      <c r="N37" s="30" t="str">
        <f>IF(H37&gt;0,IF(I37&lt;&gt;H37,"WARNING!! UPDATE: I37 $"&amp;I37&amp;" WITH ACTUAL SPEND:$ "&amp;H37,""),"")</f>
        <v/>
      </c>
      <c r="O37" s="30"/>
      <c r="P37" s="54">
        <f t="shared" si="2"/>
        <v>0</v>
      </c>
      <c r="Q37" s="53">
        <f t="shared" si="3"/>
        <v>0</v>
      </c>
      <c r="R37" s="28"/>
      <c r="S37" s="28"/>
      <c r="T37" s="28"/>
      <c r="U37" s="52">
        <f t="shared" si="4"/>
        <v>0</v>
      </c>
    </row>
    <row r="38" spans="1:21" s="27" customFormat="1" ht="15.75" customHeight="1" thickBot="1">
      <c r="A38" s="28"/>
      <c r="B38" s="51"/>
      <c r="C38" s="50" t="s">
        <v>48</v>
      </c>
      <c r="D38" s="49">
        <f t="shared" ref="D38:M38" si="8">SUM(D25:D37)</f>
        <v>104000</v>
      </c>
      <c r="E38" s="47">
        <f t="shared" si="8"/>
        <v>152482</v>
      </c>
      <c r="F38" s="46">
        <f t="shared" si="8"/>
        <v>0</v>
      </c>
      <c r="G38" s="46">
        <f t="shared" si="8"/>
        <v>0</v>
      </c>
      <c r="H38" s="45">
        <f t="shared" si="8"/>
        <v>152482</v>
      </c>
      <c r="I38" s="48">
        <f t="shared" si="8"/>
        <v>289000</v>
      </c>
      <c r="J38" s="47">
        <f t="shared" si="8"/>
        <v>20000</v>
      </c>
      <c r="K38" s="46">
        <f t="shared" si="8"/>
        <v>82384</v>
      </c>
      <c r="L38" s="45">
        <f t="shared" si="8"/>
        <v>102384</v>
      </c>
      <c r="M38" s="44">
        <f t="shared" si="8"/>
        <v>330412</v>
      </c>
      <c r="N38" s="43"/>
      <c r="O38" s="28"/>
      <c r="P38" s="42">
        <f>SUM(P25:P37)</f>
        <v>289000</v>
      </c>
      <c r="Q38" s="41">
        <f>SUM(Q25:Q37)</f>
        <v>323659</v>
      </c>
      <c r="R38" s="28"/>
      <c r="S38" s="28"/>
      <c r="T38" s="28"/>
      <c r="U38" s="28"/>
    </row>
    <row r="39" spans="1:21" s="27" customFormat="1">
      <c r="A39" s="28"/>
      <c r="B39" s="28"/>
      <c r="C39" s="28"/>
      <c r="D39" s="28"/>
      <c r="E39" s="28"/>
      <c r="F39" s="28"/>
      <c r="G39" s="28"/>
      <c r="H39" s="30" t="s">
        <v>47</v>
      </c>
      <c r="I39" s="40">
        <f>E20</f>
        <v>289000</v>
      </c>
      <c r="J39" s="28"/>
      <c r="K39" s="28"/>
      <c r="L39" s="28"/>
      <c r="M39" s="28"/>
      <c r="N39" s="28"/>
      <c r="O39" s="28"/>
      <c r="P39" s="28"/>
      <c r="Q39" s="28"/>
      <c r="R39" s="28"/>
      <c r="S39" s="28"/>
      <c r="T39" s="28"/>
      <c r="U39" s="28"/>
    </row>
    <row r="40" spans="1:21" s="27" customFormat="1">
      <c r="A40" s="28"/>
      <c r="B40" s="28"/>
      <c r="C40" s="28"/>
      <c r="D40" s="28"/>
      <c r="E40" s="28"/>
      <c r="F40" s="28"/>
      <c r="G40" s="28"/>
      <c r="H40" s="28"/>
      <c r="I40" s="39"/>
      <c r="J40" s="28"/>
      <c r="K40" s="28"/>
      <c r="L40" s="28"/>
      <c r="M40" s="28"/>
      <c r="N40" s="28"/>
      <c r="O40" s="28"/>
      <c r="P40" s="28"/>
      <c r="Q40" s="28"/>
      <c r="R40" s="28"/>
      <c r="S40" s="28"/>
      <c r="T40" s="28"/>
      <c r="U40" s="28"/>
    </row>
    <row r="41" spans="1:21" s="27" customFormat="1" ht="36.75" customHeight="1">
      <c r="A41" s="28"/>
      <c r="B41" s="28"/>
      <c r="C41" s="28"/>
      <c r="D41" s="28"/>
      <c r="E41" s="28"/>
      <c r="F41" s="157" t="str">
        <f>IF(N25&gt;"",N25,IF(N26&gt;"",N26,IF(N27&gt;"",N27,IF(N28&gt;"",N28,IF(N29&gt;"",N29,IF(N30&gt;"",N30,IF(N31&gt;"",N31,IF(N32&gt;"",N32,IF(N33&gt;"",N33,IF(N34&gt;"",N34,IF(N35&gt;"",N35,IF(N36&gt;"",N36,IF(N37&gt;"",N37,IF(I38&lt;&gt;I39,"Your total estimate in cell I38 does not yet equal the Nectar Funds Allocated",""))))))))))))))</f>
        <v/>
      </c>
      <c r="G41" s="158"/>
      <c r="H41" s="158"/>
      <c r="I41" s="158"/>
      <c r="J41" s="158"/>
      <c r="K41" s="158"/>
      <c r="L41" s="159"/>
      <c r="M41" s="28"/>
      <c r="N41" s="28"/>
      <c r="O41" s="28"/>
      <c r="P41" s="28"/>
      <c r="Q41" s="28"/>
      <c r="R41" s="28"/>
      <c r="S41" s="28"/>
      <c r="T41" s="28"/>
      <c r="U41" s="28"/>
    </row>
    <row r="42" spans="1:21" s="27" customFormat="1" ht="14.25" customHeight="1" thickBot="1">
      <c r="A42" s="28"/>
      <c r="B42" s="28"/>
      <c r="C42" s="38" t="s">
        <v>46</v>
      </c>
      <c r="D42" s="37"/>
      <c r="E42" s="28"/>
      <c r="F42" s="36"/>
      <c r="G42" s="36"/>
      <c r="H42" s="36"/>
      <c r="I42" s="36"/>
      <c r="J42" s="36"/>
      <c r="K42" s="36"/>
      <c r="L42" s="36"/>
      <c r="M42" s="28"/>
      <c r="N42" s="28"/>
      <c r="O42" s="28"/>
      <c r="P42" s="28"/>
      <c r="Q42" s="28"/>
      <c r="R42" s="28"/>
      <c r="S42" s="28"/>
      <c r="T42" s="28"/>
      <c r="U42" s="28"/>
    </row>
    <row r="43" spans="1:21" s="27" customFormat="1" ht="54" customHeight="1" thickBot="1">
      <c r="A43" s="28"/>
      <c r="B43" s="28"/>
      <c r="C43" s="154"/>
      <c r="D43" s="155"/>
      <c r="E43" s="155"/>
      <c r="F43" s="155"/>
      <c r="G43" s="155"/>
      <c r="H43" s="155"/>
      <c r="I43" s="155"/>
      <c r="J43" s="155"/>
      <c r="K43" s="155"/>
      <c r="L43" s="155"/>
      <c r="M43" s="156"/>
      <c r="N43" s="28"/>
      <c r="O43" s="28"/>
      <c r="P43" s="28"/>
      <c r="Q43" s="28"/>
      <c r="R43" s="28"/>
      <c r="S43" s="28"/>
      <c r="T43" s="28"/>
      <c r="U43" s="28"/>
    </row>
    <row r="45" spans="1:21" s="27" customFormat="1" ht="15" hidden="1" customHeight="1">
      <c r="A45" s="28"/>
      <c r="B45" s="28"/>
      <c r="C45" s="28"/>
      <c r="D45" s="28"/>
      <c r="E45" s="35">
        <f>C25</f>
        <v>41274</v>
      </c>
      <c r="F45" s="35">
        <f>C26</f>
        <v>41364</v>
      </c>
      <c r="G45" s="35">
        <f>C27</f>
        <v>41455</v>
      </c>
      <c r="H45" s="35">
        <f>C28</f>
        <v>41547</v>
      </c>
      <c r="I45" s="35">
        <f>C29</f>
        <v>41639</v>
      </c>
      <c r="J45" s="35">
        <f>C30</f>
        <v>41729</v>
      </c>
      <c r="K45" s="35">
        <f>C31</f>
        <v>41820</v>
      </c>
      <c r="L45" s="35">
        <f>C32</f>
        <v>41912</v>
      </c>
      <c r="M45" s="35">
        <f>C33</f>
        <v>42004</v>
      </c>
      <c r="N45" s="35">
        <f>C34</f>
        <v>42094</v>
      </c>
      <c r="O45" s="35">
        <f>C35</f>
        <v>42185</v>
      </c>
      <c r="P45" s="35">
        <f>C36</f>
        <v>42277</v>
      </c>
      <c r="Q45" s="35">
        <f>C37</f>
        <v>42369</v>
      </c>
      <c r="R45" s="34" t="s">
        <v>45</v>
      </c>
      <c r="S45" s="28"/>
      <c r="T45" s="28"/>
      <c r="U45" s="28"/>
    </row>
    <row r="46" spans="1:21" s="27" customFormat="1" ht="26.25" hidden="1">
      <c r="A46" s="28"/>
      <c r="B46" s="28"/>
      <c r="C46" s="33" t="s">
        <v>44</v>
      </c>
      <c r="D46" s="33"/>
      <c r="E46" s="32">
        <v>208000</v>
      </c>
      <c r="F46" s="32">
        <v>260000</v>
      </c>
      <c r="G46" s="32">
        <v>260000</v>
      </c>
      <c r="H46" s="32">
        <v>289000</v>
      </c>
      <c r="I46" s="32">
        <v>289000</v>
      </c>
      <c r="J46" s="32">
        <v>289000</v>
      </c>
      <c r="K46" s="32">
        <v>289000</v>
      </c>
      <c r="L46" s="32">
        <v>289000</v>
      </c>
      <c r="M46" s="32">
        <v>289000</v>
      </c>
      <c r="N46" s="32">
        <v>289000</v>
      </c>
      <c r="O46" s="32">
        <v>289000</v>
      </c>
      <c r="P46" s="32">
        <v>289000</v>
      </c>
      <c r="Q46" s="32">
        <v>289000</v>
      </c>
      <c r="R46" s="31">
        <f>Q46</f>
        <v>289000</v>
      </c>
      <c r="S46" s="28"/>
      <c r="T46" s="28"/>
      <c r="U46" s="28"/>
    </row>
    <row r="47" spans="1:21" s="27" customFormat="1" hidden="1">
      <c r="A47" s="28"/>
      <c r="B47" s="28"/>
      <c r="C47" s="30" t="s">
        <v>43</v>
      </c>
      <c r="D47" s="30"/>
      <c r="E47" s="29">
        <f>I25</f>
        <v>122279</v>
      </c>
      <c r="F47" s="29">
        <f>I26</f>
        <v>30203</v>
      </c>
      <c r="G47" s="29">
        <f>I27</f>
        <v>60141</v>
      </c>
      <c r="H47" s="29">
        <f>I28</f>
        <v>60825</v>
      </c>
      <c r="I47" s="29">
        <f>I29</f>
        <v>15552</v>
      </c>
      <c r="J47" s="29">
        <f>I30</f>
        <v>0</v>
      </c>
      <c r="K47" s="29">
        <f>I31</f>
        <v>0</v>
      </c>
      <c r="L47" s="29">
        <f>I32</f>
        <v>0</v>
      </c>
      <c r="M47" s="29">
        <f>I33</f>
        <v>0</v>
      </c>
      <c r="N47" s="29">
        <f>I34</f>
        <v>0</v>
      </c>
      <c r="O47" s="29">
        <f>I35</f>
        <v>0</v>
      </c>
      <c r="P47" s="29">
        <f>I36</f>
        <v>0</v>
      </c>
      <c r="Q47" s="29">
        <f>I37</f>
        <v>0</v>
      </c>
      <c r="R47" s="29">
        <f>SUM(E47:Q47)</f>
        <v>289000</v>
      </c>
      <c r="S47" s="28"/>
      <c r="T47" s="28"/>
      <c r="U47" s="28"/>
    </row>
    <row r="48" spans="1:21" s="27" customFormat="1" hidden="1">
      <c r="A48" s="28"/>
      <c r="B48" s="28"/>
      <c r="C48" s="30" t="s">
        <v>42</v>
      </c>
      <c r="D48" s="30"/>
      <c r="E48" s="29">
        <f>E47</f>
        <v>122279</v>
      </c>
      <c r="F48" s="29">
        <f t="shared" ref="F48:Q48" si="9">E48+F47</f>
        <v>152482</v>
      </c>
      <c r="G48" s="29">
        <f t="shared" si="9"/>
        <v>212623</v>
      </c>
      <c r="H48" s="29">
        <f t="shared" si="9"/>
        <v>273448</v>
      </c>
      <c r="I48" s="29">
        <f t="shared" si="9"/>
        <v>289000</v>
      </c>
      <c r="J48" s="29">
        <f t="shared" si="9"/>
        <v>289000</v>
      </c>
      <c r="K48" s="29">
        <f t="shared" si="9"/>
        <v>289000</v>
      </c>
      <c r="L48" s="29">
        <f t="shared" si="9"/>
        <v>289000</v>
      </c>
      <c r="M48" s="29">
        <f t="shared" si="9"/>
        <v>289000</v>
      </c>
      <c r="N48" s="29">
        <f t="shared" si="9"/>
        <v>289000</v>
      </c>
      <c r="O48" s="29">
        <f t="shared" si="9"/>
        <v>289000</v>
      </c>
      <c r="P48" s="29">
        <f t="shared" si="9"/>
        <v>289000</v>
      </c>
      <c r="Q48" s="29">
        <f t="shared" si="9"/>
        <v>289000</v>
      </c>
      <c r="R48" s="29">
        <f>Q48</f>
        <v>289000</v>
      </c>
      <c r="S48" s="28"/>
      <c r="T48" s="28"/>
      <c r="U48" s="28"/>
    </row>
    <row r="49" spans="3:18" s="27" customFormat="1" ht="12.75" hidden="1">
      <c r="C49" s="30" t="s">
        <v>41</v>
      </c>
      <c r="D49" s="30"/>
      <c r="E49" s="29">
        <f>H25</f>
        <v>122279</v>
      </c>
      <c r="F49" s="29">
        <f>H26</f>
        <v>30203</v>
      </c>
      <c r="G49" s="29">
        <f>H27</f>
        <v>0</v>
      </c>
      <c r="H49" s="29">
        <f>H28</f>
        <v>0</v>
      </c>
      <c r="I49" s="29">
        <f>H29</f>
        <v>0</v>
      </c>
      <c r="J49" s="29">
        <f>H30</f>
        <v>0</v>
      </c>
      <c r="K49" s="29">
        <f>H31</f>
        <v>0</v>
      </c>
      <c r="L49" s="29">
        <f>H32</f>
        <v>0</v>
      </c>
      <c r="M49" s="29">
        <f>H33</f>
        <v>0</v>
      </c>
      <c r="N49" s="29">
        <f>H34</f>
        <v>0</v>
      </c>
      <c r="O49" s="29">
        <f>H35</f>
        <v>0</v>
      </c>
      <c r="P49" s="29">
        <f>H36</f>
        <v>0</v>
      </c>
      <c r="Q49" s="29">
        <f>H37</f>
        <v>0</v>
      </c>
      <c r="R49" s="29">
        <f>SUM(E49:Q49)</f>
        <v>152482</v>
      </c>
    </row>
    <row r="50" spans="3:18" s="27" customFormat="1" ht="12.75" hidden="1">
      <c r="C50" s="30" t="s">
        <v>40</v>
      </c>
      <c r="D50" s="30"/>
      <c r="E50" s="29">
        <f>IF(E45&gt;LastDateReport,NA(),E49)</f>
        <v>122279</v>
      </c>
      <c r="F50" s="29" t="e">
        <f t="shared" ref="F50:Q50" si="10">IF(F45&gt;LastDateReport,NA(),E50+F49)</f>
        <v>#N/A</v>
      </c>
      <c r="G50" s="29" t="e">
        <f t="shared" si="10"/>
        <v>#N/A</v>
      </c>
      <c r="H50" s="29" t="e">
        <f t="shared" si="10"/>
        <v>#N/A</v>
      </c>
      <c r="I50" s="29" t="e">
        <f t="shared" si="10"/>
        <v>#N/A</v>
      </c>
      <c r="J50" s="29" t="e">
        <f t="shared" si="10"/>
        <v>#N/A</v>
      </c>
      <c r="K50" s="29" t="e">
        <f t="shared" si="10"/>
        <v>#N/A</v>
      </c>
      <c r="L50" s="29" t="e">
        <f t="shared" si="10"/>
        <v>#N/A</v>
      </c>
      <c r="M50" s="29" t="e">
        <f t="shared" si="10"/>
        <v>#N/A</v>
      </c>
      <c r="N50" s="29" t="e">
        <f t="shared" si="10"/>
        <v>#N/A</v>
      </c>
      <c r="O50" s="29" t="e">
        <f t="shared" si="10"/>
        <v>#N/A</v>
      </c>
      <c r="P50" s="29" t="e">
        <f t="shared" si="10"/>
        <v>#N/A</v>
      </c>
      <c r="Q50" s="29" t="e">
        <f t="shared" si="10"/>
        <v>#N/A</v>
      </c>
      <c r="R50" s="29">
        <f>H38</f>
        <v>152482</v>
      </c>
    </row>
    <row r="51" spans="3:18" s="27" customFormat="1" ht="15" hidden="1" customHeight="1">
      <c r="C51" s="30" t="s">
        <v>39</v>
      </c>
      <c r="D51" s="30"/>
      <c r="E51" s="29">
        <f>IF(E45&gt;LastDateReport,NA(),D25)</f>
        <v>104000</v>
      </c>
      <c r="F51" s="29" t="e">
        <f>IF(F45&gt;LastDateReport,NA(),$D26+E51)</f>
        <v>#N/A</v>
      </c>
      <c r="G51" s="29" t="e">
        <f>IF(G45&gt;LastDateReport,NA(),D27+F51)</f>
        <v>#N/A</v>
      </c>
      <c r="H51" s="29" t="e">
        <f>IF(H45&gt;LastDateReport,NA(),D28+G51)</f>
        <v>#N/A</v>
      </c>
      <c r="I51" s="29" t="e">
        <f>IF(I45&gt;LastDateReport,NA(),D29+H51)</f>
        <v>#N/A</v>
      </c>
      <c r="J51" s="29" t="e">
        <f>IF(J45&gt;LastDateReport,NA(),D30+I51)</f>
        <v>#N/A</v>
      </c>
      <c r="K51" s="29" t="e">
        <f>IF(K45&gt;LastDateReport,NA(),D31+J51)</f>
        <v>#N/A</v>
      </c>
      <c r="L51" s="29" t="e">
        <f>IF(L45&gt;LastDateReport,NA(),D32+K51)</f>
        <v>#N/A</v>
      </c>
      <c r="M51" s="29" t="e">
        <f>IF(M45&gt;LastDateReport,NA(),D33+L51)</f>
        <v>#N/A</v>
      </c>
      <c r="N51" s="29" t="e">
        <f>IF(N45&gt;LastDateReport,NA(),D34+M51)</f>
        <v>#N/A</v>
      </c>
      <c r="O51" s="29" t="e">
        <f>IF(O45&gt;LastDateReport,NA(),D35+N51)</f>
        <v>#N/A</v>
      </c>
      <c r="P51" s="29" t="e">
        <f>IF(P45&gt;LastDateReport,NA(),D36+O51)</f>
        <v>#N/A</v>
      </c>
      <c r="Q51" s="29" t="e">
        <f>IF(Q45&gt;LastDateReport,NA(),D37+P51)</f>
        <v>#N/A</v>
      </c>
      <c r="R51" s="29">
        <f>D38</f>
        <v>104000</v>
      </c>
    </row>
    <row r="52" spans="3:18" s="27" customFormat="1" ht="25.5" hidden="1">
      <c r="C52" s="33" t="s">
        <v>38</v>
      </c>
      <c r="D52" s="33"/>
      <c r="E52" s="32">
        <v>66426</v>
      </c>
      <c r="F52" s="32">
        <v>114892</v>
      </c>
      <c r="G52" s="32">
        <v>323892</v>
      </c>
      <c r="H52" s="32">
        <v>323892</v>
      </c>
      <c r="I52" s="32">
        <v>323892</v>
      </c>
      <c r="J52" s="32">
        <v>323892</v>
      </c>
      <c r="K52" s="32">
        <v>323892</v>
      </c>
      <c r="L52" s="32">
        <v>323892</v>
      </c>
      <c r="M52" s="32">
        <v>323892</v>
      </c>
      <c r="N52" s="32">
        <v>323892</v>
      </c>
      <c r="O52" s="32">
        <v>323892</v>
      </c>
      <c r="P52" s="32">
        <v>323892</v>
      </c>
      <c r="Q52" s="32">
        <v>323892</v>
      </c>
      <c r="R52" s="31">
        <f>Q52</f>
        <v>323892</v>
      </c>
    </row>
    <row r="53" spans="3:18" s="27" customFormat="1" ht="12.75" hidden="1">
      <c r="C53" s="30" t="s">
        <v>37</v>
      </c>
      <c r="D53" s="30"/>
      <c r="E53" s="29">
        <f>$M25</f>
        <v>74838</v>
      </c>
      <c r="F53" s="29">
        <f>$M26</f>
        <v>9910</v>
      </c>
      <c r="G53" s="29">
        <f>M$27</f>
        <v>2825</v>
      </c>
      <c r="H53" s="29">
        <f>$M28</f>
        <v>16637</v>
      </c>
      <c r="I53" s="29">
        <f>M29</f>
        <v>4927</v>
      </c>
      <c r="J53" s="29">
        <f>M30</f>
        <v>110637</v>
      </c>
      <c r="K53" s="29">
        <f>M31</f>
        <v>110638</v>
      </c>
      <c r="L53" s="29">
        <f>M32</f>
        <v>0</v>
      </c>
      <c r="M53" s="29">
        <f>M33</f>
        <v>0</v>
      </c>
      <c r="N53" s="29">
        <f>M34</f>
        <v>0</v>
      </c>
      <c r="O53" s="29">
        <f>M35</f>
        <v>0</v>
      </c>
      <c r="P53" s="29">
        <f>M36</f>
        <v>0</v>
      </c>
      <c r="Q53" s="29">
        <f>M37</f>
        <v>0</v>
      </c>
      <c r="R53" s="29">
        <f>SUM(E53:Q53)</f>
        <v>330412</v>
      </c>
    </row>
    <row r="54" spans="3:18" s="27" customFormat="1" ht="12.75" hidden="1">
      <c r="C54" s="30" t="s">
        <v>36</v>
      </c>
      <c r="D54" s="30"/>
      <c r="E54" s="29">
        <f>IF(E45&gt;LastDateReport,NA(),E53)</f>
        <v>74838</v>
      </c>
      <c r="F54" s="29">
        <f t="shared" ref="F54:Q54" si="11">E54+F53</f>
        <v>84748</v>
      </c>
      <c r="G54" s="29">
        <f t="shared" si="11"/>
        <v>87573</v>
      </c>
      <c r="H54" s="29">
        <f t="shared" si="11"/>
        <v>104210</v>
      </c>
      <c r="I54" s="29">
        <f t="shared" si="11"/>
        <v>109137</v>
      </c>
      <c r="J54" s="29">
        <f t="shared" si="11"/>
        <v>219774</v>
      </c>
      <c r="K54" s="29">
        <f t="shared" si="11"/>
        <v>330412</v>
      </c>
      <c r="L54" s="29">
        <f t="shared" si="11"/>
        <v>330412</v>
      </c>
      <c r="M54" s="29">
        <f t="shared" si="11"/>
        <v>330412</v>
      </c>
      <c r="N54" s="29">
        <f t="shared" si="11"/>
        <v>330412</v>
      </c>
      <c r="O54" s="29">
        <f t="shared" si="11"/>
        <v>330412</v>
      </c>
      <c r="P54" s="29">
        <f t="shared" si="11"/>
        <v>330412</v>
      </c>
      <c r="Q54" s="29">
        <f t="shared" si="11"/>
        <v>330412</v>
      </c>
      <c r="R54" s="29">
        <f>L38</f>
        <v>102384</v>
      </c>
    </row>
    <row r="55" spans="3:18" s="27" customFormat="1" ht="12.75" hidden="1">
      <c r="C55" s="30" t="s">
        <v>35</v>
      </c>
      <c r="D55" s="30"/>
      <c r="E55" s="29">
        <f>L25</f>
        <v>74838</v>
      </c>
      <c r="F55" s="29">
        <f>L26</f>
        <v>9910</v>
      </c>
      <c r="G55" s="29">
        <f>L27</f>
        <v>6000</v>
      </c>
      <c r="H55" s="29">
        <f>L28</f>
        <v>6000</v>
      </c>
      <c r="I55" s="29">
        <f>L29</f>
        <v>5636</v>
      </c>
      <c r="J55" s="29">
        <f>L30</f>
        <v>0</v>
      </c>
      <c r="K55" s="29">
        <f>L31</f>
        <v>0</v>
      </c>
      <c r="L55" s="29">
        <f>L32</f>
        <v>0</v>
      </c>
      <c r="M55" s="29">
        <f>L33</f>
        <v>0</v>
      </c>
      <c r="N55" s="29">
        <f>L34</f>
        <v>0</v>
      </c>
      <c r="O55" s="29">
        <f>L35</f>
        <v>0</v>
      </c>
      <c r="P55" s="29">
        <f>L36</f>
        <v>0</v>
      </c>
      <c r="Q55" s="29">
        <f>L37</f>
        <v>0</v>
      </c>
      <c r="R55" s="29">
        <f>SUM(E55:Q55)</f>
        <v>102384</v>
      </c>
    </row>
    <row r="56" spans="3:18" s="27" customFormat="1" ht="12.75" hidden="1">
      <c r="C56" s="30" t="s">
        <v>34</v>
      </c>
      <c r="D56" s="30"/>
      <c r="E56" s="29">
        <f>IF(E45&gt;LastDateReport,NA(),E55)</f>
        <v>74838</v>
      </c>
      <c r="F56" s="29" t="e">
        <f t="shared" ref="F56:Q56" si="12">IF(F45&gt;LastDateReport,NA(),E56+F55)</f>
        <v>#N/A</v>
      </c>
      <c r="G56" s="29" t="e">
        <f t="shared" si="12"/>
        <v>#N/A</v>
      </c>
      <c r="H56" s="29" t="e">
        <f t="shared" si="12"/>
        <v>#N/A</v>
      </c>
      <c r="I56" s="29" t="e">
        <f t="shared" si="12"/>
        <v>#N/A</v>
      </c>
      <c r="J56" s="29" t="e">
        <f t="shared" si="12"/>
        <v>#N/A</v>
      </c>
      <c r="K56" s="29" t="e">
        <f t="shared" si="12"/>
        <v>#N/A</v>
      </c>
      <c r="L56" s="29" t="e">
        <f t="shared" si="12"/>
        <v>#N/A</v>
      </c>
      <c r="M56" s="29" t="e">
        <f t="shared" si="12"/>
        <v>#N/A</v>
      </c>
      <c r="N56" s="29" t="e">
        <f t="shared" si="12"/>
        <v>#N/A</v>
      </c>
      <c r="O56" s="29" t="e">
        <f t="shared" si="12"/>
        <v>#N/A</v>
      </c>
      <c r="P56" s="29" t="e">
        <f t="shared" si="12"/>
        <v>#N/A</v>
      </c>
      <c r="Q56" s="29" t="e">
        <f t="shared" si="12"/>
        <v>#N/A</v>
      </c>
      <c r="R56" s="29">
        <f>L38</f>
        <v>102384</v>
      </c>
    </row>
    <row r="57" spans="3:18" s="27" customFormat="1" hidden="1">
      <c r="C57" s="28"/>
      <c r="D57" s="28"/>
      <c r="E57" s="28"/>
      <c r="F57" s="28"/>
      <c r="G57" s="28"/>
      <c r="H57" s="28"/>
      <c r="I57" s="28"/>
      <c r="J57" s="28"/>
      <c r="K57" s="28"/>
      <c r="L57" s="28"/>
      <c r="M57" s="28"/>
      <c r="N57" s="28"/>
      <c r="O57" s="28"/>
      <c r="P57" s="28"/>
      <c r="Q57" s="28"/>
      <c r="R57" s="28"/>
    </row>
  </sheetData>
  <sheetProtection sheet="1" formatColumns="0" selectLockedCells="1"/>
  <mergeCells count="14">
    <mergeCell ref="A23:A24"/>
    <mergeCell ref="B23:C23"/>
    <mergeCell ref="U23:U24"/>
    <mergeCell ref="C43:M43"/>
    <mergeCell ref="F41:L41"/>
    <mergeCell ref="J23:L23"/>
    <mergeCell ref="M23:M24"/>
    <mergeCell ref="Q23:Q24"/>
    <mergeCell ref="D23:D24"/>
    <mergeCell ref="P23:P24"/>
    <mergeCell ref="E23:H23"/>
    <mergeCell ref="I23:I24"/>
    <mergeCell ref="E18:H18"/>
    <mergeCell ref="J18:L18"/>
  </mergeCells>
  <conditionalFormatting sqref="C1">
    <cfRule type="cellIs" dxfId="165" priority="164" operator="equal">
      <formula>"AMBER"</formula>
    </cfRule>
  </conditionalFormatting>
  <conditionalFormatting sqref="C1">
    <cfRule type="cellIs" dxfId="164" priority="163" operator="equal">
      <formula>"RED"</formula>
    </cfRule>
  </conditionalFormatting>
  <conditionalFormatting sqref="C1">
    <cfRule type="cellIs" dxfId="163" priority="162" operator="equal">
      <formula>"GREEN"</formula>
    </cfRule>
  </conditionalFormatting>
  <conditionalFormatting sqref="C2">
    <cfRule type="cellIs" dxfId="162" priority="161" operator="equal">
      <formula>"AMBER"</formula>
    </cfRule>
  </conditionalFormatting>
  <conditionalFormatting sqref="C2">
    <cfRule type="cellIs" dxfId="161" priority="160" operator="equal">
      <formula>"RED"</formula>
    </cfRule>
  </conditionalFormatting>
  <conditionalFormatting sqref="C2">
    <cfRule type="cellIs" dxfId="160" priority="159" operator="equal">
      <formula>"GREEN"</formula>
    </cfRule>
  </conditionalFormatting>
  <conditionalFormatting sqref="C3">
    <cfRule type="cellIs" dxfId="159" priority="158" operator="equal">
      <formula>"AMBER"</formula>
    </cfRule>
  </conditionalFormatting>
  <conditionalFormatting sqref="C3">
    <cfRule type="cellIs" dxfId="158" priority="157" operator="equal">
      <formula>"RED"</formula>
    </cfRule>
  </conditionalFormatting>
  <conditionalFormatting sqref="C3">
    <cfRule type="cellIs" dxfId="157" priority="156" operator="equal">
      <formula>"GREEN"</formula>
    </cfRule>
  </conditionalFormatting>
  <conditionalFormatting sqref="C4">
    <cfRule type="cellIs" dxfId="156" priority="155" operator="equal">
      <formula>"AMBER"</formula>
    </cfRule>
  </conditionalFormatting>
  <conditionalFormatting sqref="C4">
    <cfRule type="cellIs" dxfId="155" priority="154" operator="equal">
      <formula>"RED"</formula>
    </cfRule>
  </conditionalFormatting>
  <conditionalFormatting sqref="C4">
    <cfRule type="cellIs" dxfId="154" priority="153" operator="equal">
      <formula>"GREEN"</formula>
    </cfRule>
  </conditionalFormatting>
  <conditionalFormatting sqref="C5">
    <cfRule type="cellIs" dxfId="153" priority="152" operator="equal">
      <formula>"AMBER"</formula>
    </cfRule>
  </conditionalFormatting>
  <conditionalFormatting sqref="C5">
    <cfRule type="cellIs" dxfId="152" priority="151" operator="equal">
      <formula>"RED"</formula>
    </cfRule>
  </conditionalFormatting>
  <conditionalFormatting sqref="C5">
    <cfRule type="cellIs" dxfId="151" priority="150" operator="equal">
      <formula>"GREEN"</formula>
    </cfRule>
  </conditionalFormatting>
  <conditionalFormatting sqref="C6">
    <cfRule type="cellIs" dxfId="150" priority="149" operator="equal">
      <formula>"AMBER"</formula>
    </cfRule>
  </conditionalFormatting>
  <conditionalFormatting sqref="C6">
    <cfRule type="cellIs" dxfId="149" priority="148" operator="equal">
      <formula>"RED"</formula>
    </cfRule>
  </conditionalFormatting>
  <conditionalFormatting sqref="C6">
    <cfRule type="cellIs" dxfId="148" priority="147" operator="equal">
      <formula>"GREEN"</formula>
    </cfRule>
  </conditionalFormatting>
  <conditionalFormatting sqref="C7">
    <cfRule type="cellIs" dxfId="147" priority="146" operator="equal">
      <formula>"AMBER"</formula>
    </cfRule>
  </conditionalFormatting>
  <conditionalFormatting sqref="C7">
    <cfRule type="cellIs" dxfId="146" priority="145" operator="equal">
      <formula>"RED"</formula>
    </cfRule>
  </conditionalFormatting>
  <conditionalFormatting sqref="C7">
    <cfRule type="cellIs" dxfId="145" priority="144" operator="equal">
      <formula>"GREEN"</formula>
    </cfRule>
  </conditionalFormatting>
  <conditionalFormatting sqref="C8">
    <cfRule type="cellIs" dxfId="144" priority="143" operator="equal">
      <formula>"AMBER"</formula>
    </cfRule>
  </conditionalFormatting>
  <conditionalFormatting sqref="C8">
    <cfRule type="cellIs" dxfId="143" priority="142" operator="equal">
      <formula>"RED"</formula>
    </cfRule>
  </conditionalFormatting>
  <conditionalFormatting sqref="C8">
    <cfRule type="cellIs" dxfId="142" priority="141" operator="equal">
      <formula>"GREEN"</formula>
    </cfRule>
  </conditionalFormatting>
  <conditionalFormatting sqref="C9">
    <cfRule type="cellIs" dxfId="141" priority="140" operator="equal">
      <formula>"AMBER"</formula>
    </cfRule>
  </conditionalFormatting>
  <conditionalFormatting sqref="C9">
    <cfRule type="cellIs" dxfId="140" priority="139" operator="equal">
      <formula>"RED"</formula>
    </cfRule>
  </conditionalFormatting>
  <conditionalFormatting sqref="C9">
    <cfRule type="cellIs" dxfId="139" priority="138" operator="equal">
      <formula>"GREEN"</formula>
    </cfRule>
  </conditionalFormatting>
  <conditionalFormatting sqref="D1">
    <cfRule type="cellIs" dxfId="138" priority="137" operator="equal">
      <formula>"AMBER"</formula>
    </cfRule>
  </conditionalFormatting>
  <conditionalFormatting sqref="D1">
    <cfRule type="cellIs" dxfId="137" priority="136" operator="equal">
      <formula>"RED"</formula>
    </cfRule>
  </conditionalFormatting>
  <conditionalFormatting sqref="D1">
    <cfRule type="cellIs" dxfId="136" priority="135" operator="equal">
      <formula>"GREEN"</formula>
    </cfRule>
  </conditionalFormatting>
  <conditionalFormatting sqref="D2">
    <cfRule type="cellIs" dxfId="135" priority="134" operator="equal">
      <formula>"AMBER"</formula>
    </cfRule>
  </conditionalFormatting>
  <conditionalFormatting sqref="D2">
    <cfRule type="cellIs" dxfId="134" priority="133" operator="equal">
      <formula>"RED"</formula>
    </cfRule>
  </conditionalFormatting>
  <conditionalFormatting sqref="D2">
    <cfRule type="cellIs" dxfId="133" priority="132" operator="equal">
      <formula>"GREEN"</formula>
    </cfRule>
  </conditionalFormatting>
  <conditionalFormatting sqref="D3">
    <cfRule type="cellIs" dxfId="132" priority="131" operator="equal">
      <formula>"AMBER"</formula>
    </cfRule>
  </conditionalFormatting>
  <conditionalFormatting sqref="D3">
    <cfRule type="cellIs" dxfId="131" priority="130" operator="equal">
      <formula>"RED"</formula>
    </cfRule>
  </conditionalFormatting>
  <conditionalFormatting sqref="D3">
    <cfRule type="cellIs" dxfId="130" priority="129" operator="equal">
      <formula>"GREEN"</formula>
    </cfRule>
  </conditionalFormatting>
  <conditionalFormatting sqref="D4">
    <cfRule type="cellIs" dxfId="129" priority="128" operator="equal">
      <formula>"AMBER"</formula>
    </cfRule>
  </conditionalFormatting>
  <conditionalFormatting sqref="D4">
    <cfRule type="cellIs" dxfId="128" priority="127" operator="equal">
      <formula>"RED"</formula>
    </cfRule>
  </conditionalFormatting>
  <conditionalFormatting sqref="D4">
    <cfRule type="cellIs" dxfId="127" priority="126" operator="equal">
      <formula>"GREEN"</formula>
    </cfRule>
  </conditionalFormatting>
  <conditionalFormatting sqref="D5">
    <cfRule type="cellIs" dxfId="126" priority="125" operator="equal">
      <formula>"AMBER"</formula>
    </cfRule>
  </conditionalFormatting>
  <conditionalFormatting sqref="D5">
    <cfRule type="cellIs" dxfId="125" priority="124" operator="equal">
      <formula>"RED"</formula>
    </cfRule>
  </conditionalFormatting>
  <conditionalFormatting sqref="D5">
    <cfRule type="cellIs" dxfId="124" priority="123" operator="equal">
      <formula>"GREEN"</formula>
    </cfRule>
  </conditionalFormatting>
  <conditionalFormatting sqref="D6">
    <cfRule type="cellIs" dxfId="123" priority="122" operator="equal">
      <formula>"AMBER"</formula>
    </cfRule>
  </conditionalFormatting>
  <conditionalFormatting sqref="D6">
    <cfRule type="cellIs" dxfId="122" priority="121" operator="equal">
      <formula>"RED"</formula>
    </cfRule>
  </conditionalFormatting>
  <conditionalFormatting sqref="D6">
    <cfRule type="cellIs" dxfId="121" priority="120" operator="equal">
      <formula>"GREEN"</formula>
    </cfRule>
  </conditionalFormatting>
  <conditionalFormatting sqref="D7">
    <cfRule type="cellIs" dxfId="120" priority="119" operator="equal">
      <formula>"AMBER"</formula>
    </cfRule>
  </conditionalFormatting>
  <conditionalFormatting sqref="D7">
    <cfRule type="cellIs" dxfId="119" priority="118" operator="equal">
      <formula>"RED"</formula>
    </cfRule>
  </conditionalFormatting>
  <conditionalFormatting sqref="D7">
    <cfRule type="cellIs" dxfId="118" priority="117" operator="equal">
      <formula>"GREEN"</formula>
    </cfRule>
  </conditionalFormatting>
  <conditionalFormatting sqref="D8">
    <cfRule type="cellIs" dxfId="117" priority="116" operator="equal">
      <formula>"AMBER"</formula>
    </cfRule>
  </conditionalFormatting>
  <conditionalFormatting sqref="D8">
    <cfRule type="cellIs" dxfId="116" priority="115" operator="equal">
      <formula>"RED"</formula>
    </cfRule>
  </conditionalFormatting>
  <conditionalFormatting sqref="D8">
    <cfRule type="cellIs" dxfId="115" priority="114" operator="equal">
      <formula>"GREEN"</formula>
    </cfRule>
  </conditionalFormatting>
  <conditionalFormatting sqref="D9">
    <cfRule type="cellIs" dxfId="114" priority="113" operator="equal">
      <formula>"AMBER"</formula>
    </cfRule>
  </conditionalFormatting>
  <conditionalFormatting sqref="D9">
    <cfRule type="cellIs" dxfId="113" priority="112" operator="equal">
      <formula>"RED"</formula>
    </cfRule>
  </conditionalFormatting>
  <conditionalFormatting sqref="D9">
    <cfRule type="cellIs" dxfId="112" priority="111" operator="equal">
      <formula>"GREEN"</formula>
    </cfRule>
  </conditionalFormatting>
  <conditionalFormatting sqref="J15">
    <cfRule type="cellIs" dxfId="111" priority="110" operator="equal">
      <formula>"AMBER"</formula>
    </cfRule>
  </conditionalFormatting>
  <conditionalFormatting sqref="J15">
    <cfRule type="cellIs" dxfId="110" priority="109" operator="equal">
      <formula>"RED"</formula>
    </cfRule>
  </conditionalFormatting>
  <conditionalFormatting sqref="J15">
    <cfRule type="cellIs" dxfId="109" priority="108" operator="equal">
      <formula>"GREEN"</formula>
    </cfRule>
  </conditionalFormatting>
  <conditionalFormatting sqref="M25">
    <cfRule type="expression" dxfId="108" priority="107">
      <formula>M25&lt;&gt;Q25</formula>
    </cfRule>
  </conditionalFormatting>
  <conditionalFormatting sqref="M26">
    <cfRule type="expression" dxfId="107" priority="106">
      <formula>M25&lt;&gt;Q25</formula>
    </cfRule>
  </conditionalFormatting>
  <conditionalFormatting sqref="M27">
    <cfRule type="expression" dxfId="106" priority="105">
      <formula>M25&lt;&gt;Q25</formula>
    </cfRule>
  </conditionalFormatting>
  <conditionalFormatting sqref="M28">
    <cfRule type="expression" dxfId="105" priority="104">
      <formula>M25&lt;&gt;Q25</formula>
    </cfRule>
  </conditionalFormatting>
  <conditionalFormatting sqref="M29">
    <cfRule type="expression" dxfId="104" priority="103">
      <formula>M25&lt;&gt;Q25</formula>
    </cfRule>
  </conditionalFormatting>
  <conditionalFormatting sqref="M30">
    <cfRule type="expression" dxfId="103" priority="102">
      <formula>M25&lt;&gt;Q25</formula>
    </cfRule>
  </conditionalFormatting>
  <conditionalFormatting sqref="M31">
    <cfRule type="expression" dxfId="102" priority="101">
      <formula>M25&lt;&gt;Q25</formula>
    </cfRule>
  </conditionalFormatting>
  <conditionalFormatting sqref="M32">
    <cfRule type="expression" dxfId="101" priority="100">
      <formula>M25&lt;&gt;Q25</formula>
    </cfRule>
  </conditionalFormatting>
  <conditionalFormatting sqref="M33">
    <cfRule type="expression" dxfId="100" priority="99">
      <formula>M25&lt;&gt;Q25</formula>
    </cfRule>
  </conditionalFormatting>
  <conditionalFormatting sqref="M34">
    <cfRule type="expression" dxfId="99" priority="98">
      <formula>M25&lt;&gt;Q25</formula>
    </cfRule>
  </conditionalFormatting>
  <conditionalFormatting sqref="M35">
    <cfRule type="expression" dxfId="98" priority="97">
      <formula>M25&lt;&gt;Q25</formula>
    </cfRule>
  </conditionalFormatting>
  <conditionalFormatting sqref="M36">
    <cfRule type="expression" dxfId="97" priority="96">
      <formula>M25&lt;&gt;Q25</formula>
    </cfRule>
  </conditionalFormatting>
  <conditionalFormatting sqref="M37">
    <cfRule type="expression" dxfId="96" priority="95">
      <formula>M25&lt;&gt;Q25</formula>
    </cfRule>
  </conditionalFormatting>
  <conditionalFormatting sqref="I25">
    <cfRule type="expression" dxfId="95" priority="94">
      <formula>I25&lt;&gt;P25</formula>
    </cfRule>
  </conditionalFormatting>
  <conditionalFormatting sqref="I26">
    <cfRule type="expression" dxfId="94" priority="93">
      <formula>I25&lt;&gt;P25</formula>
    </cfRule>
  </conditionalFormatting>
  <conditionalFormatting sqref="I27">
    <cfRule type="expression" dxfId="93" priority="92">
      <formula>I25&lt;&gt;P25</formula>
    </cfRule>
  </conditionalFormatting>
  <conditionalFormatting sqref="I28">
    <cfRule type="expression" dxfId="92" priority="91">
      <formula>I25&lt;&gt;P25</formula>
    </cfRule>
  </conditionalFormatting>
  <conditionalFormatting sqref="I29">
    <cfRule type="expression" dxfId="91" priority="90">
      <formula>I25&lt;&gt;P25</formula>
    </cfRule>
  </conditionalFormatting>
  <conditionalFormatting sqref="I30">
    <cfRule type="expression" dxfId="90" priority="89">
      <formula>I25&lt;&gt;P25</formula>
    </cfRule>
  </conditionalFormatting>
  <conditionalFormatting sqref="I31">
    <cfRule type="expression" dxfId="89" priority="88">
      <formula>I25&lt;&gt;P25</formula>
    </cfRule>
  </conditionalFormatting>
  <conditionalFormatting sqref="I32">
    <cfRule type="expression" dxfId="88" priority="87">
      <formula>I25&lt;&gt;P25</formula>
    </cfRule>
  </conditionalFormatting>
  <conditionalFormatting sqref="I33">
    <cfRule type="expression" dxfId="87" priority="86">
      <formula>I25&lt;&gt;P25</formula>
    </cfRule>
  </conditionalFormatting>
  <conditionalFormatting sqref="I34">
    <cfRule type="expression" dxfId="86" priority="85">
      <formula>I25&lt;&gt;P25</formula>
    </cfRule>
  </conditionalFormatting>
  <conditionalFormatting sqref="I35">
    <cfRule type="expression" dxfId="85" priority="84">
      <formula>I25&lt;&gt;P25</formula>
    </cfRule>
  </conditionalFormatting>
  <conditionalFormatting sqref="I36">
    <cfRule type="expression" dxfId="84" priority="83">
      <formula>I25&lt;&gt;P25</formula>
    </cfRule>
  </conditionalFormatting>
  <conditionalFormatting sqref="I37">
    <cfRule type="expression" dxfId="83" priority="82">
      <formula>I25&lt;&gt;P25</formula>
    </cfRule>
  </conditionalFormatting>
  <conditionalFormatting sqref="I38">
    <cfRule type="expression" dxfId="82" priority="81">
      <formula>$I$38=$I$39</formula>
    </cfRule>
  </conditionalFormatting>
  <conditionalFormatting sqref="I20">
    <cfRule type="cellIs" dxfId="81" priority="80" operator="lessThan">
      <formula>1</formula>
    </cfRule>
  </conditionalFormatting>
  <conditionalFormatting sqref="M38">
    <cfRule type="expression" dxfId="80" priority="79">
      <formula>$M$38&gt;($J$20-1)</formula>
    </cfRule>
  </conditionalFormatting>
  <conditionalFormatting sqref="D25">
    <cfRule type="expression" dxfId="79" priority="78">
      <formula>$C25&gt;LastDateReport</formula>
    </cfRule>
  </conditionalFormatting>
  <conditionalFormatting sqref="D26">
    <cfRule type="expression" dxfId="78" priority="77">
      <formula>$C25&gt;LastDateReport</formula>
    </cfRule>
  </conditionalFormatting>
  <conditionalFormatting sqref="D27">
    <cfRule type="expression" dxfId="77" priority="76">
      <formula>$C25&gt;LastDateReport</formula>
    </cfRule>
  </conditionalFormatting>
  <conditionalFormatting sqref="D28">
    <cfRule type="expression" dxfId="76" priority="75">
      <formula>$C25&gt;LastDateReport</formula>
    </cfRule>
  </conditionalFormatting>
  <conditionalFormatting sqref="D29">
    <cfRule type="expression" dxfId="75" priority="74">
      <formula>$C25&gt;LastDateReport</formula>
    </cfRule>
  </conditionalFormatting>
  <conditionalFormatting sqref="D30">
    <cfRule type="expression" dxfId="74" priority="73">
      <formula>$C25&gt;LastDateReport</formula>
    </cfRule>
  </conditionalFormatting>
  <conditionalFormatting sqref="D31">
    <cfRule type="expression" dxfId="73" priority="72">
      <formula>$C25&gt;LastDateReport</formula>
    </cfRule>
  </conditionalFormatting>
  <conditionalFormatting sqref="D32">
    <cfRule type="expression" dxfId="72" priority="71">
      <formula>$C25&gt;LastDateReport</formula>
    </cfRule>
  </conditionalFormatting>
  <conditionalFormatting sqref="D33">
    <cfRule type="expression" dxfId="71" priority="70">
      <formula>$C25&gt;LastDateReport</formula>
    </cfRule>
  </conditionalFormatting>
  <conditionalFormatting sqref="D34">
    <cfRule type="expression" dxfId="70" priority="69">
      <formula>$C25&gt;LastDateReport</formula>
    </cfRule>
  </conditionalFormatting>
  <conditionalFormatting sqref="D35">
    <cfRule type="expression" dxfId="69" priority="68">
      <formula>$C25&gt;LastDateReport</formula>
    </cfRule>
  </conditionalFormatting>
  <conditionalFormatting sqref="D36">
    <cfRule type="expression" dxfId="68" priority="67">
      <formula>$C25&gt;LastDateReport</formula>
    </cfRule>
  </conditionalFormatting>
  <conditionalFormatting sqref="D37">
    <cfRule type="expression" dxfId="67" priority="66">
      <formula>$C25&gt;LastDateReport</formula>
    </cfRule>
  </conditionalFormatting>
  <conditionalFormatting sqref="E25">
    <cfRule type="expression" dxfId="66" priority="65">
      <formula>$C25&gt;LastDateReport</formula>
    </cfRule>
  </conditionalFormatting>
  <conditionalFormatting sqref="E26">
    <cfRule type="expression" dxfId="65" priority="64">
      <formula>$C25&gt;LastDateReport</formula>
    </cfRule>
  </conditionalFormatting>
  <conditionalFormatting sqref="E27">
    <cfRule type="expression" dxfId="64" priority="63">
      <formula>$C25&gt;LastDateReport</formula>
    </cfRule>
  </conditionalFormatting>
  <conditionalFormatting sqref="E28">
    <cfRule type="expression" dxfId="63" priority="62">
      <formula>$C25&gt;LastDateReport</formula>
    </cfRule>
  </conditionalFormatting>
  <conditionalFormatting sqref="E29">
    <cfRule type="expression" dxfId="62" priority="61">
      <formula>$C25&gt;LastDateReport</formula>
    </cfRule>
  </conditionalFormatting>
  <conditionalFormatting sqref="E30">
    <cfRule type="expression" dxfId="61" priority="60">
      <formula>$C25&gt;LastDateReport</formula>
    </cfRule>
  </conditionalFormatting>
  <conditionalFormatting sqref="E31">
    <cfRule type="expression" dxfId="60" priority="59">
      <formula>$C25&gt;LastDateReport</formula>
    </cfRule>
  </conditionalFormatting>
  <conditionalFormatting sqref="E32">
    <cfRule type="expression" dxfId="59" priority="58">
      <formula>$C25&gt;LastDateReport</formula>
    </cfRule>
  </conditionalFormatting>
  <conditionalFormatting sqref="E33">
    <cfRule type="expression" dxfId="58" priority="57">
      <formula>$C25&gt;LastDateReport</formula>
    </cfRule>
  </conditionalFormatting>
  <conditionalFormatting sqref="E34">
    <cfRule type="expression" dxfId="57" priority="56">
      <formula>$C25&gt;LastDateReport</formula>
    </cfRule>
  </conditionalFormatting>
  <conditionalFormatting sqref="E35">
    <cfRule type="expression" dxfId="56" priority="55">
      <formula>$C25&gt;LastDateReport</formula>
    </cfRule>
  </conditionalFormatting>
  <conditionalFormatting sqref="E36">
    <cfRule type="expression" dxfId="55" priority="54">
      <formula>$C25&gt;LastDateReport</formula>
    </cfRule>
  </conditionalFormatting>
  <conditionalFormatting sqref="E37">
    <cfRule type="expression" dxfId="54" priority="53">
      <formula>$C25&gt;LastDateReport</formula>
    </cfRule>
  </conditionalFormatting>
  <conditionalFormatting sqref="F25">
    <cfRule type="expression" dxfId="53" priority="52">
      <formula>$C25&gt;LastDateReport</formula>
    </cfRule>
  </conditionalFormatting>
  <conditionalFormatting sqref="F26">
    <cfRule type="expression" dxfId="52" priority="51">
      <formula>$C25&gt;LastDateReport</formula>
    </cfRule>
  </conditionalFormatting>
  <conditionalFormatting sqref="F27">
    <cfRule type="expression" dxfId="51" priority="50">
      <formula>$C25&gt;LastDateReport</formula>
    </cfRule>
  </conditionalFormatting>
  <conditionalFormatting sqref="F28">
    <cfRule type="expression" dxfId="50" priority="49">
      <formula>$C25&gt;LastDateReport</formula>
    </cfRule>
  </conditionalFormatting>
  <conditionalFormatting sqref="F29">
    <cfRule type="expression" dxfId="49" priority="48">
      <formula>$C25&gt;LastDateReport</formula>
    </cfRule>
  </conditionalFormatting>
  <conditionalFormatting sqref="F30">
    <cfRule type="expression" dxfId="48" priority="47">
      <formula>$C25&gt;LastDateReport</formula>
    </cfRule>
  </conditionalFormatting>
  <conditionalFormatting sqref="F31">
    <cfRule type="expression" dxfId="47" priority="46">
      <formula>$C25&gt;LastDateReport</formula>
    </cfRule>
  </conditionalFormatting>
  <conditionalFormatting sqref="F32">
    <cfRule type="expression" dxfId="46" priority="45">
      <formula>$C25&gt;LastDateReport</formula>
    </cfRule>
  </conditionalFormatting>
  <conditionalFormatting sqref="F33">
    <cfRule type="expression" dxfId="45" priority="44">
      <formula>$C25&gt;LastDateReport</formula>
    </cfRule>
  </conditionalFormatting>
  <conditionalFormatting sqref="F34">
    <cfRule type="expression" dxfId="44" priority="43">
      <formula>$C25&gt;LastDateReport</formula>
    </cfRule>
  </conditionalFormatting>
  <conditionalFormatting sqref="F35">
    <cfRule type="expression" dxfId="43" priority="42">
      <formula>$C25&gt;LastDateReport</formula>
    </cfRule>
  </conditionalFormatting>
  <conditionalFormatting sqref="F36">
    <cfRule type="expression" dxfId="42" priority="41">
      <formula>$C25&gt;LastDateReport</formula>
    </cfRule>
  </conditionalFormatting>
  <conditionalFormatting sqref="F37">
    <cfRule type="expression" dxfId="41" priority="40">
      <formula>$C25&gt;LastDateReport</formula>
    </cfRule>
  </conditionalFormatting>
  <conditionalFormatting sqref="G25">
    <cfRule type="expression" dxfId="40" priority="39">
      <formula>$C25&gt;LastDateReport</formula>
    </cfRule>
  </conditionalFormatting>
  <conditionalFormatting sqref="G26">
    <cfRule type="expression" dxfId="39" priority="38">
      <formula>$C25&gt;LastDateReport</formula>
    </cfRule>
  </conditionalFormatting>
  <conditionalFormatting sqref="G27">
    <cfRule type="expression" dxfId="38" priority="37">
      <formula>$C25&gt;LastDateReport</formula>
    </cfRule>
  </conditionalFormatting>
  <conditionalFormatting sqref="G28">
    <cfRule type="expression" dxfId="37" priority="36">
      <formula>$C25&gt;LastDateReport</formula>
    </cfRule>
  </conditionalFormatting>
  <conditionalFormatting sqref="G29">
    <cfRule type="expression" dxfId="36" priority="35">
      <formula>$C25&gt;LastDateReport</formula>
    </cfRule>
  </conditionalFormatting>
  <conditionalFormatting sqref="G30">
    <cfRule type="expression" dxfId="35" priority="34">
      <formula>$C25&gt;LastDateReport</formula>
    </cfRule>
  </conditionalFormatting>
  <conditionalFormatting sqref="G31">
    <cfRule type="expression" dxfId="34" priority="33">
      <formula>$C25&gt;LastDateReport</formula>
    </cfRule>
  </conditionalFormatting>
  <conditionalFormatting sqref="G32">
    <cfRule type="expression" dxfId="33" priority="32">
      <formula>$C25&gt;LastDateReport</formula>
    </cfRule>
  </conditionalFormatting>
  <conditionalFormatting sqref="G33">
    <cfRule type="expression" dxfId="32" priority="31">
      <formula>$C25&gt;LastDateReport</formula>
    </cfRule>
  </conditionalFormatting>
  <conditionalFormatting sqref="G34">
    <cfRule type="expression" dxfId="31" priority="30">
      <formula>$C25&gt;LastDateReport</formula>
    </cfRule>
  </conditionalFormatting>
  <conditionalFormatting sqref="G35">
    <cfRule type="expression" dxfId="30" priority="29">
      <formula>$C25&gt;LastDateReport</formula>
    </cfRule>
  </conditionalFormatting>
  <conditionalFormatting sqref="G36">
    <cfRule type="expression" dxfId="29" priority="28">
      <formula>$C25&gt;LastDateReport</formula>
    </cfRule>
  </conditionalFormatting>
  <conditionalFormatting sqref="G37">
    <cfRule type="expression" dxfId="28" priority="27">
      <formula>$C25&gt;LastDateReport</formula>
    </cfRule>
  </conditionalFormatting>
  <conditionalFormatting sqref="J25">
    <cfRule type="expression" dxfId="27" priority="26">
      <formula>$C25&gt;LastDateReport</formula>
    </cfRule>
  </conditionalFormatting>
  <conditionalFormatting sqref="J26">
    <cfRule type="expression" dxfId="26" priority="25">
      <formula>$C25&gt;LastDateReport</formula>
    </cfRule>
  </conditionalFormatting>
  <conditionalFormatting sqref="J27">
    <cfRule type="expression" dxfId="25" priority="24">
      <formula>$C25&gt;LastDateReport</formula>
    </cfRule>
  </conditionalFormatting>
  <conditionalFormatting sqref="J28">
    <cfRule type="expression" dxfId="24" priority="23">
      <formula>$C25&gt;LastDateReport</formula>
    </cfRule>
  </conditionalFormatting>
  <conditionalFormatting sqref="J29">
    <cfRule type="expression" dxfId="23" priority="22">
      <formula>$C25&gt;LastDateReport</formula>
    </cfRule>
  </conditionalFormatting>
  <conditionalFormatting sqref="J30">
    <cfRule type="expression" dxfId="22" priority="21">
      <formula>$C25&gt;LastDateReport</formula>
    </cfRule>
  </conditionalFormatting>
  <conditionalFormatting sqref="J31">
    <cfRule type="expression" dxfId="21" priority="20">
      <formula>$C25&gt;LastDateReport</formula>
    </cfRule>
  </conditionalFormatting>
  <conditionalFormatting sqref="J32">
    <cfRule type="expression" dxfId="20" priority="19">
      <formula>$C25&gt;LastDateReport</formula>
    </cfRule>
  </conditionalFormatting>
  <conditionalFormatting sqref="J33">
    <cfRule type="expression" dxfId="19" priority="18">
      <formula>$C25&gt;LastDateReport</formula>
    </cfRule>
  </conditionalFormatting>
  <conditionalFormatting sqref="J34">
    <cfRule type="expression" dxfId="18" priority="17">
      <formula>$C25&gt;LastDateReport</formula>
    </cfRule>
  </conditionalFormatting>
  <conditionalFormatting sqref="J35">
    <cfRule type="expression" dxfId="17" priority="16">
      <formula>$C25&gt;LastDateReport</formula>
    </cfRule>
  </conditionalFormatting>
  <conditionalFormatting sqref="J36">
    <cfRule type="expression" dxfId="16" priority="15">
      <formula>$C25&gt;LastDateReport</formula>
    </cfRule>
  </conditionalFormatting>
  <conditionalFormatting sqref="J37">
    <cfRule type="expression" dxfId="15" priority="14">
      <formula>$C25&gt;LastDateReport</formula>
    </cfRule>
  </conditionalFormatting>
  <conditionalFormatting sqref="K25">
    <cfRule type="expression" dxfId="14" priority="13">
      <formula>$C25&gt;LastDateReport</formula>
    </cfRule>
  </conditionalFormatting>
  <conditionalFormatting sqref="K26">
    <cfRule type="expression" dxfId="13" priority="12">
      <formula>$C25&gt;LastDateReport</formula>
    </cfRule>
  </conditionalFormatting>
  <conditionalFormatting sqref="K27">
    <cfRule type="expression" dxfId="12" priority="11">
      <formula>$C25&gt;LastDateReport</formula>
    </cfRule>
  </conditionalFormatting>
  <conditionalFormatting sqref="K28">
    <cfRule type="expression" dxfId="11" priority="10">
      <formula>$C25&gt;LastDateReport</formula>
    </cfRule>
  </conditionalFormatting>
  <conditionalFormatting sqref="K29">
    <cfRule type="expression" dxfId="10" priority="9">
      <formula>$C25&gt;LastDateReport</formula>
    </cfRule>
  </conditionalFormatting>
  <conditionalFormatting sqref="K30">
    <cfRule type="expression" dxfId="9" priority="8">
      <formula>$C25&gt;LastDateReport</formula>
    </cfRule>
  </conditionalFormatting>
  <conditionalFormatting sqref="K31">
    <cfRule type="expression" dxfId="8" priority="7">
      <formula>$C25&gt;LastDateReport</formula>
    </cfRule>
  </conditionalFormatting>
  <conditionalFormatting sqref="K32">
    <cfRule type="expression" dxfId="7" priority="6">
      <formula>$C25&gt;LastDateReport</formula>
    </cfRule>
  </conditionalFormatting>
  <conditionalFormatting sqref="K33">
    <cfRule type="expression" dxfId="6" priority="5">
      <formula>$C25&gt;LastDateReport</formula>
    </cfRule>
  </conditionalFormatting>
  <conditionalFormatting sqref="K34">
    <cfRule type="expression" dxfId="5" priority="4">
      <formula>$C25&gt;LastDateReport</formula>
    </cfRule>
  </conditionalFormatting>
  <conditionalFormatting sqref="K35">
    <cfRule type="expression" dxfId="4" priority="3">
      <formula>$C25&gt;LastDateReport</formula>
    </cfRule>
  </conditionalFormatting>
  <conditionalFormatting sqref="K36">
    <cfRule type="expression" dxfId="3" priority="2">
      <formula>$C25&gt;LastDateReport</formula>
    </cfRule>
  </conditionalFormatting>
  <conditionalFormatting sqref="K37">
    <cfRule type="expression" dxfId="2" priority="1">
      <formula>$C25&gt;LastDateReport</formula>
    </cfRule>
  </conditionalFormatting>
  <dataValidations disablePrompts="1" count="4">
    <dataValidation type="decimal" allowBlank="1" showErrorMessage="1" errorTitle="AMOUNT ERROR" error="The amount entered must be positive (no negative numbers), and must not be greater than the total EIF allocated to the project." sqref="E25:G37">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5:I37">
      <formula1>0</formula1>
      <formula2>TOTALEIF</formula2>
    </dataValidation>
    <dataValidation allowBlank="1"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dataValidation type="decimal" allowBlank="1" showErrorMessage="1" errorTitle="AMOUNT ERROR" error="Amount entered must be positive (no negative numbers.) No single amount can be greater than the Total EIF allocated to the project." sqref="J25:K37">
      <formula1>0</formula1>
      <formula2>TOTALEIF</formula2>
    </dataValidation>
  </dataValidations>
  <hyperlinks>
    <hyperlink ref="B1" location="'1.Header'!A1" display="1.Header"/>
    <hyperlink ref="B2" location="'2.Milestones'!MILESTONESTART" display="2.Deliverables"/>
    <hyperlink ref="B3" location="'2.Milestones'!ISSUESTART" display="3.Issues"/>
    <hyperlink ref="B4" location="'4.Risks'!RISKSTART" display="4.Risks"/>
    <hyperlink ref="B5" location="'5.Changes'!CHANGESTART" display="5.Changes"/>
    <hyperlink ref="B6" location="'6.Dependencies'!DEPENDENCYSTART" display="6.Dependencies"/>
    <hyperlink ref="B7" location="'7.Measures'!MEASURESTART" display="7.Measures"/>
    <hyperlink ref="B8" location="'8.Communications'!COMMUNICATIONSTART" display="8.Communications"/>
    <hyperlink ref="B9" location="'9.Finance'!FINANCESTART" display="9.Finance"/>
  </hyperlinks>
  <pageMargins left="0.23622047244094491" right="0.23622047244094491" top="0.74803149606299213" bottom="0.74803149606299213" header="0.31496062992125978" footer="0.31496062992125978"/>
  <pageSetup paperSize="9" scale="70" orientation="landscape" r:id="rId1"/>
  <headerFooter>
    <oddHeader>&amp;F</oddHeader>
  </headerFooter>
  <legacyDrawing r:id="rId2"/>
</worksheet>
</file>

<file path=xl/worksheets/sheet2.xml><?xml version="1.0" encoding="utf-8"?>
<worksheet xmlns="http://schemas.openxmlformats.org/spreadsheetml/2006/main" xmlns:r="http://schemas.openxmlformats.org/officeDocument/2006/relationships">
  <dimension ref="A1:T29"/>
  <sheetViews>
    <sheetView tabSelected="1" topLeftCell="A2" workbookViewId="0">
      <selection activeCell="K28" sqref="K28"/>
    </sheetView>
  </sheetViews>
  <sheetFormatPr defaultRowHeight="15"/>
  <cols>
    <col min="1" max="1" width="45.5703125" customWidth="1"/>
    <col min="4" max="4" width="11.42578125" customWidth="1"/>
    <col min="5" max="5" width="11.5703125" customWidth="1"/>
    <col min="7" max="7" width="11.5703125" customWidth="1"/>
    <col min="8" max="8" width="10.5703125" bestFit="1" customWidth="1"/>
    <col min="9" max="9" width="9.85546875" bestFit="1" customWidth="1"/>
    <col min="11" max="11" width="12.140625" customWidth="1"/>
    <col min="12" max="12" width="11.140625" customWidth="1"/>
    <col min="15" max="15" width="11.140625" customWidth="1"/>
    <col min="18" max="18" width="11.140625" customWidth="1"/>
  </cols>
  <sheetData>
    <row r="1" spans="1:20" ht="61.5" thickBot="1">
      <c r="A1" s="1" t="s">
        <v>0</v>
      </c>
      <c r="B1" s="2" t="s">
        <v>1</v>
      </c>
      <c r="C1" s="2" t="s">
        <v>2</v>
      </c>
      <c r="D1" s="2" t="s">
        <v>3</v>
      </c>
      <c r="E1" s="2" t="s">
        <v>4</v>
      </c>
      <c r="G1" s="165" t="s">
        <v>25</v>
      </c>
      <c r="H1" s="165"/>
      <c r="I1" s="22"/>
      <c r="J1" s="165" t="s">
        <v>26</v>
      </c>
      <c r="K1" s="165"/>
      <c r="L1" s="22"/>
      <c r="M1" s="165" t="s">
        <v>27</v>
      </c>
      <c r="N1" s="165"/>
      <c r="O1" s="22"/>
      <c r="P1" s="165" t="s">
        <v>28</v>
      </c>
      <c r="Q1" s="165"/>
      <c r="R1" s="22"/>
      <c r="S1" s="165" t="s">
        <v>29</v>
      </c>
      <c r="T1" s="165"/>
    </row>
    <row r="2" spans="1:20" ht="15.75" thickBot="1">
      <c r="A2" s="3" t="s">
        <v>5</v>
      </c>
      <c r="B2" s="4"/>
      <c r="C2" s="6">
        <v>40939</v>
      </c>
      <c r="D2" s="7"/>
      <c r="E2" s="7"/>
      <c r="F2" s="5">
        <v>41244</v>
      </c>
      <c r="I2" s="5">
        <v>41364</v>
      </c>
      <c r="L2" s="5">
        <v>41455</v>
      </c>
      <c r="O2" s="5">
        <v>41547</v>
      </c>
      <c r="R2" s="5">
        <v>41639</v>
      </c>
    </row>
    <row r="3" spans="1:20" ht="15.75" thickBot="1">
      <c r="A3" s="8" t="s">
        <v>6</v>
      </c>
      <c r="B3" s="9"/>
      <c r="C3" s="10">
        <v>40999</v>
      </c>
      <c r="D3" s="12">
        <v>55000</v>
      </c>
      <c r="E3" s="13"/>
      <c r="G3" t="s">
        <v>31</v>
      </c>
      <c r="H3" t="s">
        <v>32</v>
      </c>
      <c r="J3" t="s">
        <v>31</v>
      </c>
      <c r="K3" t="s">
        <v>32</v>
      </c>
      <c r="M3" t="s">
        <v>31</v>
      </c>
      <c r="N3" t="s">
        <v>32</v>
      </c>
      <c r="P3" t="s">
        <v>31</v>
      </c>
      <c r="Q3" t="s">
        <v>32</v>
      </c>
      <c r="S3" t="s">
        <v>31</v>
      </c>
      <c r="T3" t="s">
        <v>32</v>
      </c>
    </row>
    <row r="4" spans="1:20" ht="15.75" thickBot="1">
      <c r="A4" s="3" t="s">
        <v>7</v>
      </c>
      <c r="B4" s="6">
        <v>40969</v>
      </c>
      <c r="C4" s="6">
        <v>40983</v>
      </c>
      <c r="D4" s="14">
        <v>6944</v>
      </c>
      <c r="E4" s="14">
        <v>406</v>
      </c>
      <c r="F4" s="21">
        <v>1</v>
      </c>
      <c r="G4" s="11">
        <f>$F4*D4</f>
        <v>6944</v>
      </c>
      <c r="H4" s="11">
        <f>$F4*E4</f>
        <v>406</v>
      </c>
      <c r="I4" s="21">
        <v>1</v>
      </c>
      <c r="J4" s="11">
        <f>($I4-$F4)*D4</f>
        <v>0</v>
      </c>
      <c r="K4" s="11">
        <f>($I4-$F4)*E4</f>
        <v>0</v>
      </c>
      <c r="L4" s="21">
        <v>1</v>
      </c>
      <c r="M4" s="11">
        <f>($L4-$I4)*D4</f>
        <v>0</v>
      </c>
      <c r="N4" s="11">
        <f t="shared" ref="N4:N12" si="0">($L4-$I4)*E4</f>
        <v>0</v>
      </c>
      <c r="O4" s="21">
        <v>1</v>
      </c>
      <c r="P4" s="11">
        <f>($O4-$L4)*D4</f>
        <v>0</v>
      </c>
      <c r="Q4" s="11">
        <f>($O4-$L4)*E4</f>
        <v>0</v>
      </c>
      <c r="R4" s="21">
        <v>1</v>
      </c>
      <c r="S4" s="11">
        <f>($R4-$O4)*D4</f>
        <v>0</v>
      </c>
      <c r="T4" s="11">
        <f>($R4-$O4)*E4</f>
        <v>0</v>
      </c>
    </row>
    <row r="5" spans="1:20" ht="15.75" thickBot="1">
      <c r="A5" s="8" t="s">
        <v>8</v>
      </c>
      <c r="B5" s="9"/>
      <c r="C5" s="10">
        <v>40999</v>
      </c>
      <c r="D5" s="12">
        <v>55000</v>
      </c>
      <c r="E5" s="13"/>
      <c r="G5" s="11"/>
      <c r="H5" s="11"/>
      <c r="J5" s="11"/>
      <c r="K5" s="11"/>
      <c r="M5" s="11">
        <f t="shared" ref="M5:M15" si="1">($L5-$I5)*D5</f>
        <v>0</v>
      </c>
      <c r="N5" s="11">
        <f t="shared" si="0"/>
        <v>0</v>
      </c>
      <c r="P5" s="11">
        <f t="shared" ref="P5:P15" si="2">($O5-$L5)*D5</f>
        <v>0</v>
      </c>
      <c r="Q5" s="11">
        <f t="shared" ref="Q5:Q14" si="3">($O5-$L5)*E5</f>
        <v>0</v>
      </c>
      <c r="S5" s="11">
        <f t="shared" ref="S5:S15" si="4">($R5-$O5)*D5</f>
        <v>0</v>
      </c>
      <c r="T5" s="11">
        <f t="shared" ref="T5:T15" si="5">($R5-$O5)*E5</f>
        <v>0</v>
      </c>
    </row>
    <row r="6" spans="1:20" ht="15.75" thickBot="1">
      <c r="A6" s="3" t="s">
        <v>9</v>
      </c>
      <c r="B6" s="6">
        <v>40983</v>
      </c>
      <c r="C6" s="6">
        <v>41029</v>
      </c>
      <c r="D6" s="14">
        <v>20833</v>
      </c>
      <c r="E6" s="14">
        <v>3331</v>
      </c>
      <c r="F6" s="21">
        <v>1</v>
      </c>
      <c r="G6" s="11">
        <f t="shared" ref="G6:G15" si="6">$F6*D6</f>
        <v>20833</v>
      </c>
      <c r="H6" s="11">
        <f t="shared" ref="H6:H15" si="7">$F6*E6</f>
        <v>3331</v>
      </c>
      <c r="I6" s="21">
        <v>1</v>
      </c>
      <c r="J6" s="11">
        <f t="shared" ref="J6:J15" si="8">($I6-$F6)*D6</f>
        <v>0</v>
      </c>
      <c r="K6" s="11">
        <f t="shared" ref="K6:K15" si="9">($I6-$F6)*E6</f>
        <v>0</v>
      </c>
      <c r="L6" s="21">
        <v>1</v>
      </c>
      <c r="M6" s="11">
        <f t="shared" si="1"/>
        <v>0</v>
      </c>
      <c r="N6" s="11">
        <f t="shared" si="0"/>
        <v>0</v>
      </c>
      <c r="O6" s="21">
        <v>1</v>
      </c>
      <c r="P6" s="11">
        <f t="shared" si="2"/>
        <v>0</v>
      </c>
      <c r="Q6" s="11">
        <f t="shared" si="3"/>
        <v>0</v>
      </c>
      <c r="R6" s="21">
        <v>1</v>
      </c>
      <c r="S6" s="11">
        <f t="shared" si="4"/>
        <v>0</v>
      </c>
      <c r="T6" s="11">
        <f t="shared" si="5"/>
        <v>0</v>
      </c>
    </row>
    <row r="7" spans="1:20" ht="15.75" thickBot="1">
      <c r="A7" s="3" t="s">
        <v>10</v>
      </c>
      <c r="B7" s="6">
        <v>40969</v>
      </c>
      <c r="C7" s="6">
        <v>41090</v>
      </c>
      <c r="D7" s="14">
        <v>14605</v>
      </c>
      <c r="E7" s="14">
        <v>40163</v>
      </c>
      <c r="F7" s="21">
        <v>1</v>
      </c>
      <c r="G7" s="11">
        <f t="shared" si="6"/>
        <v>14605</v>
      </c>
      <c r="H7" s="11">
        <f t="shared" si="7"/>
        <v>40163</v>
      </c>
      <c r="I7" s="21">
        <v>1</v>
      </c>
      <c r="J7" s="11">
        <f t="shared" si="8"/>
        <v>0</v>
      </c>
      <c r="K7" s="11">
        <f t="shared" si="9"/>
        <v>0</v>
      </c>
      <c r="L7" s="21">
        <v>1</v>
      </c>
      <c r="M7" s="11">
        <f t="shared" si="1"/>
        <v>0</v>
      </c>
      <c r="N7" s="11">
        <f t="shared" si="0"/>
        <v>0</v>
      </c>
      <c r="O7" s="21">
        <v>1</v>
      </c>
      <c r="P7" s="11">
        <f t="shared" si="2"/>
        <v>0</v>
      </c>
      <c r="Q7" s="11">
        <f t="shared" si="3"/>
        <v>0</v>
      </c>
      <c r="R7" s="21">
        <v>1</v>
      </c>
      <c r="S7" s="11">
        <f t="shared" si="4"/>
        <v>0</v>
      </c>
      <c r="T7" s="11">
        <f t="shared" si="5"/>
        <v>0</v>
      </c>
    </row>
    <row r="8" spans="1:20" ht="15.75" thickBot="1">
      <c r="A8" s="3" t="s">
        <v>11</v>
      </c>
      <c r="B8" s="6">
        <v>40969</v>
      </c>
      <c r="C8" s="6">
        <v>41090</v>
      </c>
      <c r="D8" s="14">
        <v>46911</v>
      </c>
      <c r="E8" s="14">
        <v>9462</v>
      </c>
      <c r="F8" s="21">
        <v>0.75</v>
      </c>
      <c r="G8" s="11">
        <f t="shared" si="6"/>
        <v>35183.25</v>
      </c>
      <c r="H8" s="11">
        <f t="shared" si="7"/>
        <v>7096.5</v>
      </c>
      <c r="I8" s="23">
        <v>1</v>
      </c>
      <c r="J8" s="11">
        <f t="shared" si="8"/>
        <v>11727.75</v>
      </c>
      <c r="K8" s="11">
        <f t="shared" si="9"/>
        <v>2365.5</v>
      </c>
      <c r="L8" s="23">
        <v>1</v>
      </c>
      <c r="M8" s="11">
        <f t="shared" si="1"/>
        <v>0</v>
      </c>
      <c r="N8" s="11">
        <f t="shared" si="0"/>
        <v>0</v>
      </c>
      <c r="O8" s="23">
        <v>1</v>
      </c>
      <c r="P8" s="11">
        <f t="shared" si="2"/>
        <v>0</v>
      </c>
      <c r="Q8" s="11">
        <f t="shared" si="3"/>
        <v>0</v>
      </c>
      <c r="R8" s="23">
        <v>1</v>
      </c>
      <c r="S8" s="11">
        <f t="shared" si="4"/>
        <v>0</v>
      </c>
      <c r="T8" s="11">
        <f t="shared" si="5"/>
        <v>0</v>
      </c>
    </row>
    <row r="9" spans="1:20" ht="15.75" thickBot="1">
      <c r="A9" s="8" t="s">
        <v>12</v>
      </c>
      <c r="B9" s="9"/>
      <c r="C9" s="10">
        <v>41090</v>
      </c>
      <c r="D9" s="12">
        <v>55000</v>
      </c>
      <c r="E9" s="13"/>
      <c r="G9" s="11"/>
      <c r="H9" s="11"/>
      <c r="J9" s="11"/>
      <c r="K9" s="11"/>
      <c r="M9" s="11">
        <f t="shared" si="1"/>
        <v>0</v>
      </c>
      <c r="N9" s="11">
        <f t="shared" si="0"/>
        <v>0</v>
      </c>
      <c r="P9" s="11">
        <f t="shared" si="2"/>
        <v>0</v>
      </c>
      <c r="Q9" s="11">
        <f t="shared" si="3"/>
        <v>0</v>
      </c>
      <c r="S9" s="11">
        <f t="shared" si="4"/>
        <v>0</v>
      </c>
      <c r="T9" s="11">
        <f t="shared" si="5"/>
        <v>0</v>
      </c>
    </row>
    <row r="10" spans="1:20" ht="15.75" thickBot="1">
      <c r="A10" s="3" t="s">
        <v>13</v>
      </c>
      <c r="B10" s="6">
        <v>41075</v>
      </c>
      <c r="C10" s="6">
        <v>41136</v>
      </c>
      <c r="D10" s="14">
        <v>26680</v>
      </c>
      <c r="E10" s="14">
        <v>1420</v>
      </c>
      <c r="F10" s="21">
        <v>0.5</v>
      </c>
      <c r="G10" s="11">
        <f t="shared" si="6"/>
        <v>13340</v>
      </c>
      <c r="H10" s="11">
        <f t="shared" si="7"/>
        <v>710</v>
      </c>
      <c r="I10" s="23">
        <v>0.75</v>
      </c>
      <c r="J10" s="11">
        <f t="shared" si="8"/>
        <v>6670</v>
      </c>
      <c r="K10" s="11">
        <f t="shared" si="9"/>
        <v>355</v>
      </c>
      <c r="L10" s="24">
        <v>1</v>
      </c>
      <c r="M10" s="11">
        <f t="shared" si="1"/>
        <v>6670</v>
      </c>
      <c r="N10" s="11">
        <f t="shared" si="0"/>
        <v>355</v>
      </c>
      <c r="O10" s="24">
        <v>1</v>
      </c>
      <c r="P10" s="11">
        <f t="shared" si="2"/>
        <v>0</v>
      </c>
      <c r="Q10" s="11">
        <f t="shared" si="3"/>
        <v>0</v>
      </c>
      <c r="R10" s="24">
        <v>1</v>
      </c>
      <c r="S10" s="11">
        <f t="shared" si="4"/>
        <v>0</v>
      </c>
      <c r="T10" s="11">
        <f t="shared" si="5"/>
        <v>0</v>
      </c>
    </row>
    <row r="11" spans="1:20" ht="15.75" thickBot="1">
      <c r="A11" s="3" t="s">
        <v>14</v>
      </c>
      <c r="B11" s="6">
        <v>41030</v>
      </c>
      <c r="C11" s="6">
        <v>41151</v>
      </c>
      <c r="D11" s="14">
        <v>58800</v>
      </c>
      <c r="E11" s="14">
        <v>11645</v>
      </c>
      <c r="F11" s="21">
        <v>0.25</v>
      </c>
      <c r="G11" s="11">
        <f t="shared" si="6"/>
        <v>14700</v>
      </c>
      <c r="H11" s="11">
        <f t="shared" si="7"/>
        <v>2911.25</v>
      </c>
      <c r="I11" s="21">
        <v>0.25</v>
      </c>
      <c r="J11" s="11">
        <f t="shared" si="8"/>
        <v>0</v>
      </c>
      <c r="K11" s="11">
        <f t="shared" si="9"/>
        <v>0</v>
      </c>
      <c r="L11" s="24">
        <v>1</v>
      </c>
      <c r="M11" s="11">
        <f t="shared" si="1"/>
        <v>44100</v>
      </c>
      <c r="N11" s="11">
        <f t="shared" si="0"/>
        <v>8733.75</v>
      </c>
      <c r="O11" s="24">
        <v>1</v>
      </c>
      <c r="P11" s="11">
        <f t="shared" si="2"/>
        <v>0</v>
      </c>
      <c r="Q11" s="11">
        <f t="shared" si="3"/>
        <v>0</v>
      </c>
      <c r="R11" s="24">
        <v>1</v>
      </c>
      <c r="S11" s="11">
        <f t="shared" si="4"/>
        <v>0</v>
      </c>
      <c r="T11" s="11">
        <f t="shared" si="5"/>
        <v>0</v>
      </c>
    </row>
    <row r="12" spans="1:20" ht="15.75" thickBot="1">
      <c r="A12" s="8" t="s">
        <v>15</v>
      </c>
      <c r="B12" s="9"/>
      <c r="C12" s="10">
        <v>41182</v>
      </c>
      <c r="D12" s="12">
        <v>55000</v>
      </c>
      <c r="E12" s="15"/>
      <c r="G12" s="11"/>
      <c r="H12" s="11"/>
      <c r="J12" s="11"/>
      <c r="K12" s="11"/>
      <c r="M12" s="11">
        <f t="shared" si="1"/>
        <v>0</v>
      </c>
      <c r="N12" s="11">
        <f t="shared" si="0"/>
        <v>0</v>
      </c>
      <c r="P12" s="11">
        <f t="shared" si="2"/>
        <v>0</v>
      </c>
      <c r="Q12" s="11">
        <f t="shared" si="3"/>
        <v>0</v>
      </c>
      <c r="S12" s="11">
        <f t="shared" si="4"/>
        <v>0</v>
      </c>
      <c r="T12" s="11">
        <f t="shared" si="5"/>
        <v>0</v>
      </c>
    </row>
    <row r="13" spans="1:20" ht="15.75" thickBot="1">
      <c r="A13" s="3" t="s">
        <v>16</v>
      </c>
      <c r="B13" s="6">
        <v>41153</v>
      </c>
      <c r="C13" s="6">
        <v>41243</v>
      </c>
      <c r="D13" s="14">
        <v>37485</v>
      </c>
      <c r="E13" s="14">
        <v>7424</v>
      </c>
      <c r="F13" s="21">
        <v>0.25</v>
      </c>
      <c r="G13" s="11">
        <f t="shared" si="6"/>
        <v>9371.25</v>
      </c>
      <c r="H13" s="11">
        <f t="shared" si="7"/>
        <v>1856</v>
      </c>
      <c r="I13" s="23">
        <v>0.5</v>
      </c>
      <c r="J13" s="11">
        <f t="shared" si="8"/>
        <v>9371.25</v>
      </c>
      <c r="K13" s="11">
        <f t="shared" si="9"/>
        <v>1856</v>
      </c>
      <c r="L13" s="23">
        <v>0.75</v>
      </c>
      <c r="M13" s="11">
        <f t="shared" si="1"/>
        <v>9371.25</v>
      </c>
      <c r="N13" s="11">
        <f>($L13-$I13)*E13</f>
        <v>1856</v>
      </c>
      <c r="O13" s="24">
        <v>1</v>
      </c>
      <c r="P13" s="11">
        <f t="shared" si="2"/>
        <v>9371.25</v>
      </c>
      <c r="Q13" s="11">
        <f>($O13-$L13)*E13</f>
        <v>1856</v>
      </c>
      <c r="R13" s="24">
        <v>1</v>
      </c>
      <c r="S13" s="11">
        <f t="shared" si="4"/>
        <v>0</v>
      </c>
      <c r="T13" s="11">
        <f t="shared" si="5"/>
        <v>0</v>
      </c>
    </row>
    <row r="14" spans="1:20" ht="15.75" thickBot="1">
      <c r="A14" s="3" t="s">
        <v>17</v>
      </c>
      <c r="B14" s="6">
        <v>41091</v>
      </c>
      <c r="C14" s="6">
        <v>41243</v>
      </c>
      <c r="D14" s="14">
        <v>9736</v>
      </c>
      <c r="E14" s="14">
        <v>21334</v>
      </c>
      <c r="F14" s="21">
        <v>0.75</v>
      </c>
      <c r="G14" s="11">
        <f t="shared" si="6"/>
        <v>7302</v>
      </c>
      <c r="H14" s="11">
        <f t="shared" si="7"/>
        <v>16000.5</v>
      </c>
      <c r="I14" s="23">
        <v>1</v>
      </c>
      <c r="J14" s="11">
        <f t="shared" si="8"/>
        <v>2434</v>
      </c>
      <c r="K14" s="11">
        <f>($I14-$F14)*E14</f>
        <v>5333.5</v>
      </c>
      <c r="L14" s="23">
        <v>1</v>
      </c>
      <c r="M14" s="11">
        <f t="shared" si="1"/>
        <v>0</v>
      </c>
      <c r="N14" s="11">
        <f t="shared" ref="N14:N15" si="10">($L14-$I14)*E14</f>
        <v>0</v>
      </c>
      <c r="O14" s="23">
        <v>1</v>
      </c>
      <c r="P14" s="11">
        <f t="shared" si="2"/>
        <v>0</v>
      </c>
      <c r="Q14" s="11">
        <f t="shared" si="3"/>
        <v>0</v>
      </c>
      <c r="R14" s="23">
        <v>1</v>
      </c>
      <c r="S14" s="11">
        <f t="shared" si="4"/>
        <v>0</v>
      </c>
      <c r="T14" s="11">
        <f t="shared" si="5"/>
        <v>0</v>
      </c>
    </row>
    <row r="15" spans="1:20" ht="15.75" thickBot="1">
      <c r="A15" s="3" t="s">
        <v>18</v>
      </c>
      <c r="B15" s="6">
        <v>41136</v>
      </c>
      <c r="C15" s="6">
        <v>41274</v>
      </c>
      <c r="D15" s="14">
        <v>68605</v>
      </c>
      <c r="E15" s="14">
        <v>19708</v>
      </c>
      <c r="F15" s="21">
        <v>0</v>
      </c>
      <c r="G15" s="11">
        <f t="shared" si="6"/>
        <v>0</v>
      </c>
      <c r="H15" s="11">
        <f t="shared" si="7"/>
        <v>0</v>
      </c>
      <c r="I15" s="21">
        <v>0</v>
      </c>
      <c r="J15" s="11">
        <f t="shared" si="8"/>
        <v>0</v>
      </c>
      <c r="K15" s="11">
        <f t="shared" si="9"/>
        <v>0</v>
      </c>
      <c r="L15" s="21">
        <v>0</v>
      </c>
      <c r="M15" s="11">
        <f t="shared" si="1"/>
        <v>0</v>
      </c>
      <c r="N15" s="11">
        <f t="shared" si="10"/>
        <v>0</v>
      </c>
      <c r="O15" s="23">
        <v>0.75</v>
      </c>
      <c r="P15" s="11">
        <f t="shared" si="2"/>
        <v>51453.75</v>
      </c>
      <c r="Q15" s="11">
        <f>($O15-$L15)*E15</f>
        <v>14781</v>
      </c>
      <c r="R15" s="23">
        <v>1</v>
      </c>
      <c r="S15" s="11">
        <f t="shared" si="4"/>
        <v>17151.25</v>
      </c>
      <c r="T15" s="11">
        <f t="shared" si="5"/>
        <v>4927</v>
      </c>
    </row>
    <row r="16" spans="1:20" ht="15.75" thickBot="1">
      <c r="A16" s="8" t="s">
        <v>19</v>
      </c>
      <c r="B16" s="9"/>
      <c r="C16" s="10">
        <v>41274</v>
      </c>
      <c r="D16" s="12">
        <v>55000</v>
      </c>
      <c r="E16" s="15"/>
      <c r="S16" t="s">
        <v>33</v>
      </c>
    </row>
    <row r="17" spans="1:20" ht="15.75" thickBot="1">
      <c r="A17" s="8" t="s">
        <v>20</v>
      </c>
      <c r="B17" s="16"/>
      <c r="C17" s="10">
        <v>41547</v>
      </c>
      <c r="D17" s="12">
        <v>31000</v>
      </c>
      <c r="E17" s="15"/>
    </row>
    <row r="18" spans="1:20" ht="15.75" thickBot="1">
      <c r="A18" s="3" t="s">
        <v>21</v>
      </c>
      <c r="B18" s="6">
        <v>41275</v>
      </c>
      <c r="C18" s="6">
        <v>41820</v>
      </c>
      <c r="D18" s="17"/>
      <c r="E18" s="14">
        <v>189000</v>
      </c>
    </row>
    <row r="19" spans="1:20" ht="15.75" thickBot="1">
      <c r="A19" s="18" t="s">
        <v>22</v>
      </c>
      <c r="B19" s="17"/>
      <c r="C19" s="17"/>
      <c r="D19" s="17"/>
      <c r="E19" s="19">
        <v>10000</v>
      </c>
      <c r="H19" s="26">
        <v>2364</v>
      </c>
    </row>
    <row r="20" spans="1:20" ht="15.75" thickBot="1">
      <c r="A20" s="18" t="s">
        <v>23</v>
      </c>
      <c r="B20" s="17"/>
      <c r="C20" s="17"/>
      <c r="D20" s="17"/>
      <c r="E20" s="19">
        <v>10000</v>
      </c>
    </row>
    <row r="21" spans="1:20" ht="15.75" thickBot="1">
      <c r="A21" s="3" t="s">
        <v>24</v>
      </c>
      <c r="B21" s="20"/>
      <c r="C21" s="20"/>
      <c r="D21" s="14">
        <v>290598</v>
      </c>
      <c r="E21" s="20"/>
      <c r="G21" s="11">
        <f>SUM(G4:G15)</f>
        <v>122278.5</v>
      </c>
      <c r="H21" s="11">
        <f>SUM(H4:H20)</f>
        <v>74838.25</v>
      </c>
      <c r="I21" s="11"/>
      <c r="J21" s="11">
        <f>SUM(J4:J15)</f>
        <v>30203</v>
      </c>
      <c r="K21" s="11">
        <f>SUM(K4:K15)</f>
        <v>9910</v>
      </c>
      <c r="M21" s="11">
        <f>SUM(M4:M15)</f>
        <v>60141.25</v>
      </c>
      <c r="N21" s="11">
        <f>SUM(N4:N15)</f>
        <v>10944.75</v>
      </c>
      <c r="P21" s="11">
        <f>SUM(P4:P15)</f>
        <v>60825</v>
      </c>
      <c r="Q21" s="11">
        <f>SUM(Q4:Q15)</f>
        <v>16637</v>
      </c>
      <c r="S21" s="11">
        <f>SUM(S4:S15)</f>
        <v>17151.25</v>
      </c>
      <c r="T21" s="11">
        <f>SUM(T4:T15)</f>
        <v>4927</v>
      </c>
    </row>
    <row r="22" spans="1:20">
      <c r="F22" t="s">
        <v>30</v>
      </c>
      <c r="J22" s="11">
        <f>G21+J21</f>
        <v>152481.5</v>
      </c>
      <c r="K22" s="11">
        <f>H21+K21</f>
        <v>84748.25</v>
      </c>
      <c r="M22" s="11">
        <f>M21+J22</f>
        <v>212622.75</v>
      </c>
      <c r="N22" s="11">
        <f>N21+K22</f>
        <v>95693</v>
      </c>
      <c r="P22" s="11">
        <f>P21+M22</f>
        <v>273447.75</v>
      </c>
      <c r="Q22" s="11">
        <f>Q21+N22</f>
        <v>112330</v>
      </c>
      <c r="S22" s="11">
        <f>S21+P22</f>
        <v>290599</v>
      </c>
      <c r="T22" s="11">
        <f>T21+Q22</f>
        <v>117257</v>
      </c>
    </row>
    <row r="23" spans="1:20">
      <c r="F23" t="s">
        <v>98</v>
      </c>
      <c r="H23" s="11">
        <f>G21+H21</f>
        <v>197116.75</v>
      </c>
      <c r="I23" s="11"/>
      <c r="J23" s="11"/>
      <c r="K23" s="11">
        <f>J22+K22</f>
        <v>237229.75</v>
      </c>
      <c r="L23" s="11"/>
      <c r="M23" s="11"/>
      <c r="N23" s="11">
        <f t="shared" ref="L23:T23" si="11">M22+N22</f>
        <v>308315.75</v>
      </c>
      <c r="O23" s="11"/>
      <c r="P23" s="11"/>
      <c r="Q23" s="11">
        <f t="shared" si="11"/>
        <v>385777.75</v>
      </c>
      <c r="R23" s="11"/>
      <c r="S23" s="11"/>
      <c r="T23" s="11">
        <f t="shared" si="11"/>
        <v>407856</v>
      </c>
    </row>
    <row r="24" spans="1:20">
      <c r="E24">
        <f>SUM(E2:E20)</f>
        <v>323893</v>
      </c>
    </row>
    <row r="25" spans="1:20">
      <c r="J25" s="11">
        <v>102617</v>
      </c>
      <c r="K25">
        <v>323892</v>
      </c>
      <c r="L25" s="11">
        <f>K25-J25</f>
        <v>221275</v>
      </c>
      <c r="O25" s="25">
        <f>(K25-(H21+K21+N21+Q21+T21))</f>
        <v>206635</v>
      </c>
      <c r="R25" s="11">
        <f>S21+P21+M21+J21+G21</f>
        <v>290599</v>
      </c>
    </row>
    <row r="26" spans="1:20">
      <c r="L26" s="25">
        <f>L25/2</f>
        <v>110637.5</v>
      </c>
      <c r="O26" s="25">
        <f>O25/2</f>
        <v>103317.5</v>
      </c>
      <c r="S26" s="11"/>
    </row>
    <row r="28" spans="1:20">
      <c r="K28" s="11">
        <f>K23-54768-97714</f>
        <v>84747.75</v>
      </c>
    </row>
    <row r="29" spans="1:20">
      <c r="K29" s="25">
        <f>K28/2</f>
        <v>42373.875</v>
      </c>
    </row>
  </sheetData>
  <mergeCells count="5">
    <mergeCell ref="G1:H1"/>
    <mergeCell ref="J1:K1"/>
    <mergeCell ref="M1:N1"/>
    <mergeCell ref="P1:Q1"/>
    <mergeCell ref="S1:T1"/>
  </mergeCells>
  <conditionalFormatting sqref="H19">
    <cfRule type="expression" dxfId="1" priority="2">
      <formula>$C19&gt;LastDateReport</formula>
    </cfRule>
  </conditionalFormatting>
  <conditionalFormatting sqref="H19">
    <cfRule type="expression" dxfId="0" priority="1">
      <formula>$C19&gt;LastDateReport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Finance 2</vt:lpstr>
      <vt:lpstr>Sheet1</vt:lpstr>
      <vt:lpstr>Sheet2</vt:lpstr>
      <vt:lpstr>Sheet3</vt:lpstr>
      <vt:lpstr>FINANCELIGHT</vt:lpstr>
      <vt:lpstr>FINANCESTART</vt:lpstr>
      <vt:lpstr>LASTQUARTER</vt:lpstr>
      <vt:lpstr>Sheet1!OLE_LINK3</vt:lpstr>
      <vt:lpstr>'Finance 2'!Print_Area</vt:lpstr>
      <vt:lpstr>TOTALEIF</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pwhite</dc:creator>
  <cp:lastModifiedBy>chellis</cp:lastModifiedBy>
  <dcterms:created xsi:type="dcterms:W3CDTF">2013-02-18T02:36:49Z</dcterms:created>
  <dcterms:modified xsi:type="dcterms:W3CDTF">2013-03-28T09:02:22Z</dcterms:modified>
</cp:coreProperties>
</file>