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 activeTab="2"/>
  </bookViews>
  <sheets>
    <sheet name="Chiếu sáng" sheetId="1" r:id="rId1"/>
    <sheet name="Ổ cắm" sheetId="2" r:id="rId2"/>
    <sheet name="tải đọng cơ" sheetId="3" r:id="rId3"/>
    <sheet name="Sheet2" sheetId="4" r:id="rId4"/>
  </sheets>
  <calcPr calcId="162913"/>
</workbook>
</file>

<file path=xl/calcChain.xml><?xml version="1.0" encoding="utf-8"?>
<calcChain xmlns="http://schemas.openxmlformats.org/spreadsheetml/2006/main">
  <c r="T36" i="3" l="1"/>
  <c r="E36" i="3"/>
  <c r="H36" i="3" s="1"/>
  <c r="I36" i="3" s="1"/>
  <c r="K36" i="3" s="1"/>
  <c r="T35" i="3"/>
  <c r="H35" i="3"/>
  <c r="I35" i="3" s="1"/>
  <c r="K35" i="3" s="1"/>
  <c r="T34" i="3"/>
  <c r="H34" i="3"/>
  <c r="I34" i="3" s="1"/>
  <c r="K34" i="3" s="1"/>
  <c r="T32" i="3"/>
  <c r="E32" i="3"/>
  <c r="H32" i="3" s="1"/>
  <c r="I32" i="3" s="1"/>
  <c r="K32" i="3" s="1"/>
  <c r="T31" i="3"/>
  <c r="H31" i="3"/>
  <c r="I31" i="3" s="1"/>
  <c r="K31" i="3" s="1"/>
  <c r="T30" i="3"/>
  <c r="H30" i="3"/>
  <c r="I30" i="3" s="1"/>
  <c r="K30" i="3" s="1"/>
  <c r="T29" i="3"/>
  <c r="H29" i="3"/>
  <c r="I29" i="3" s="1"/>
  <c r="K29" i="3" s="1"/>
  <c r="T27" i="3"/>
  <c r="E27" i="3"/>
  <c r="T26" i="3"/>
  <c r="H26" i="3"/>
  <c r="I26" i="3" s="1"/>
  <c r="K26" i="3" s="1"/>
  <c r="T25" i="3"/>
  <c r="H25" i="3"/>
  <c r="I25" i="3" s="1"/>
  <c r="K25" i="3" s="1"/>
  <c r="T24" i="3"/>
  <c r="H24" i="3"/>
  <c r="I24" i="3" s="1"/>
  <c r="K24" i="3" s="1"/>
  <c r="T22" i="3"/>
  <c r="E22" i="3"/>
  <c r="H22" i="3" s="1"/>
  <c r="I22" i="3" s="1"/>
  <c r="K22" i="3" s="1"/>
  <c r="T21" i="3"/>
  <c r="H21" i="3"/>
  <c r="I21" i="3" s="1"/>
  <c r="K21" i="3" s="1"/>
  <c r="T20" i="3"/>
  <c r="H20" i="3"/>
  <c r="I20" i="3" s="1"/>
  <c r="K20" i="3" s="1"/>
  <c r="T19" i="3"/>
  <c r="H19" i="3"/>
  <c r="I19" i="3" s="1"/>
  <c r="K19" i="3" s="1"/>
  <c r="T18" i="3"/>
  <c r="H18" i="3"/>
  <c r="I18" i="3" s="1"/>
  <c r="K18" i="3" s="1"/>
  <c r="T17" i="3"/>
  <c r="H17" i="3"/>
  <c r="I17" i="3" s="1"/>
  <c r="K17" i="3" s="1"/>
  <c r="T15" i="3"/>
  <c r="E15" i="3"/>
  <c r="T14" i="3"/>
  <c r="H14" i="3"/>
  <c r="I14" i="3" s="1"/>
  <c r="K14" i="3" s="1"/>
  <c r="T13" i="3"/>
  <c r="H13" i="3"/>
  <c r="I13" i="3" s="1"/>
  <c r="K13" i="3" s="1"/>
  <c r="T12" i="3"/>
  <c r="H12" i="3"/>
  <c r="I12" i="3" s="1"/>
  <c r="K12" i="3" s="1"/>
  <c r="T11" i="3"/>
  <c r="H11" i="3"/>
  <c r="I11" i="3" s="1"/>
  <c r="K11" i="3" s="1"/>
  <c r="T10" i="3"/>
  <c r="H10" i="3"/>
  <c r="I10" i="3" s="1"/>
  <c r="K10" i="3" s="1"/>
  <c r="T8" i="3"/>
  <c r="E8" i="3"/>
  <c r="H8" i="3" s="1"/>
  <c r="I8" i="3" s="1"/>
  <c r="K8" i="3" s="1"/>
  <c r="T7" i="3"/>
  <c r="H7" i="3"/>
  <c r="I7" i="3" s="1"/>
  <c r="K7" i="3" s="1"/>
  <c r="T6" i="3"/>
  <c r="H6" i="3"/>
  <c r="I6" i="3" s="1"/>
  <c r="K6" i="3" s="1"/>
  <c r="T5" i="3"/>
  <c r="H5" i="3"/>
  <c r="I5" i="3" s="1"/>
  <c r="K5" i="3" s="1"/>
  <c r="T4" i="3"/>
  <c r="H4" i="3"/>
  <c r="I4" i="3" s="1"/>
  <c r="K4" i="3" s="1"/>
  <c r="H15" i="3" l="1"/>
  <c r="I15" i="3" s="1"/>
  <c r="K15" i="3" s="1"/>
  <c r="H27" i="3"/>
  <c r="I27" i="3" s="1"/>
  <c r="K27" i="3" s="1"/>
  <c r="AC32" i="2" l="1"/>
  <c r="AC31" i="2"/>
  <c r="AC30" i="2"/>
  <c r="AC29" i="2"/>
  <c r="AC28" i="2"/>
  <c r="AC27" i="2"/>
  <c r="AC26" i="2"/>
  <c r="AC6" i="2"/>
  <c r="AC7" i="2"/>
  <c r="AC8" i="2"/>
  <c r="AC9" i="2"/>
  <c r="AC10" i="2"/>
  <c r="AC11" i="2"/>
  <c r="AC12" i="2"/>
  <c r="AC13" i="2"/>
  <c r="AC14" i="2"/>
  <c r="AC5" i="2"/>
  <c r="AH15" i="1" l="1"/>
  <c r="AH16" i="1"/>
  <c r="AH33" i="1"/>
  <c r="AH34" i="1"/>
  <c r="AH38" i="1"/>
  <c r="AH39" i="1"/>
  <c r="C6" i="1"/>
  <c r="X37" i="1" l="1"/>
  <c r="X36" i="1"/>
  <c r="X35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4" i="1"/>
  <c r="X13" i="1"/>
  <c r="X12" i="1"/>
  <c r="X11" i="1"/>
  <c r="X10" i="1"/>
  <c r="X9" i="1"/>
  <c r="X8" i="1"/>
  <c r="X7" i="1"/>
  <c r="X6" i="1"/>
  <c r="C37" i="1" l="1"/>
  <c r="I37" i="1" s="1"/>
  <c r="K37" i="1" s="1"/>
  <c r="N37" i="1" s="1"/>
  <c r="C36" i="1"/>
  <c r="I36" i="1" s="1"/>
  <c r="K36" i="1" s="1"/>
  <c r="N36" i="1" s="1"/>
  <c r="C32" i="1"/>
  <c r="I32" i="1" s="1"/>
  <c r="K32" i="1" s="1"/>
  <c r="N32" i="1" s="1"/>
  <c r="C31" i="1"/>
  <c r="I31" i="1" s="1"/>
  <c r="K31" i="1" s="1"/>
  <c r="N31" i="1" s="1"/>
  <c r="C30" i="1"/>
  <c r="I30" i="1" s="1"/>
  <c r="K30" i="1" s="1"/>
  <c r="N30" i="1" s="1"/>
  <c r="C29" i="1"/>
  <c r="I29" i="1" s="1"/>
  <c r="K29" i="1" s="1"/>
  <c r="N29" i="1" s="1"/>
  <c r="C28" i="1"/>
  <c r="I28" i="1" s="1"/>
  <c r="K28" i="1" s="1"/>
  <c r="N28" i="1" s="1"/>
  <c r="C27" i="1"/>
  <c r="I27" i="1" s="1"/>
  <c r="K27" i="1" s="1"/>
  <c r="N27" i="1" s="1"/>
  <c r="C26" i="1"/>
  <c r="I26" i="1" s="1"/>
  <c r="K26" i="1" s="1"/>
  <c r="N26" i="1" s="1"/>
  <c r="C25" i="1"/>
  <c r="I25" i="1" s="1"/>
  <c r="K25" i="1" s="1"/>
  <c r="N25" i="1" s="1"/>
  <c r="C24" i="1"/>
  <c r="I24" i="1" s="1"/>
  <c r="K24" i="1" s="1"/>
  <c r="N24" i="1" s="1"/>
  <c r="C23" i="1"/>
  <c r="I23" i="1" s="1"/>
  <c r="K23" i="1" s="1"/>
  <c r="N23" i="1" s="1"/>
  <c r="C22" i="1"/>
  <c r="I22" i="1" s="1"/>
  <c r="K22" i="1" s="1"/>
  <c r="N22" i="1" s="1"/>
  <c r="C21" i="1"/>
  <c r="I21" i="1" s="1"/>
  <c r="K21" i="1" s="1"/>
  <c r="N21" i="1" s="1"/>
  <c r="C20" i="1"/>
  <c r="I20" i="1" s="1"/>
  <c r="K20" i="1" s="1"/>
  <c r="N20" i="1" s="1"/>
  <c r="C19" i="1"/>
  <c r="I19" i="1" s="1"/>
  <c r="K19" i="1" s="1"/>
  <c r="N19" i="1" s="1"/>
  <c r="C18" i="1"/>
  <c r="I18" i="1" s="1"/>
  <c r="K18" i="1" s="1"/>
  <c r="N18" i="1" s="1"/>
  <c r="C35" i="1"/>
  <c r="I35" i="1" s="1"/>
  <c r="K35" i="1" s="1"/>
  <c r="N35" i="1" s="1"/>
  <c r="C17" i="1"/>
  <c r="C14" i="1"/>
  <c r="I14" i="1" s="1"/>
  <c r="K14" i="1" s="1"/>
  <c r="N14" i="1" s="1"/>
  <c r="C13" i="1"/>
  <c r="I13" i="1" s="1"/>
  <c r="K13" i="1" s="1"/>
  <c r="N13" i="1" s="1"/>
  <c r="C12" i="1"/>
  <c r="I12" i="1" s="1"/>
  <c r="K12" i="1" s="1"/>
  <c r="N12" i="1" s="1"/>
  <c r="C11" i="1"/>
  <c r="I11" i="1" s="1"/>
  <c r="K11" i="1" s="1"/>
  <c r="N11" i="1" s="1"/>
  <c r="C10" i="1"/>
  <c r="I10" i="1" s="1"/>
  <c r="K10" i="1" s="1"/>
  <c r="N10" i="1" s="1"/>
  <c r="C9" i="1"/>
  <c r="I9" i="1" s="1"/>
  <c r="K9" i="1" s="1"/>
  <c r="N9" i="1" s="1"/>
  <c r="C8" i="1"/>
  <c r="I8" i="1" s="1"/>
  <c r="K8" i="1" s="1"/>
  <c r="N8" i="1" s="1"/>
  <c r="C7" i="1"/>
  <c r="I6" i="1"/>
  <c r="K6" i="1" s="1"/>
  <c r="N6" i="1" s="1"/>
  <c r="AH6" i="1" s="1"/>
  <c r="P10" i="1" l="1"/>
  <c r="AH10" i="1"/>
  <c r="P19" i="1"/>
  <c r="AH19" i="1"/>
  <c r="P27" i="1"/>
  <c r="AH27" i="1"/>
  <c r="P9" i="1"/>
  <c r="AH9" i="1"/>
  <c r="P11" i="1"/>
  <c r="AH11" i="1"/>
  <c r="P20" i="1"/>
  <c r="AH20" i="1"/>
  <c r="P28" i="1"/>
  <c r="AH28" i="1"/>
  <c r="P13" i="1"/>
  <c r="AH13" i="1"/>
  <c r="P12" i="1"/>
  <c r="AH12" i="1"/>
  <c r="P21" i="1"/>
  <c r="AH21" i="1"/>
  <c r="P29" i="1"/>
  <c r="AH29" i="1"/>
  <c r="P30" i="1"/>
  <c r="AH30" i="1"/>
  <c r="P22" i="1"/>
  <c r="AH22" i="1"/>
  <c r="P14" i="1"/>
  <c r="AH14" i="1"/>
  <c r="P23" i="1"/>
  <c r="AH23" i="1"/>
  <c r="P31" i="1"/>
  <c r="AH31" i="1"/>
  <c r="I7" i="1"/>
  <c r="K7" i="1" s="1"/>
  <c r="P24" i="1"/>
  <c r="AH24" i="1"/>
  <c r="P32" i="1"/>
  <c r="AH32" i="1"/>
  <c r="P8" i="1"/>
  <c r="AH8" i="1"/>
  <c r="P35" i="1"/>
  <c r="AH35" i="1"/>
  <c r="P25" i="1"/>
  <c r="AH25" i="1"/>
  <c r="P36" i="1"/>
  <c r="AH36" i="1"/>
  <c r="P18" i="1"/>
  <c r="AH18" i="1"/>
  <c r="P26" i="1"/>
  <c r="AH26" i="1"/>
  <c r="P37" i="1"/>
  <c r="AH37" i="1"/>
  <c r="P6" i="1"/>
  <c r="K38" i="1"/>
  <c r="I17" i="1"/>
  <c r="K17" i="1" s="1"/>
  <c r="C33" i="1"/>
  <c r="N7" i="1" l="1"/>
  <c r="K15" i="1"/>
  <c r="K33" i="1"/>
  <c r="N17" i="1"/>
  <c r="P7" i="1" l="1"/>
  <c r="AH7" i="1"/>
  <c r="P17" i="1"/>
  <c r="AH17" i="1"/>
</calcChain>
</file>

<file path=xl/sharedStrings.xml><?xml version="1.0" encoding="utf-8"?>
<sst xmlns="http://schemas.openxmlformats.org/spreadsheetml/2006/main" count="637" uniqueCount="187">
  <si>
    <t>Room
Square
m2</t>
  </si>
  <si>
    <t>FL</t>
  </si>
  <si>
    <t>Room</t>
  </si>
  <si>
    <t>Room Specification</t>
  </si>
  <si>
    <t>Ceiling
Height
mH</t>
  </si>
  <si>
    <t>Lux</t>
  </si>
  <si>
    <t>1FL</t>
  </si>
  <si>
    <t>FACTORY AREA</t>
  </si>
  <si>
    <t>COMPRESSOR</t>
  </si>
  <si>
    <t>ULTILITY RM</t>
  </si>
  <si>
    <t>PUMP RM</t>
  </si>
  <si>
    <t>ELECTRICAL RM</t>
  </si>
  <si>
    <t>SMOKING RM 1FL</t>
  </si>
  <si>
    <t>BIKE PARK 1 FL</t>
  </si>
  <si>
    <t>2FL</t>
  </si>
  <si>
    <t>SMOKING RM 2FL</t>
  </si>
  <si>
    <t>BIKE PARK 2 FL</t>
  </si>
  <si>
    <t>TOILET (M)-2FL</t>
  </si>
  <si>
    <t>TOILET (F)-2FL</t>
  </si>
  <si>
    <t>MALE CHANGING RM</t>
  </si>
  <si>
    <t>FEMALE CHANGING RM</t>
  </si>
  <si>
    <t>CORRIDOR 2</t>
  </si>
  <si>
    <t>TOILET &amp; SHOWER (M)</t>
  </si>
  <si>
    <t>CORRIDOR 1</t>
  </si>
  <si>
    <t>MALE RELAXATION</t>
  </si>
  <si>
    <t>TOILET &amp; SHOWER (F)</t>
  </si>
  <si>
    <t>FEMALE RELAXATION</t>
  </si>
  <si>
    <t>TOILET 1(F) &amp; 1(M)</t>
  </si>
  <si>
    <t>KEEP WARM RM</t>
  </si>
  <si>
    <t>CANTEEN</t>
  </si>
  <si>
    <t>3FL</t>
  </si>
  <si>
    <t>TOILET (M)-3FL</t>
  </si>
  <si>
    <t>TOILET (F)-3FL</t>
  </si>
  <si>
    <t>Quang
 thông</t>
  </si>
  <si>
    <t>Hệ số sử
dụng</t>
  </si>
  <si>
    <t>Loại đèn</t>
  </si>
  <si>
    <t>Số lượng
đèn</t>
  </si>
  <si>
    <t>Công suất
1 đèn</t>
  </si>
  <si>
    <t>TOILET (M)-1FL</t>
  </si>
  <si>
    <t>TOILET (F)- 1FL</t>
  </si>
  <si>
    <t>Tổng</t>
  </si>
  <si>
    <t>Hightbay
lighting</t>
  </si>
  <si>
    <t>Refector</t>
  </si>
  <si>
    <t xml:space="preserve"> V Sharp - 
type</t>
  </si>
  <si>
    <t>Lighting
Dowlight
LED 12W</t>
  </si>
  <si>
    <t>Lighting Led Panel 600X600</t>
  </si>
  <si>
    <t>HIPAK LED20000-840 HF WD GEN3 HE</t>
  </si>
  <si>
    <t>Thorn light</t>
  </si>
  <si>
    <t>Thương hiệu</t>
  </si>
  <si>
    <t>Mã sản phẩm</t>
  </si>
  <si>
    <t>Công suất</t>
  </si>
  <si>
    <t>CHAL PRO LED3000-830 HFIX RMB W6</t>
  </si>
  <si>
    <t>Water
proof</t>
  </si>
  <si>
    <t> PETRELUX ExEn 2x18w T26 HF</t>
  </si>
  <si>
    <t>AQFPRO S LED2900-840 PC MB HF</t>
  </si>
  <si>
    <t>CETUS LED 1000 HF 830</t>
  </si>
  <si>
    <t> OP2 3000-840 CKIT+ MPT PIR Q600</t>
  </si>
  <si>
    <t>Tổng công suất chiếu sáng</t>
  </si>
  <si>
    <t>Outdoor 
lightning</t>
  </si>
  <si>
    <t>NS SRP FX 16L45-830 HFX CL1 SCN ANT</t>
  </si>
  <si>
    <t>Điện áp</t>
  </si>
  <si>
    <t>Hệ số 
cosϕ</t>
  </si>
  <si>
    <t>Dòng
tính
toán</t>
  </si>
  <si>
    <t>Hệ số an
toàn</t>
  </si>
  <si>
    <t>Dòng điện
 Itk = Kat*Itt (A)</t>
  </si>
  <si>
    <t>Loại Khí cụ</t>
  </si>
  <si>
    <t>MCB</t>
  </si>
  <si>
    <t>Số cực</t>
  </si>
  <si>
    <t>1P</t>
  </si>
  <si>
    <t>4P</t>
  </si>
  <si>
    <t>MCCB</t>
  </si>
  <si>
    <t>Idm</t>
  </si>
  <si>
    <t>Icu</t>
  </si>
  <si>
    <t>K1</t>
  </si>
  <si>
    <t>K2</t>
  </si>
  <si>
    <t>K3</t>
  </si>
  <si>
    <t>Dòng điện
cho phép
Icp</t>
  </si>
  <si>
    <t>Chọn cáp
hoặc dây</t>
  </si>
  <si>
    <t>CHủng loại</t>
  </si>
  <si>
    <t>Cách lắp
đặt</t>
  </si>
  <si>
    <t>Dùng cáp
 2 lõi , 
 đi trong
 ống PVC,
 ở nhiệt
 độ phòng
 35 độ C</t>
  </si>
  <si>
    <t>CU/PVC</t>
  </si>
  <si>
    <t xml:space="preserve"> </t>
  </si>
  <si>
    <t>Cáp 4 lõi + 1 dây tiếp địa đi trên 
thang cáp , đi 
cùng với dây cấp nguồn cho ổ 
cắm , 35 độ C</t>
  </si>
  <si>
    <t>6k</t>
  </si>
  <si>
    <t>25mm2</t>
  </si>
  <si>
    <t>1,5mm2</t>
  </si>
  <si>
    <t>10mm2</t>
  </si>
  <si>
    <t>L</t>
  </si>
  <si>
    <t>sinphi</t>
  </si>
  <si>
    <t>cosphi</t>
  </si>
  <si>
    <t>r</t>
  </si>
  <si>
    <t>x</t>
  </si>
  <si>
    <t>deltaU%</t>
  </si>
  <si>
    <t>STT</t>
  </si>
  <si>
    <t>Mô tả</t>
  </si>
  <si>
    <t>Điện áp ( V)</t>
  </si>
  <si>
    <t>Số phase</t>
  </si>
  <si>
    <t>Công suất đặt  P(kW)</t>
  </si>
  <si>
    <t>Hệ số cosϕ</t>
  </si>
  <si>
    <t>Hệ số đồng thời Ks</t>
  </si>
  <si>
    <t>Công suất thực tế P*Ks( kW)</t>
  </si>
  <si>
    <t>Dòng tính toán Itt ( A)</t>
  </si>
  <si>
    <t>Hệ số an toàn  Kap</t>
  </si>
  <si>
    <t>Dòng điện Itk = Kat*Itt (A)</t>
  </si>
  <si>
    <t>Loại khí cụ</t>
  </si>
  <si>
    <t>Mã hiệu catalog Mitsubishi</t>
  </si>
  <si>
    <t>Số cực : Poles</t>
  </si>
  <si>
    <t>Iđm(A)</t>
  </si>
  <si>
    <t>Icu(kA)</t>
  </si>
  <si>
    <t>Dòng điện cho phép Icp</t>
  </si>
  <si>
    <t>Chọn cáp hoặc dây</t>
  </si>
  <si>
    <t>Chủng loại</t>
  </si>
  <si>
    <t>Cách lắp đặt</t>
  </si>
  <si>
    <t>A</t>
  </si>
  <si>
    <t>Nguồn ổ cắm lộ 1</t>
  </si>
  <si>
    <t>BH-D6 1P 63A 6kA C N</t>
  </si>
  <si>
    <t>2C-16mm2+E-16mm2</t>
  </si>
  <si>
    <t>Đi trong ống PVC  , môi trường 35 độ C</t>
  </si>
  <si>
    <t>Nguồn ổ cắm lộ 2</t>
  </si>
  <si>
    <t>Nguồn ổ cắm lộ 3</t>
  </si>
  <si>
    <t>Nguồn ổ cắm lộ 4</t>
  </si>
  <si>
    <t>Nguồn ổ cắm lộ 5</t>
  </si>
  <si>
    <t>Nguồn ổ cắm lộ 6</t>
  </si>
  <si>
    <t>Nguồn ổ cắm ldự phòng 1</t>
  </si>
  <si>
    <t>Nguồn ổ cắm dự phòng 2</t>
  </si>
  <si>
    <t>Nguồn ổ cắm dự phòng 3</t>
  </si>
  <si>
    <t>Tổng công suất DB-OC-Factorry1</t>
  </si>
  <si>
    <t>NF250-CV 4P 250A 25kA</t>
  </si>
  <si>
    <t>4C-120mm2+E-70mm2</t>
  </si>
  <si>
    <t>CU/XLPE/PVC</t>
  </si>
  <si>
    <t>Theo TCVN 9206 -2012 , suất phụ tải của ổ cắm ít nhất là 25 W/m2 ,bảng 8 và 9</t>
  </si>
  <si>
    <t>Factory</t>
  </si>
  <si>
    <t>BH-D6 1P 32A 6kA C N</t>
  </si>
  <si>
    <t>2C-10mm2+E-10mm2</t>
  </si>
  <si>
    <t>Nguồn ổ cắm dự phòng 1</t>
  </si>
  <si>
    <t>Tổng công suất DB-OC-Canteen1</t>
  </si>
  <si>
    <t>NF125-CV 4P 100A 10kA</t>
  </si>
  <si>
    <t>4C-35mm2+E-25mm2</t>
  </si>
  <si>
    <t>ElCB</t>
  </si>
  <si>
    <t>2P</t>
  </si>
  <si>
    <t>Cáp 4 lõi
 + 1 dây tiếp
 địa đi
 trên thang cáp
 , đi cùng
 với dây cấp
 nguồn cho ổ
 cắm , 35 độ C</t>
  </si>
  <si>
    <t>Cáp 4 lõi
 + 1 dây tiếp địa đi trên thang cáp , đi cùng với dây cấp nguồn cho ổ cắm , 35 độ C</t>
  </si>
  <si>
    <t>I</t>
  </si>
  <si>
    <t>NF630-CW 3P 500A 36kA</t>
  </si>
  <si>
    <t>3P</t>
  </si>
  <si>
    <t>3X1C-240mm2+E-120mm2</t>
  </si>
  <si>
    <t>Cu/XLPE/PVC</t>
  </si>
  <si>
    <t>NF630-CW 3P 600A 36kA</t>
  </si>
  <si>
    <t>3X1C-300mm2+E-150mm2</t>
  </si>
  <si>
    <t>II</t>
  </si>
  <si>
    <t>Tải  200T</t>
  </si>
  <si>
    <t>NF250-CV 3P 150A 25kA</t>
  </si>
  <si>
    <t>3X1C-50mm2+E-25mm2</t>
  </si>
  <si>
    <t>Các dây cab đặt sát nhau trên thang cáp</t>
  </si>
  <si>
    <t>Tải 180-1</t>
  </si>
  <si>
    <t>Tải 180-2</t>
  </si>
  <si>
    <t>Tải 180-3</t>
  </si>
  <si>
    <t>Ks = 0.8 theo bảng 8 - TCVN 9206</t>
  </si>
  <si>
    <t>III</t>
  </si>
  <si>
    <t>Tải  150T-1</t>
  </si>
  <si>
    <t>Tải  150T-2</t>
  </si>
  <si>
    <t>Tải  150T-3</t>
  </si>
  <si>
    <t>Tải 100T-9</t>
  </si>
  <si>
    <t>Tải 100T-10</t>
  </si>
  <si>
    <t>IV</t>
  </si>
  <si>
    <t>Tải 100T-11</t>
  </si>
  <si>
    <t>3X1C-50mm2+E-1C-25mm2</t>
  </si>
  <si>
    <t>Tải 100T-12</t>
  </si>
  <si>
    <t>Tải 100T-13</t>
  </si>
  <si>
    <t>Tải 100T-14</t>
  </si>
  <si>
    <t>Tải 100T-15</t>
  </si>
  <si>
    <t>V</t>
  </si>
  <si>
    <t>Tải 400T-1</t>
  </si>
  <si>
    <t>NF250-CV 3P 225A 25kA</t>
  </si>
  <si>
    <t>3X1C-95mm2+E-50mm2</t>
  </si>
  <si>
    <t>Tải 400T-2</t>
  </si>
  <si>
    <t>Tải 400T-3</t>
  </si>
  <si>
    <t>Tải 400T-4</t>
  </si>
  <si>
    <t>Tải 400T-5</t>
  </si>
  <si>
    <t>Tải 400T-6</t>
  </si>
  <si>
    <t>VII</t>
  </si>
  <si>
    <t>Tải Drum Winding 1</t>
  </si>
  <si>
    <t>NF250-CV 3P 250A 25kA</t>
  </si>
  <si>
    <t>Tải Drum Winding 2</t>
  </si>
  <si>
    <t>Tổng công suất</t>
  </si>
  <si>
    <t xml:space="preserve">Tổng công suất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</si>
</sst>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0"/>
      <color indexed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.VnArial Narrow"/>
      <family val="2"/>
    </font>
    <font>
      <sz val="11"/>
      <color rgb="FF3F3F76"/>
      <name val="Times New Roman"/>
      <family val="1"/>
    </font>
    <font>
      <b/>
      <sz val="11"/>
      <color rgb="FFFA7D0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/>
  </cellStyleXfs>
  <cellXfs count="9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3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3" applyFont="1" applyBorder="1" applyAlignment="1">
      <alignment horizontal="left" vertical="center" indent="1"/>
    </xf>
    <xf numFmtId="0" fontId="7" fillId="0" borderId="2" xfId="3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0" xfId="4"/>
    <xf numFmtId="0" fontId="4" fillId="0" borderId="2" xfId="4" applyFont="1" applyBorder="1" applyAlignment="1">
      <alignment horizontal="center"/>
    </xf>
    <xf numFmtId="0" fontId="4" fillId="6" borderId="2" xfId="4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13" fillId="0" borderId="0" xfId="4"/>
    <xf numFmtId="0" fontId="4" fillId="0" borderId="2" xfId="4" applyFont="1" applyBorder="1" applyAlignment="1">
      <alignment horizontal="center"/>
    </xf>
    <xf numFmtId="0" fontId="4" fillId="6" borderId="2" xfId="4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2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1" fillId="3" borderId="11" xfId="2" applyFont="1" applyBorder="1" applyAlignment="1">
      <alignment horizontal="center" vertical="center" wrapText="1"/>
    </xf>
    <xf numFmtId="0" fontId="11" fillId="3" borderId="11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3" borderId="1" xfId="2" applyFont="1" applyAlignment="1">
      <alignment horizontal="center" vertical="center" wrapText="1"/>
    </xf>
    <xf numFmtId="0" fontId="11" fillId="3" borderId="1" xfId="2" applyFont="1" applyAlignment="1">
      <alignment horizontal="center" vertical="center"/>
    </xf>
    <xf numFmtId="0" fontId="11" fillId="3" borderId="5" xfId="2" applyFont="1" applyBorder="1" applyAlignment="1">
      <alignment horizontal="center" vertical="center"/>
    </xf>
    <xf numFmtId="0" fontId="11" fillId="3" borderId="6" xfId="2" applyFont="1" applyBorder="1" applyAlignment="1">
      <alignment horizontal="center" vertical="center"/>
    </xf>
    <xf numFmtId="0" fontId="11" fillId="3" borderId="17" xfId="2" applyFont="1" applyBorder="1" applyAlignment="1">
      <alignment horizontal="center" vertical="center"/>
    </xf>
    <xf numFmtId="0" fontId="11" fillId="3" borderId="2" xfId="2" applyFont="1" applyBorder="1" applyAlignment="1">
      <alignment horizontal="center" vertical="center" wrapText="1"/>
    </xf>
    <xf numFmtId="0" fontId="11" fillId="3" borderId="2" xfId="2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1" fillId="3" borderId="5" xfId="2" applyFont="1" applyBorder="1" applyAlignment="1">
      <alignment horizontal="center" vertical="center" wrapText="1"/>
    </xf>
    <xf numFmtId="0" fontId="11" fillId="3" borderId="7" xfId="2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0" fillId="2" borderId="14" xfId="1" applyFont="1" applyBorder="1" applyAlignment="1">
      <alignment horizontal="center" vertical="center"/>
    </xf>
    <xf numFmtId="0" fontId="10" fillId="2" borderId="13" xfId="1" applyFont="1" applyBorder="1" applyAlignment="1">
      <alignment horizontal="center" vertical="center"/>
    </xf>
    <xf numFmtId="0" fontId="10" fillId="2" borderId="15" xfId="1" applyFont="1" applyBorder="1" applyAlignment="1">
      <alignment horizontal="center" vertical="center"/>
    </xf>
    <xf numFmtId="0" fontId="11" fillId="3" borderId="6" xfId="2" applyFont="1" applyBorder="1" applyAlignment="1">
      <alignment horizontal="center" vertical="center" wrapText="1"/>
    </xf>
    <xf numFmtId="0" fontId="11" fillId="3" borderId="17" xfId="2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4" applyFont="1" applyBorder="1" applyAlignment="1">
      <alignment horizontal="center" vertical="center" wrapText="1"/>
    </xf>
    <xf numFmtId="0" fontId="4" fillId="0" borderId="20" xfId="4" applyFont="1" applyBorder="1" applyAlignment="1">
      <alignment horizontal="center" vertical="center" wrapText="1"/>
    </xf>
    <xf numFmtId="0" fontId="4" fillId="0" borderId="18" xfId="4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3" fillId="7" borderId="0" xfId="4" applyFill="1" applyAlignment="1">
      <alignment horizontal="center"/>
    </xf>
    <xf numFmtId="0" fontId="4" fillId="6" borderId="2" xfId="4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wrapText="1"/>
    </xf>
    <xf numFmtId="0" fontId="4" fillId="0" borderId="2" xfId="4" applyFont="1" applyBorder="1" applyAlignment="1">
      <alignment horizontal="center" vertical="center" wrapText="1"/>
    </xf>
    <xf numFmtId="0" fontId="4" fillId="6" borderId="8" xfId="4" applyFont="1" applyFill="1" applyBorder="1" applyAlignment="1">
      <alignment horizontal="center" vertical="center"/>
    </xf>
    <xf numFmtId="0" fontId="4" fillId="6" borderId="10" xfId="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4" fillId="0" borderId="3" xfId="4" applyFont="1" applyBorder="1" applyAlignment="1">
      <alignment horizontal="center" vertical="center" wrapText="1"/>
    </xf>
    <xf numFmtId="0" fontId="4" fillId="0" borderId="12" xfId="4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/>
  </cellXfs>
  <cellStyles count="5">
    <cellStyle name="Calculation" xfId="2" builtinId="22"/>
    <cellStyle name="Hyperlink" xfId="3" builtinId="8"/>
    <cellStyle name="Input" xfId="1" builtinId="20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ornlighting.com/en/products/indoor-lighting/industrial-lighting/HiPak/hipak-wide-optic/96634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zoomScale="55" zoomScaleNormal="55" workbookViewId="0">
      <selection activeCell="AB4" sqref="AB4"/>
    </sheetView>
  </sheetViews>
  <sheetFormatPr defaultColWidth="8.88671875" defaultRowHeight="13.8"/>
  <cols>
    <col min="1" max="1" width="8.88671875" style="1"/>
    <col min="2" max="2" width="26.6640625" style="1" customWidth="1"/>
    <col min="3" max="7" width="8.88671875" style="1"/>
    <col min="8" max="8" width="9.6640625" style="1" customWidth="1"/>
    <col min="9" max="14" width="8.88671875" style="1"/>
    <col min="15" max="15" width="11.88671875" style="1" customWidth="1"/>
    <col min="16" max="16" width="8.88671875" style="1"/>
    <col min="17" max="17" width="13.33203125" style="1" customWidth="1"/>
    <col min="18" max="23" width="8.88671875" style="1"/>
    <col min="24" max="24" width="10.44140625" style="1" customWidth="1"/>
    <col min="25" max="25" width="28.5546875" style="1" customWidth="1"/>
    <col min="26" max="26" width="11.6640625" style="1" customWidth="1"/>
    <col min="27" max="27" width="8.88671875" style="1"/>
    <col min="28" max="28" width="17.6640625" style="1" customWidth="1"/>
    <col min="29" max="16384" width="8.88671875" style="1"/>
  </cols>
  <sheetData>
    <row r="1" spans="1:34" ht="30" customHeight="1">
      <c r="A1" s="61" t="s">
        <v>1</v>
      </c>
      <c r="B1" s="61" t="s">
        <v>2</v>
      </c>
      <c r="C1" s="67" t="s">
        <v>3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</row>
    <row r="2" spans="1:34" ht="30" customHeight="1">
      <c r="A2" s="61"/>
      <c r="B2" s="61"/>
      <c r="C2" s="54" t="s">
        <v>0</v>
      </c>
      <c r="D2" s="54" t="s">
        <v>4</v>
      </c>
      <c r="E2" s="54" t="s">
        <v>5</v>
      </c>
      <c r="F2" s="62" t="s">
        <v>33</v>
      </c>
      <c r="G2" s="54" t="s">
        <v>34</v>
      </c>
      <c r="H2" s="55" t="s">
        <v>35</v>
      </c>
      <c r="I2" s="54" t="s">
        <v>36</v>
      </c>
      <c r="J2" s="49" t="s">
        <v>37</v>
      </c>
      <c r="K2" s="59" t="s">
        <v>57</v>
      </c>
      <c r="L2" s="49" t="s">
        <v>60</v>
      </c>
      <c r="M2" s="59" t="s">
        <v>61</v>
      </c>
      <c r="N2" s="59" t="s">
        <v>62</v>
      </c>
      <c r="O2" s="59" t="s">
        <v>63</v>
      </c>
      <c r="P2" s="54" t="s">
        <v>64</v>
      </c>
      <c r="Q2" s="56" t="s">
        <v>65</v>
      </c>
      <c r="R2" s="56" t="s">
        <v>67</v>
      </c>
      <c r="S2" s="56" t="s">
        <v>71</v>
      </c>
      <c r="T2" s="56" t="s">
        <v>72</v>
      </c>
      <c r="U2" s="55" t="s">
        <v>73</v>
      </c>
      <c r="V2" s="55" t="s">
        <v>74</v>
      </c>
      <c r="W2" s="55" t="s">
        <v>75</v>
      </c>
      <c r="X2" s="54" t="s">
        <v>76</v>
      </c>
      <c r="Y2" s="62" t="s">
        <v>77</v>
      </c>
      <c r="Z2" s="55" t="s">
        <v>78</v>
      </c>
      <c r="AA2" s="54" t="s">
        <v>79</v>
      </c>
    </row>
    <row r="3" spans="1:34" ht="30" customHeight="1">
      <c r="A3" s="61"/>
      <c r="B3" s="61"/>
      <c r="C3" s="54"/>
      <c r="D3" s="54"/>
      <c r="E3" s="54"/>
      <c r="F3" s="57"/>
      <c r="G3" s="55"/>
      <c r="H3" s="55"/>
      <c r="I3" s="55"/>
      <c r="J3" s="50"/>
      <c r="K3" s="59"/>
      <c r="L3" s="50"/>
      <c r="M3" s="60"/>
      <c r="N3" s="60"/>
      <c r="O3" s="60"/>
      <c r="P3" s="55"/>
      <c r="Q3" s="57"/>
      <c r="R3" s="57"/>
      <c r="S3" s="57"/>
      <c r="T3" s="57"/>
      <c r="U3" s="55"/>
      <c r="V3" s="55"/>
      <c r="W3" s="55"/>
      <c r="X3" s="55"/>
      <c r="Y3" s="70"/>
      <c r="Z3" s="55"/>
      <c r="AA3" s="55"/>
      <c r="AC3" s="34" t="s">
        <v>88</v>
      </c>
      <c r="AD3" s="34" t="s">
        <v>91</v>
      </c>
      <c r="AE3" s="34" t="s">
        <v>92</v>
      </c>
      <c r="AF3" s="34" t="s">
        <v>90</v>
      </c>
      <c r="AG3" s="34" t="s">
        <v>89</v>
      </c>
      <c r="AH3" s="34" t="s">
        <v>93</v>
      </c>
    </row>
    <row r="4" spans="1:34" ht="30" customHeight="1">
      <c r="A4" s="61"/>
      <c r="B4" s="61"/>
      <c r="C4" s="54"/>
      <c r="D4" s="54"/>
      <c r="E4" s="54"/>
      <c r="F4" s="63"/>
      <c r="G4" s="55"/>
      <c r="H4" s="55"/>
      <c r="I4" s="55"/>
      <c r="J4" s="50"/>
      <c r="K4" s="59"/>
      <c r="L4" s="50"/>
      <c r="M4" s="60"/>
      <c r="N4" s="60"/>
      <c r="O4" s="60"/>
      <c r="P4" s="55"/>
      <c r="Q4" s="58"/>
      <c r="R4" s="58"/>
      <c r="S4" s="58"/>
      <c r="T4" s="58"/>
      <c r="U4" s="55"/>
      <c r="V4" s="55"/>
      <c r="W4" s="55"/>
      <c r="X4" s="55"/>
      <c r="Y4" s="71"/>
      <c r="Z4" s="55"/>
      <c r="AA4" s="55"/>
      <c r="AC4" s="34"/>
      <c r="AD4" s="34"/>
      <c r="AE4" s="34"/>
      <c r="AF4" s="34"/>
      <c r="AG4" s="34"/>
      <c r="AH4" s="34"/>
    </row>
    <row r="5" spans="1:34" ht="30" customHeight="1">
      <c r="A5" s="2" t="s">
        <v>6</v>
      </c>
      <c r="B5" s="3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/>
      <c r="AA5" s="12"/>
      <c r="AC5" s="34"/>
      <c r="AD5" s="34"/>
      <c r="AE5" s="34"/>
      <c r="AF5" s="34"/>
      <c r="AG5" s="34"/>
      <c r="AH5" s="34"/>
    </row>
    <row r="6" spans="1:34" ht="30" customHeight="1">
      <c r="A6" s="51"/>
      <c r="B6" s="4" t="s">
        <v>7</v>
      </c>
      <c r="C6" s="3">
        <f>36*84</f>
        <v>3024</v>
      </c>
      <c r="D6" s="12">
        <v>6350</v>
      </c>
      <c r="E6" s="3">
        <v>300</v>
      </c>
      <c r="F6" s="2">
        <v>19137</v>
      </c>
      <c r="G6" s="2">
        <v>1</v>
      </c>
      <c r="H6" s="5" t="s">
        <v>41</v>
      </c>
      <c r="I6" s="2">
        <f>ROUNDUP((C6*E6)/F6,0)</f>
        <v>48</v>
      </c>
      <c r="J6" s="17">
        <v>125</v>
      </c>
      <c r="K6" s="2">
        <f>I6*J6</f>
        <v>6000</v>
      </c>
      <c r="L6" s="15">
        <v>115</v>
      </c>
      <c r="M6" s="16">
        <v>0.8</v>
      </c>
      <c r="N6" s="12">
        <f>K6/(L6*M6)</f>
        <v>65.217391304347828</v>
      </c>
      <c r="O6" s="12">
        <v>1</v>
      </c>
      <c r="P6" s="12">
        <f>N6*O6</f>
        <v>65.217391304347828</v>
      </c>
      <c r="Q6" s="12" t="s">
        <v>66</v>
      </c>
      <c r="R6" s="12" t="s">
        <v>68</v>
      </c>
      <c r="S6" s="12">
        <v>80</v>
      </c>
      <c r="T6" s="12" t="s">
        <v>84</v>
      </c>
      <c r="U6" s="12">
        <v>1</v>
      </c>
      <c r="V6" s="16">
        <v>0.88</v>
      </c>
      <c r="W6" s="16">
        <v>0.94</v>
      </c>
      <c r="X6" s="16">
        <f>S6/(U6*V6*W6)</f>
        <v>96.711798839458424</v>
      </c>
      <c r="Y6" s="12" t="s">
        <v>85</v>
      </c>
      <c r="Z6" s="12" t="s">
        <v>81</v>
      </c>
      <c r="AA6" s="48" t="s">
        <v>80</v>
      </c>
      <c r="AB6" s="90" t="s">
        <v>83</v>
      </c>
      <c r="AC6" s="34">
        <v>63</v>
      </c>
      <c r="AD6" s="23">
        <v>0.74039999999999995</v>
      </c>
      <c r="AE6" s="23">
        <v>8.1000000000000003E-2</v>
      </c>
      <c r="AF6" s="39">
        <v>0.85</v>
      </c>
      <c r="AG6" s="39">
        <v>0.52700000000000002</v>
      </c>
      <c r="AH6" s="34">
        <f>2*N6*AC6*(AD6*AF6+AE6*AG6)/1000/L6*100</f>
        <v>4.8020076748582223</v>
      </c>
    </row>
    <row r="7" spans="1:34" ht="30" customHeight="1">
      <c r="A7" s="52"/>
      <c r="B7" s="4" t="s">
        <v>8</v>
      </c>
      <c r="C7" s="3">
        <f>6*9.5</f>
        <v>57</v>
      </c>
      <c r="D7" s="12">
        <v>6050</v>
      </c>
      <c r="E7" s="3">
        <v>250</v>
      </c>
      <c r="F7" s="2">
        <v>2900</v>
      </c>
      <c r="G7" s="2">
        <v>1</v>
      </c>
      <c r="H7" s="2" t="s">
        <v>42</v>
      </c>
      <c r="I7" s="2">
        <f>ROUNDUP((C7*E7)/F7,0)</f>
        <v>5</v>
      </c>
      <c r="J7" s="17">
        <v>25</v>
      </c>
      <c r="K7" s="2">
        <f t="shared" ref="K7:K14" si="0">I7*J7</f>
        <v>125</v>
      </c>
      <c r="L7" s="15">
        <v>115</v>
      </c>
      <c r="M7" s="16">
        <v>0.8</v>
      </c>
      <c r="N7" s="12">
        <f t="shared" ref="N7:N14" si="1">K7/(L7*M7)</f>
        <v>1.3586956521739131</v>
      </c>
      <c r="O7" s="12">
        <v>1</v>
      </c>
      <c r="P7" s="12">
        <f t="shared" ref="P7:P14" si="2">N7*O7</f>
        <v>1.3586956521739131</v>
      </c>
      <c r="Q7" s="12" t="s">
        <v>66</v>
      </c>
      <c r="R7" s="12" t="s">
        <v>68</v>
      </c>
      <c r="S7" s="22">
        <v>10</v>
      </c>
      <c r="T7" s="22" t="s">
        <v>84</v>
      </c>
      <c r="U7" s="12">
        <v>1</v>
      </c>
      <c r="V7" s="16">
        <v>0.88</v>
      </c>
      <c r="W7" s="16">
        <v>0.94</v>
      </c>
      <c r="X7" s="16">
        <f t="shared" ref="X7:X14" si="3">S7/(U7*V7*W7)</f>
        <v>12.088974854932303</v>
      </c>
      <c r="Y7" s="12" t="s">
        <v>86</v>
      </c>
      <c r="Z7" s="12" t="s">
        <v>81</v>
      </c>
      <c r="AA7" s="43"/>
      <c r="AB7" s="40"/>
      <c r="AC7" s="34">
        <v>20</v>
      </c>
      <c r="AD7" s="24">
        <v>12.34</v>
      </c>
      <c r="AE7" s="24">
        <v>0.108</v>
      </c>
      <c r="AF7" s="39">
        <v>0.85</v>
      </c>
      <c r="AG7" s="39">
        <v>0.52700000000000002</v>
      </c>
      <c r="AH7" s="34">
        <f t="shared" ref="AH7:AH39" si="4">2*N7*AC7*(AD7*AF7+AE7*AG7)/1000/L7*100</f>
        <v>0.49838922495274102</v>
      </c>
    </row>
    <row r="8" spans="1:34" ht="30" customHeight="1">
      <c r="A8" s="52"/>
      <c r="B8" s="4" t="s">
        <v>9</v>
      </c>
      <c r="C8" s="3">
        <f>6*11.5</f>
        <v>69</v>
      </c>
      <c r="D8" s="12">
        <v>6050</v>
      </c>
      <c r="E8" s="3">
        <v>250</v>
      </c>
      <c r="F8" s="2">
        <v>3130</v>
      </c>
      <c r="G8" s="2">
        <v>1</v>
      </c>
      <c r="H8" s="5" t="s">
        <v>52</v>
      </c>
      <c r="I8" s="2">
        <f t="shared" ref="I8:I14" si="5">ROUNDUP((C8*E8)/F8,0)</f>
        <v>6</v>
      </c>
      <c r="J8" s="17">
        <v>22</v>
      </c>
      <c r="K8" s="2">
        <f t="shared" si="0"/>
        <v>132</v>
      </c>
      <c r="L8" s="15">
        <v>115</v>
      </c>
      <c r="M8" s="16">
        <v>0.8</v>
      </c>
      <c r="N8" s="12">
        <f t="shared" si="1"/>
        <v>1.4347826086956521</v>
      </c>
      <c r="O8" s="12">
        <v>1</v>
      </c>
      <c r="P8" s="12">
        <f t="shared" si="2"/>
        <v>1.4347826086956521</v>
      </c>
      <c r="Q8" s="12" t="s">
        <v>66</v>
      </c>
      <c r="R8" s="12" t="s">
        <v>68</v>
      </c>
      <c r="S8" s="22">
        <v>10</v>
      </c>
      <c r="T8" s="22" t="s">
        <v>84</v>
      </c>
      <c r="U8" s="12">
        <v>1</v>
      </c>
      <c r="V8" s="16">
        <v>0.88</v>
      </c>
      <c r="W8" s="16">
        <v>0.94</v>
      </c>
      <c r="X8" s="16">
        <f t="shared" si="3"/>
        <v>12.088974854932303</v>
      </c>
      <c r="Y8" s="12" t="s">
        <v>86</v>
      </c>
      <c r="Z8" s="12" t="s">
        <v>81</v>
      </c>
      <c r="AA8" s="43"/>
      <c r="AB8" s="40"/>
      <c r="AC8" s="34">
        <v>15</v>
      </c>
      <c r="AD8" s="24">
        <v>12.34</v>
      </c>
      <c r="AE8" s="24">
        <v>0.108</v>
      </c>
      <c r="AF8" s="39">
        <v>0.85</v>
      </c>
      <c r="AG8" s="39">
        <v>0.52700000000000002</v>
      </c>
      <c r="AH8" s="34">
        <f t="shared" si="4"/>
        <v>0.39472426616257084</v>
      </c>
    </row>
    <row r="9" spans="1:34" ht="30" customHeight="1">
      <c r="A9" s="52"/>
      <c r="B9" s="4" t="s">
        <v>10</v>
      </c>
      <c r="C9" s="3">
        <f>6.5*9.5</f>
        <v>61.75</v>
      </c>
      <c r="D9" s="12">
        <v>6050</v>
      </c>
      <c r="E9" s="3">
        <v>250</v>
      </c>
      <c r="F9" s="2">
        <v>2900</v>
      </c>
      <c r="G9" s="2">
        <v>1</v>
      </c>
      <c r="H9" s="2" t="s">
        <v>42</v>
      </c>
      <c r="I9" s="2">
        <f t="shared" si="5"/>
        <v>6</v>
      </c>
      <c r="J9" s="17">
        <v>25</v>
      </c>
      <c r="K9" s="2">
        <f t="shared" si="0"/>
        <v>150</v>
      </c>
      <c r="L9" s="15">
        <v>115</v>
      </c>
      <c r="M9" s="16">
        <v>0.8</v>
      </c>
      <c r="N9" s="12">
        <f t="shared" si="1"/>
        <v>1.6304347826086956</v>
      </c>
      <c r="O9" s="12">
        <v>1</v>
      </c>
      <c r="P9" s="12">
        <f t="shared" si="2"/>
        <v>1.6304347826086956</v>
      </c>
      <c r="Q9" s="12" t="s">
        <v>66</v>
      </c>
      <c r="R9" s="12" t="s">
        <v>68</v>
      </c>
      <c r="S9" s="22">
        <v>10</v>
      </c>
      <c r="T9" s="22" t="s">
        <v>84</v>
      </c>
      <c r="U9" s="12">
        <v>1</v>
      </c>
      <c r="V9" s="16">
        <v>0.88</v>
      </c>
      <c r="W9" s="16">
        <v>0.94</v>
      </c>
      <c r="X9" s="16">
        <f t="shared" si="3"/>
        <v>12.088974854932303</v>
      </c>
      <c r="Y9" s="12" t="s">
        <v>86</v>
      </c>
      <c r="Z9" s="12" t="s">
        <v>81</v>
      </c>
      <c r="AA9" s="43"/>
      <c r="AB9" s="40"/>
      <c r="AC9" s="34">
        <v>16</v>
      </c>
      <c r="AD9" s="24">
        <v>12.34</v>
      </c>
      <c r="AE9" s="24">
        <v>0.108</v>
      </c>
      <c r="AF9" s="39">
        <v>0.85</v>
      </c>
      <c r="AG9" s="39">
        <v>0.52700000000000002</v>
      </c>
      <c r="AH9" s="34">
        <f t="shared" si="4"/>
        <v>0.47845365595463119</v>
      </c>
    </row>
    <row r="10" spans="1:34" ht="48.6" customHeight="1">
      <c r="A10" s="52"/>
      <c r="B10" s="4" t="s">
        <v>11</v>
      </c>
      <c r="C10" s="3">
        <f>6.5*11.6</f>
        <v>75.399999999999991</v>
      </c>
      <c r="D10" s="12">
        <v>6050</v>
      </c>
      <c r="E10" s="3">
        <v>250</v>
      </c>
      <c r="F10" s="2">
        <v>2900</v>
      </c>
      <c r="G10" s="2">
        <v>1</v>
      </c>
      <c r="H10" s="2" t="s">
        <v>42</v>
      </c>
      <c r="I10" s="2">
        <f t="shared" si="5"/>
        <v>7</v>
      </c>
      <c r="J10" s="17">
        <v>25</v>
      </c>
      <c r="K10" s="2">
        <f t="shared" si="0"/>
        <v>175</v>
      </c>
      <c r="L10" s="15">
        <v>115</v>
      </c>
      <c r="M10" s="16">
        <v>0.8</v>
      </c>
      <c r="N10" s="12">
        <f t="shared" si="1"/>
        <v>1.9021739130434783</v>
      </c>
      <c r="O10" s="12">
        <v>1</v>
      </c>
      <c r="P10" s="12">
        <f t="shared" si="2"/>
        <v>1.9021739130434783</v>
      </c>
      <c r="Q10" s="12" t="s">
        <v>66</v>
      </c>
      <c r="R10" s="12" t="s">
        <v>68</v>
      </c>
      <c r="S10" s="22">
        <v>10</v>
      </c>
      <c r="T10" s="22" t="s">
        <v>84</v>
      </c>
      <c r="U10" s="12">
        <v>1</v>
      </c>
      <c r="V10" s="16">
        <v>0.88</v>
      </c>
      <c r="W10" s="16">
        <v>0.94</v>
      </c>
      <c r="X10" s="16">
        <f t="shared" si="3"/>
        <v>12.088974854932303</v>
      </c>
      <c r="Y10" s="12" t="s">
        <v>86</v>
      </c>
      <c r="Z10" s="12" t="s">
        <v>81</v>
      </c>
      <c r="AA10" s="43"/>
      <c r="AB10" s="40"/>
      <c r="AC10" s="34">
        <v>12</v>
      </c>
      <c r="AD10" s="24">
        <v>12.34</v>
      </c>
      <c r="AE10" s="24">
        <v>0.108</v>
      </c>
      <c r="AF10" s="39">
        <v>0.85</v>
      </c>
      <c r="AG10" s="39">
        <v>0.52700000000000002</v>
      </c>
      <c r="AH10" s="34">
        <f t="shared" si="4"/>
        <v>0.41864694896030241</v>
      </c>
    </row>
    <row r="11" spans="1:34" ht="45" customHeight="1">
      <c r="A11" s="52"/>
      <c r="B11" s="4" t="s">
        <v>12</v>
      </c>
      <c r="C11" s="3">
        <f>6*5.5</f>
        <v>33</v>
      </c>
      <c r="D11" s="12">
        <v>6050</v>
      </c>
      <c r="E11" s="3">
        <v>200</v>
      </c>
      <c r="F11" s="2">
        <v>2700</v>
      </c>
      <c r="G11" s="2">
        <v>1</v>
      </c>
      <c r="H11" s="5" t="s">
        <v>43</v>
      </c>
      <c r="I11" s="2">
        <f t="shared" si="5"/>
        <v>3</v>
      </c>
      <c r="J11" s="17">
        <v>36</v>
      </c>
      <c r="K11" s="2">
        <f t="shared" si="0"/>
        <v>108</v>
      </c>
      <c r="L11" s="15">
        <v>115</v>
      </c>
      <c r="M11" s="16">
        <v>0.8</v>
      </c>
      <c r="N11" s="12">
        <f t="shared" si="1"/>
        <v>1.173913043478261</v>
      </c>
      <c r="O11" s="12">
        <v>1</v>
      </c>
      <c r="P11" s="12">
        <f t="shared" si="2"/>
        <v>1.173913043478261</v>
      </c>
      <c r="Q11" s="12" t="s">
        <v>66</v>
      </c>
      <c r="R11" s="12" t="s">
        <v>68</v>
      </c>
      <c r="S11" s="22">
        <v>10</v>
      </c>
      <c r="T11" s="22" t="s">
        <v>84</v>
      </c>
      <c r="U11" s="12">
        <v>1</v>
      </c>
      <c r="V11" s="16">
        <v>0.88</v>
      </c>
      <c r="W11" s="16">
        <v>0.94</v>
      </c>
      <c r="X11" s="16">
        <f t="shared" si="3"/>
        <v>12.088974854932303</v>
      </c>
      <c r="Y11" s="12" t="s">
        <v>86</v>
      </c>
      <c r="Z11" s="12" t="s">
        <v>81</v>
      </c>
      <c r="AA11" s="43"/>
      <c r="AB11" s="40"/>
      <c r="AC11" s="34">
        <v>13</v>
      </c>
      <c r="AD11" s="24">
        <v>12.34</v>
      </c>
      <c r="AE11" s="24">
        <v>0.108</v>
      </c>
      <c r="AF11" s="39">
        <v>0.85</v>
      </c>
      <c r="AG11" s="39">
        <v>0.52700000000000002</v>
      </c>
      <c r="AH11" s="34">
        <f t="shared" si="4"/>
        <v>0.27989538873345932</v>
      </c>
    </row>
    <row r="12" spans="1:34" ht="39.6" customHeight="1">
      <c r="A12" s="52"/>
      <c r="B12" s="4" t="s">
        <v>13</v>
      </c>
      <c r="C12" s="3">
        <f>54*16.5</f>
        <v>891</v>
      </c>
      <c r="D12" s="3">
        <v>3550</v>
      </c>
      <c r="E12" s="3">
        <v>100</v>
      </c>
      <c r="F12" s="2">
        <v>3130</v>
      </c>
      <c r="G12" s="2">
        <v>1</v>
      </c>
      <c r="H12" s="5" t="s">
        <v>52</v>
      </c>
      <c r="I12" s="2">
        <f t="shared" si="5"/>
        <v>29</v>
      </c>
      <c r="J12" s="17">
        <v>22</v>
      </c>
      <c r="K12" s="2">
        <f t="shared" si="0"/>
        <v>638</v>
      </c>
      <c r="L12" s="15">
        <v>115</v>
      </c>
      <c r="M12" s="16">
        <v>0.8</v>
      </c>
      <c r="N12" s="12">
        <f t="shared" si="1"/>
        <v>6.9347826086956523</v>
      </c>
      <c r="O12" s="12">
        <v>1</v>
      </c>
      <c r="P12" s="12">
        <f t="shared" si="2"/>
        <v>6.9347826086956523</v>
      </c>
      <c r="Q12" s="12" t="s">
        <v>66</v>
      </c>
      <c r="R12" s="12" t="s">
        <v>68</v>
      </c>
      <c r="S12" s="22">
        <v>10</v>
      </c>
      <c r="T12" s="22" t="s">
        <v>84</v>
      </c>
      <c r="U12" s="12">
        <v>1</v>
      </c>
      <c r="V12" s="16">
        <v>0.88</v>
      </c>
      <c r="W12" s="16">
        <v>0.94</v>
      </c>
      <c r="X12" s="16">
        <f t="shared" si="3"/>
        <v>12.088974854932303</v>
      </c>
      <c r="Y12" s="12" t="s">
        <v>86</v>
      </c>
      <c r="Z12" s="12" t="s">
        <v>81</v>
      </c>
      <c r="AA12" s="43"/>
      <c r="AB12" s="40"/>
      <c r="AC12" s="34">
        <v>4</v>
      </c>
      <c r="AD12" s="24">
        <v>12.34</v>
      </c>
      <c r="AE12" s="24">
        <v>0.108</v>
      </c>
      <c r="AF12" s="39">
        <v>0.85</v>
      </c>
      <c r="AG12" s="39">
        <v>0.52700000000000002</v>
      </c>
      <c r="AH12" s="34">
        <f>2*N12*AC12*(AD12*AF12+AE12*AG12)/1000/L12*100</f>
        <v>0.50875572083175802</v>
      </c>
    </row>
    <row r="13" spans="1:34" ht="56.4" customHeight="1">
      <c r="A13" s="52"/>
      <c r="B13" s="4" t="s">
        <v>38</v>
      </c>
      <c r="C13" s="3">
        <f>3.6*3</f>
        <v>10.8</v>
      </c>
      <c r="D13" s="3">
        <v>2700</v>
      </c>
      <c r="E13" s="3">
        <v>150</v>
      </c>
      <c r="F13" s="2">
        <v>1150</v>
      </c>
      <c r="G13" s="2">
        <v>1</v>
      </c>
      <c r="H13" s="5" t="s">
        <v>44</v>
      </c>
      <c r="I13" s="2">
        <f t="shared" si="5"/>
        <v>2</v>
      </c>
      <c r="J13" s="17">
        <v>10</v>
      </c>
      <c r="K13" s="2">
        <f t="shared" si="0"/>
        <v>20</v>
      </c>
      <c r="L13" s="15">
        <v>115</v>
      </c>
      <c r="M13" s="16">
        <v>0.8</v>
      </c>
      <c r="N13" s="12">
        <f t="shared" si="1"/>
        <v>0.21739130434782608</v>
      </c>
      <c r="O13" s="12">
        <v>1</v>
      </c>
      <c r="P13" s="12">
        <f t="shared" si="2"/>
        <v>0.21739130434782608</v>
      </c>
      <c r="Q13" s="12" t="s">
        <v>66</v>
      </c>
      <c r="R13" s="12" t="s">
        <v>68</v>
      </c>
      <c r="S13" s="22">
        <v>10</v>
      </c>
      <c r="T13" s="22" t="s">
        <v>84</v>
      </c>
      <c r="U13" s="12">
        <v>1</v>
      </c>
      <c r="V13" s="16">
        <v>0.88</v>
      </c>
      <c r="W13" s="16">
        <v>0.94</v>
      </c>
      <c r="X13" s="16">
        <f t="shared" si="3"/>
        <v>12.088974854932303</v>
      </c>
      <c r="Y13" s="12" t="s">
        <v>86</v>
      </c>
      <c r="Z13" s="12" t="s">
        <v>81</v>
      </c>
      <c r="AA13" s="43"/>
      <c r="AB13" s="40"/>
      <c r="AC13" s="34">
        <v>4</v>
      </c>
      <c r="AD13" s="24">
        <v>12.34</v>
      </c>
      <c r="AE13" s="24">
        <v>0.108</v>
      </c>
      <c r="AF13" s="39">
        <v>0.85</v>
      </c>
      <c r="AG13" s="39">
        <v>0.52700000000000002</v>
      </c>
      <c r="AH13" s="34">
        <f>2*N13*AC13*(AD13*AF13+AE13*AG13)/1000/L13*100</f>
        <v>1.5948455198487709E-2</v>
      </c>
    </row>
    <row r="14" spans="1:34" ht="63.6" customHeight="1">
      <c r="A14" s="53"/>
      <c r="B14" s="4" t="s">
        <v>39</v>
      </c>
      <c r="C14" s="3">
        <f>4.5*3</f>
        <v>13.5</v>
      </c>
      <c r="D14" s="3">
        <v>2700</v>
      </c>
      <c r="E14" s="3">
        <v>150</v>
      </c>
      <c r="F14" s="2">
        <v>1150</v>
      </c>
      <c r="G14" s="2">
        <v>1</v>
      </c>
      <c r="H14" s="5" t="s">
        <v>44</v>
      </c>
      <c r="I14" s="2">
        <f t="shared" si="5"/>
        <v>2</v>
      </c>
      <c r="J14" s="17">
        <v>10</v>
      </c>
      <c r="K14" s="2">
        <f t="shared" si="0"/>
        <v>20</v>
      </c>
      <c r="L14" s="15">
        <v>115</v>
      </c>
      <c r="M14" s="16">
        <v>0.8</v>
      </c>
      <c r="N14" s="12">
        <f t="shared" si="1"/>
        <v>0.21739130434782608</v>
      </c>
      <c r="O14" s="12">
        <v>1</v>
      </c>
      <c r="P14" s="12">
        <f t="shared" si="2"/>
        <v>0.21739130434782608</v>
      </c>
      <c r="Q14" s="12" t="s">
        <v>66</v>
      </c>
      <c r="R14" s="12" t="s">
        <v>68</v>
      </c>
      <c r="S14" s="22">
        <v>10</v>
      </c>
      <c r="T14" s="22" t="s">
        <v>84</v>
      </c>
      <c r="U14" s="12">
        <v>1</v>
      </c>
      <c r="V14" s="16">
        <v>0.88</v>
      </c>
      <c r="W14" s="16">
        <v>0.94</v>
      </c>
      <c r="X14" s="16">
        <f t="shared" si="3"/>
        <v>12.088974854932303</v>
      </c>
      <c r="Y14" s="12" t="s">
        <v>86</v>
      </c>
      <c r="Z14" s="12" t="s">
        <v>81</v>
      </c>
      <c r="AA14" s="43"/>
      <c r="AB14" s="40"/>
      <c r="AC14" s="34">
        <v>4</v>
      </c>
      <c r="AD14" s="24">
        <v>12.34</v>
      </c>
      <c r="AE14" s="24">
        <v>0.108</v>
      </c>
      <c r="AF14" s="39">
        <v>0.85</v>
      </c>
      <c r="AG14" s="39">
        <v>0.52700000000000002</v>
      </c>
      <c r="AH14" s="34">
        <f t="shared" si="4"/>
        <v>1.5948455198487709E-2</v>
      </c>
    </row>
    <row r="15" spans="1:34" ht="30" customHeight="1">
      <c r="A15" s="3" t="s">
        <v>40</v>
      </c>
      <c r="B15" s="4"/>
      <c r="C15" s="2"/>
      <c r="D15" s="3"/>
      <c r="E15" s="3"/>
      <c r="F15" s="2"/>
      <c r="G15" s="2"/>
      <c r="H15" s="2"/>
      <c r="I15" s="2"/>
      <c r="J15" s="17"/>
      <c r="K15" s="2">
        <f>SUM(K6:K14)</f>
        <v>7368</v>
      </c>
      <c r="L15" s="14"/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43"/>
      <c r="W15" s="43"/>
      <c r="X15" s="43"/>
      <c r="Y15" s="43"/>
      <c r="Z15" s="43"/>
      <c r="AA15" s="12"/>
      <c r="AC15" s="34"/>
      <c r="AD15" s="34"/>
      <c r="AE15" s="34"/>
      <c r="AF15" s="34"/>
      <c r="AG15" s="34"/>
      <c r="AH15" s="34" t="e">
        <f t="shared" si="4"/>
        <v>#DIV/0!</v>
      </c>
    </row>
    <row r="16" spans="1:34" ht="30" customHeight="1">
      <c r="A16" s="4" t="s">
        <v>14</v>
      </c>
      <c r="B16" s="4"/>
      <c r="C16" s="3"/>
      <c r="D16" s="3"/>
      <c r="E16" s="3"/>
      <c r="F16" s="2"/>
      <c r="G16" s="2"/>
      <c r="H16" s="2"/>
      <c r="I16" s="2"/>
      <c r="J16" s="17"/>
      <c r="K16" s="2"/>
      <c r="L16" s="14"/>
      <c r="M16" s="12"/>
      <c r="N16" s="12"/>
      <c r="O16" s="12"/>
      <c r="P16" s="12"/>
      <c r="Q16" s="12"/>
      <c r="R16" s="12"/>
      <c r="S16" s="12"/>
      <c r="T16" s="5"/>
      <c r="U16" s="7"/>
      <c r="V16" s="8"/>
      <c r="W16" s="16"/>
      <c r="X16" s="16"/>
      <c r="Y16" s="16"/>
      <c r="Z16" s="12"/>
      <c r="AA16" s="12"/>
      <c r="AC16" s="34"/>
      <c r="AD16" s="34"/>
      <c r="AE16" s="34"/>
      <c r="AF16" s="34"/>
      <c r="AG16" s="34"/>
      <c r="AH16" s="34" t="e">
        <f t="shared" si="4"/>
        <v>#DIV/0!</v>
      </c>
    </row>
    <row r="17" spans="1:34" ht="30" customHeight="1">
      <c r="A17" s="51"/>
      <c r="B17" s="4" t="s">
        <v>7</v>
      </c>
      <c r="C17" s="3">
        <f>36*84</f>
        <v>3024</v>
      </c>
      <c r="D17" s="3">
        <v>2700</v>
      </c>
      <c r="E17" s="3">
        <v>200</v>
      </c>
      <c r="F17" s="2">
        <v>19137</v>
      </c>
      <c r="G17" s="2">
        <v>1</v>
      </c>
      <c r="H17" s="5" t="s">
        <v>41</v>
      </c>
      <c r="I17" s="2">
        <f t="shared" ref="I17:I32" si="6">ROUNDUP((C17*E17)/F17,0)</f>
        <v>32</v>
      </c>
      <c r="J17" s="17">
        <v>125</v>
      </c>
      <c r="K17" s="2">
        <f t="shared" ref="K17:K32" si="7">I17*J17</f>
        <v>4000</v>
      </c>
      <c r="L17" s="15">
        <v>115</v>
      </c>
      <c r="M17" s="16">
        <v>0.8</v>
      </c>
      <c r="N17" s="12">
        <f t="shared" ref="N17:N32" si="8">K17/(L17*M17)</f>
        <v>43.478260869565219</v>
      </c>
      <c r="O17" s="12">
        <v>1</v>
      </c>
      <c r="P17" s="12">
        <f t="shared" ref="P17:P32" si="9">N17*O17</f>
        <v>43.478260869565219</v>
      </c>
      <c r="Q17" s="12" t="s">
        <v>66</v>
      </c>
      <c r="R17" s="12" t="s">
        <v>68</v>
      </c>
      <c r="S17" s="12">
        <v>50</v>
      </c>
      <c r="T17" s="2" t="s">
        <v>84</v>
      </c>
      <c r="U17" s="12">
        <v>1</v>
      </c>
      <c r="V17" s="16">
        <v>0.88</v>
      </c>
      <c r="W17" s="16">
        <v>0.94</v>
      </c>
      <c r="X17" s="16">
        <f t="shared" ref="X17:X32" si="10">S17/(U17*V17*W17)</f>
        <v>60.444874274661515</v>
      </c>
      <c r="Y17" s="12" t="s">
        <v>87</v>
      </c>
      <c r="Z17" s="12" t="s">
        <v>81</v>
      </c>
      <c r="AA17" s="48" t="s">
        <v>80</v>
      </c>
      <c r="AC17" s="34">
        <v>40</v>
      </c>
      <c r="AD17" s="23">
        <v>1.851</v>
      </c>
      <c r="AE17" s="23">
        <v>8.6999999999999994E-2</v>
      </c>
      <c r="AF17" s="39">
        <v>0.85</v>
      </c>
      <c r="AG17" s="39">
        <v>0.52700000000000002</v>
      </c>
      <c r="AH17" s="34">
        <f t="shared" si="4"/>
        <v>4.8973882797731569</v>
      </c>
    </row>
    <row r="18" spans="1:34" ht="30" customHeight="1">
      <c r="A18" s="52"/>
      <c r="B18" s="4" t="s">
        <v>15</v>
      </c>
      <c r="C18" s="3">
        <f>6*5.5</f>
        <v>33</v>
      </c>
      <c r="D18" s="3">
        <v>2700</v>
      </c>
      <c r="E18" s="3">
        <v>100</v>
      </c>
      <c r="F18" s="2">
        <v>2700</v>
      </c>
      <c r="G18" s="2">
        <v>1</v>
      </c>
      <c r="H18" s="5" t="s">
        <v>43</v>
      </c>
      <c r="I18" s="2">
        <f t="shared" si="6"/>
        <v>2</v>
      </c>
      <c r="J18" s="17">
        <v>36</v>
      </c>
      <c r="K18" s="2">
        <f t="shared" si="7"/>
        <v>72</v>
      </c>
      <c r="L18" s="15">
        <v>115</v>
      </c>
      <c r="M18" s="16">
        <v>0.8</v>
      </c>
      <c r="N18" s="12">
        <f t="shared" si="8"/>
        <v>0.78260869565217395</v>
      </c>
      <c r="O18" s="12">
        <v>1</v>
      </c>
      <c r="P18" s="12">
        <f t="shared" si="9"/>
        <v>0.78260869565217395</v>
      </c>
      <c r="Q18" s="12" t="s">
        <v>66</v>
      </c>
      <c r="R18" s="12" t="s">
        <v>68</v>
      </c>
      <c r="S18" s="12">
        <v>10</v>
      </c>
      <c r="T18" s="2" t="s">
        <v>84</v>
      </c>
      <c r="U18" s="12">
        <v>1</v>
      </c>
      <c r="V18" s="16">
        <v>0.88</v>
      </c>
      <c r="W18" s="16">
        <v>0.94</v>
      </c>
      <c r="X18" s="16">
        <f t="shared" si="10"/>
        <v>12.088974854932303</v>
      </c>
      <c r="Y18" s="12" t="s">
        <v>86</v>
      </c>
      <c r="Z18" s="12" t="s">
        <v>81</v>
      </c>
      <c r="AA18" s="43"/>
      <c r="AC18" s="34">
        <v>10</v>
      </c>
      <c r="AD18" s="24">
        <v>12.34</v>
      </c>
      <c r="AE18" s="24">
        <v>0.108</v>
      </c>
      <c r="AF18" s="39">
        <v>0.85</v>
      </c>
      <c r="AG18" s="39">
        <v>0.52700000000000002</v>
      </c>
      <c r="AH18" s="34">
        <f t="shared" si="4"/>
        <v>0.14353609678638943</v>
      </c>
    </row>
    <row r="19" spans="1:34" ht="36.6" customHeight="1">
      <c r="A19" s="52"/>
      <c r="B19" s="4" t="s">
        <v>16</v>
      </c>
      <c r="C19" s="3">
        <f>54*16.5</f>
        <v>891</v>
      </c>
      <c r="D19" s="3">
        <v>2700</v>
      </c>
      <c r="E19" s="3">
        <v>150</v>
      </c>
      <c r="F19" s="2">
        <v>3130</v>
      </c>
      <c r="G19" s="2">
        <v>1</v>
      </c>
      <c r="H19" s="5" t="s">
        <v>52</v>
      </c>
      <c r="I19" s="2">
        <f t="shared" si="6"/>
        <v>43</v>
      </c>
      <c r="J19" s="17">
        <v>22</v>
      </c>
      <c r="K19" s="2">
        <f t="shared" si="7"/>
        <v>946</v>
      </c>
      <c r="L19" s="15">
        <v>115</v>
      </c>
      <c r="M19" s="16">
        <v>0.8</v>
      </c>
      <c r="N19" s="12">
        <f t="shared" si="8"/>
        <v>10.282608695652174</v>
      </c>
      <c r="O19" s="12">
        <v>1</v>
      </c>
      <c r="P19" s="12">
        <f t="shared" si="9"/>
        <v>10.282608695652174</v>
      </c>
      <c r="Q19" s="12" t="s">
        <v>66</v>
      </c>
      <c r="R19" s="12" t="s">
        <v>68</v>
      </c>
      <c r="S19" s="12">
        <v>10</v>
      </c>
      <c r="T19" s="2" t="s">
        <v>84</v>
      </c>
      <c r="U19" s="12">
        <v>1</v>
      </c>
      <c r="V19" s="16">
        <v>0.88</v>
      </c>
      <c r="W19" s="16">
        <v>0.94</v>
      </c>
      <c r="X19" s="16">
        <f t="shared" si="10"/>
        <v>12.088974854932303</v>
      </c>
      <c r="Y19" s="12" t="s">
        <v>86</v>
      </c>
      <c r="Z19" s="12" t="s">
        <v>81</v>
      </c>
      <c r="AA19" s="43"/>
      <c r="AC19" s="34">
        <v>25</v>
      </c>
      <c r="AD19" s="24">
        <v>12.34</v>
      </c>
      <c r="AE19" s="24">
        <v>0.108</v>
      </c>
      <c r="AF19" s="39">
        <v>0.85</v>
      </c>
      <c r="AG19" s="39">
        <v>0.52700000000000002</v>
      </c>
      <c r="AH19" s="34">
        <f t="shared" si="4"/>
        <v>4.714762068052929</v>
      </c>
    </row>
    <row r="20" spans="1:34" ht="48.6" customHeight="1">
      <c r="A20" s="52"/>
      <c r="B20" s="4" t="s">
        <v>17</v>
      </c>
      <c r="C20" s="1">
        <f>3.6*3</f>
        <v>10.8</v>
      </c>
      <c r="D20" s="3">
        <v>2700</v>
      </c>
      <c r="E20" s="3">
        <v>150</v>
      </c>
      <c r="F20" s="2">
        <v>1150</v>
      </c>
      <c r="G20" s="2">
        <v>1</v>
      </c>
      <c r="H20" s="5" t="s">
        <v>44</v>
      </c>
      <c r="I20" s="2">
        <f t="shared" si="6"/>
        <v>2</v>
      </c>
      <c r="J20" s="17">
        <v>10</v>
      </c>
      <c r="K20" s="2">
        <f t="shared" si="7"/>
        <v>20</v>
      </c>
      <c r="L20" s="15">
        <v>115</v>
      </c>
      <c r="M20" s="16">
        <v>0.8</v>
      </c>
      <c r="N20" s="12">
        <f t="shared" si="8"/>
        <v>0.21739130434782608</v>
      </c>
      <c r="O20" s="12">
        <v>1</v>
      </c>
      <c r="P20" s="12">
        <f t="shared" si="9"/>
        <v>0.21739130434782608</v>
      </c>
      <c r="Q20" s="12" t="s">
        <v>66</v>
      </c>
      <c r="R20" s="12" t="s">
        <v>68</v>
      </c>
      <c r="S20" s="12">
        <v>10</v>
      </c>
      <c r="T20" s="2" t="s">
        <v>84</v>
      </c>
      <c r="U20" s="12">
        <v>1</v>
      </c>
      <c r="V20" s="16">
        <v>0.88</v>
      </c>
      <c r="W20" s="16">
        <v>0.94</v>
      </c>
      <c r="X20" s="16">
        <f t="shared" si="10"/>
        <v>12.088974854932303</v>
      </c>
      <c r="Y20" s="12" t="s">
        <v>86</v>
      </c>
      <c r="Z20" s="12" t="s">
        <v>81</v>
      </c>
      <c r="AA20" s="43"/>
      <c r="AC20" s="34">
        <v>16</v>
      </c>
      <c r="AD20" s="24">
        <v>12.34</v>
      </c>
      <c r="AE20" s="24">
        <v>0.108</v>
      </c>
      <c r="AF20" s="39">
        <v>0.85</v>
      </c>
      <c r="AG20" s="39">
        <v>0.52700000000000002</v>
      </c>
      <c r="AH20" s="34">
        <f t="shared" si="4"/>
        <v>6.3793820793950837E-2</v>
      </c>
    </row>
    <row r="21" spans="1:34" ht="56.4" customHeight="1">
      <c r="A21" s="52"/>
      <c r="B21" s="4" t="s">
        <v>18</v>
      </c>
      <c r="C21" s="3">
        <f>4.5*3</f>
        <v>13.5</v>
      </c>
      <c r="D21" s="3">
        <v>3000</v>
      </c>
      <c r="E21" s="3">
        <v>200</v>
      </c>
      <c r="F21" s="2">
        <v>1150</v>
      </c>
      <c r="G21" s="2">
        <v>1</v>
      </c>
      <c r="H21" s="5" t="s">
        <v>44</v>
      </c>
      <c r="I21" s="2">
        <f t="shared" si="6"/>
        <v>3</v>
      </c>
      <c r="J21" s="17">
        <v>10</v>
      </c>
      <c r="K21" s="2">
        <f t="shared" si="7"/>
        <v>30</v>
      </c>
      <c r="L21" s="15">
        <v>115</v>
      </c>
      <c r="M21" s="16">
        <v>0.8</v>
      </c>
      <c r="N21" s="12">
        <f t="shared" si="8"/>
        <v>0.32608695652173914</v>
      </c>
      <c r="O21" s="12">
        <v>1</v>
      </c>
      <c r="P21" s="12">
        <f t="shared" si="9"/>
        <v>0.32608695652173914</v>
      </c>
      <c r="Q21" s="12" t="s">
        <v>66</v>
      </c>
      <c r="R21" s="12" t="s">
        <v>68</v>
      </c>
      <c r="S21" s="12">
        <v>10</v>
      </c>
      <c r="T21" s="2" t="s">
        <v>84</v>
      </c>
      <c r="U21" s="12">
        <v>1</v>
      </c>
      <c r="V21" s="16">
        <v>0.88</v>
      </c>
      <c r="W21" s="16">
        <v>0.94</v>
      </c>
      <c r="X21" s="16">
        <f t="shared" si="10"/>
        <v>12.088974854932303</v>
      </c>
      <c r="Y21" s="12" t="s">
        <v>86</v>
      </c>
      <c r="Z21" s="12" t="s">
        <v>81</v>
      </c>
      <c r="AA21" s="43"/>
      <c r="AC21" s="34">
        <v>12</v>
      </c>
      <c r="AD21" s="24">
        <v>12.34</v>
      </c>
      <c r="AE21" s="24">
        <v>0.108</v>
      </c>
      <c r="AF21" s="39">
        <v>0.85</v>
      </c>
      <c r="AG21" s="39">
        <v>0.52700000000000002</v>
      </c>
      <c r="AH21" s="34">
        <f t="shared" si="4"/>
        <v>7.1768048393194714E-2</v>
      </c>
    </row>
    <row r="22" spans="1:34" ht="30" customHeight="1">
      <c r="A22" s="52"/>
      <c r="B22" s="4" t="s">
        <v>19</v>
      </c>
      <c r="C22" s="3">
        <f>12.5*3</f>
        <v>37.5</v>
      </c>
      <c r="D22" s="3">
        <v>3000</v>
      </c>
      <c r="E22" s="3">
        <v>200</v>
      </c>
      <c r="F22" s="2">
        <v>2700</v>
      </c>
      <c r="G22" s="2">
        <v>1</v>
      </c>
      <c r="H22" s="5" t="s">
        <v>43</v>
      </c>
      <c r="I22" s="2">
        <f t="shared" si="6"/>
        <v>3</v>
      </c>
      <c r="J22" s="17">
        <v>36</v>
      </c>
      <c r="K22" s="2">
        <f t="shared" si="7"/>
        <v>108</v>
      </c>
      <c r="L22" s="15">
        <v>115</v>
      </c>
      <c r="M22" s="16">
        <v>0.8</v>
      </c>
      <c r="N22" s="12">
        <f t="shared" si="8"/>
        <v>1.173913043478261</v>
      </c>
      <c r="O22" s="12">
        <v>1</v>
      </c>
      <c r="P22" s="12">
        <f t="shared" si="9"/>
        <v>1.173913043478261</v>
      </c>
      <c r="Q22" s="12" t="s">
        <v>66</v>
      </c>
      <c r="R22" s="12" t="s">
        <v>68</v>
      </c>
      <c r="S22" s="12">
        <v>10</v>
      </c>
      <c r="T22" s="2" t="s">
        <v>84</v>
      </c>
      <c r="U22" s="12">
        <v>1</v>
      </c>
      <c r="V22" s="16">
        <v>0.88</v>
      </c>
      <c r="W22" s="16">
        <v>0.94</v>
      </c>
      <c r="X22" s="16">
        <f t="shared" si="10"/>
        <v>12.088974854932303</v>
      </c>
      <c r="Y22" s="12" t="s">
        <v>86</v>
      </c>
      <c r="Z22" s="12" t="s">
        <v>81</v>
      </c>
      <c r="AA22" s="43"/>
      <c r="AC22" s="34">
        <v>13</v>
      </c>
      <c r="AD22" s="24">
        <v>12.34</v>
      </c>
      <c r="AE22" s="24">
        <v>0.108</v>
      </c>
      <c r="AF22" s="39">
        <v>0.85</v>
      </c>
      <c r="AG22" s="39">
        <v>0.52700000000000002</v>
      </c>
      <c r="AH22" s="34">
        <f t="shared" si="4"/>
        <v>0.27989538873345932</v>
      </c>
    </row>
    <row r="23" spans="1:34" ht="30" customHeight="1">
      <c r="A23" s="52"/>
      <c r="B23" s="4" t="s">
        <v>20</v>
      </c>
      <c r="C23" s="3">
        <f>7.3*13</f>
        <v>94.899999999999991</v>
      </c>
      <c r="D23" s="3">
        <v>3000</v>
      </c>
      <c r="E23" s="3">
        <v>200</v>
      </c>
      <c r="F23" s="2">
        <v>2700</v>
      </c>
      <c r="G23" s="2">
        <v>1</v>
      </c>
      <c r="H23" s="5" t="s">
        <v>43</v>
      </c>
      <c r="I23" s="2">
        <f t="shared" si="6"/>
        <v>8</v>
      </c>
      <c r="J23" s="17">
        <v>36</v>
      </c>
      <c r="K23" s="2">
        <f t="shared" si="7"/>
        <v>288</v>
      </c>
      <c r="L23" s="15">
        <v>115</v>
      </c>
      <c r="M23" s="16">
        <v>0.8</v>
      </c>
      <c r="N23" s="12">
        <f t="shared" si="8"/>
        <v>3.1304347826086958</v>
      </c>
      <c r="O23" s="12">
        <v>1</v>
      </c>
      <c r="P23" s="12">
        <f t="shared" si="9"/>
        <v>3.1304347826086958</v>
      </c>
      <c r="Q23" s="12" t="s">
        <v>66</v>
      </c>
      <c r="R23" s="12" t="s">
        <v>68</v>
      </c>
      <c r="S23" s="12">
        <v>10</v>
      </c>
      <c r="T23" s="2" t="s">
        <v>84</v>
      </c>
      <c r="U23" s="12">
        <v>1</v>
      </c>
      <c r="V23" s="16">
        <v>0.88</v>
      </c>
      <c r="W23" s="16">
        <v>0.94</v>
      </c>
      <c r="X23" s="16">
        <f t="shared" si="10"/>
        <v>12.088974854932303</v>
      </c>
      <c r="Y23" s="12" t="s">
        <v>86</v>
      </c>
      <c r="Z23" s="12" t="s">
        <v>81</v>
      </c>
      <c r="AA23" s="43"/>
      <c r="AC23" s="34">
        <v>4</v>
      </c>
      <c r="AD23" s="24">
        <v>12.34</v>
      </c>
      <c r="AE23" s="24">
        <v>0.108</v>
      </c>
      <c r="AF23" s="39">
        <v>0.85</v>
      </c>
      <c r="AG23" s="39">
        <v>0.52700000000000002</v>
      </c>
      <c r="AH23" s="34">
        <f t="shared" si="4"/>
        <v>0.22965775485822301</v>
      </c>
    </row>
    <row r="24" spans="1:34" ht="30" customHeight="1">
      <c r="A24" s="52"/>
      <c r="B24" s="4" t="s">
        <v>21</v>
      </c>
      <c r="C24" s="3">
        <f>4.4*10.9</f>
        <v>47.960000000000008</v>
      </c>
      <c r="D24" s="3">
        <v>2700</v>
      </c>
      <c r="E24" s="3">
        <v>150</v>
      </c>
      <c r="F24" s="2">
        <v>2700</v>
      </c>
      <c r="G24" s="2">
        <v>1</v>
      </c>
      <c r="H24" s="5" t="s">
        <v>43</v>
      </c>
      <c r="I24" s="2">
        <f t="shared" si="6"/>
        <v>3</v>
      </c>
      <c r="J24" s="17">
        <v>36</v>
      </c>
      <c r="K24" s="2">
        <f t="shared" si="7"/>
        <v>108</v>
      </c>
      <c r="L24" s="15">
        <v>115</v>
      </c>
      <c r="M24" s="16">
        <v>0.8</v>
      </c>
      <c r="N24" s="12">
        <f t="shared" si="8"/>
        <v>1.173913043478261</v>
      </c>
      <c r="O24" s="12">
        <v>1</v>
      </c>
      <c r="P24" s="12">
        <f t="shared" si="9"/>
        <v>1.173913043478261</v>
      </c>
      <c r="Q24" s="12" t="s">
        <v>66</v>
      </c>
      <c r="R24" s="12" t="s">
        <v>68</v>
      </c>
      <c r="S24" s="12">
        <v>10</v>
      </c>
      <c r="T24" s="2" t="s">
        <v>84</v>
      </c>
      <c r="U24" s="12">
        <v>1</v>
      </c>
      <c r="V24" s="16">
        <v>0.88</v>
      </c>
      <c r="W24" s="16">
        <v>0.94</v>
      </c>
      <c r="X24" s="16">
        <f t="shared" si="10"/>
        <v>12.088974854932303</v>
      </c>
      <c r="Y24" s="12" t="s">
        <v>86</v>
      </c>
      <c r="Z24" s="12" t="s">
        <v>81</v>
      </c>
      <c r="AA24" s="43"/>
      <c r="AC24" s="34">
        <v>4</v>
      </c>
      <c r="AD24" s="24">
        <v>12.34</v>
      </c>
      <c r="AE24" s="24">
        <v>0.108</v>
      </c>
      <c r="AF24" s="39">
        <v>0.85</v>
      </c>
      <c r="AG24" s="39">
        <v>0.52700000000000002</v>
      </c>
      <c r="AH24" s="34">
        <f t="shared" si="4"/>
        <v>8.612165807183364E-2</v>
      </c>
    </row>
    <row r="25" spans="1:34" ht="42" customHeight="1">
      <c r="A25" s="52"/>
      <c r="B25" s="4" t="s">
        <v>22</v>
      </c>
      <c r="C25" s="3">
        <f>3.1*5.7</f>
        <v>17.670000000000002</v>
      </c>
      <c r="D25" s="3">
        <v>3000</v>
      </c>
      <c r="E25" s="3">
        <v>200</v>
      </c>
      <c r="F25" s="2">
        <v>1150</v>
      </c>
      <c r="G25" s="2">
        <v>1</v>
      </c>
      <c r="H25" s="5" t="s">
        <v>44</v>
      </c>
      <c r="I25" s="2">
        <f t="shared" si="6"/>
        <v>4</v>
      </c>
      <c r="J25" s="17">
        <v>10</v>
      </c>
      <c r="K25" s="2">
        <f t="shared" si="7"/>
        <v>40</v>
      </c>
      <c r="L25" s="15">
        <v>115</v>
      </c>
      <c r="M25" s="16">
        <v>0.8</v>
      </c>
      <c r="N25" s="12">
        <f t="shared" si="8"/>
        <v>0.43478260869565216</v>
      </c>
      <c r="O25" s="12">
        <v>1</v>
      </c>
      <c r="P25" s="12">
        <f t="shared" si="9"/>
        <v>0.43478260869565216</v>
      </c>
      <c r="Q25" s="12" t="s">
        <v>66</v>
      </c>
      <c r="R25" s="12" t="s">
        <v>68</v>
      </c>
      <c r="S25" s="12">
        <v>10</v>
      </c>
      <c r="T25" s="2" t="s">
        <v>84</v>
      </c>
      <c r="U25" s="12">
        <v>1</v>
      </c>
      <c r="V25" s="16">
        <v>0.88</v>
      </c>
      <c r="W25" s="16">
        <v>0.94</v>
      </c>
      <c r="X25" s="16">
        <f t="shared" si="10"/>
        <v>12.088974854932303</v>
      </c>
      <c r="Y25" s="12" t="s">
        <v>86</v>
      </c>
      <c r="Z25" s="12" t="s">
        <v>81</v>
      </c>
      <c r="AA25" s="43"/>
      <c r="AC25" s="34">
        <v>4</v>
      </c>
      <c r="AD25" s="24">
        <v>12.34</v>
      </c>
      <c r="AE25" s="24">
        <v>0.108</v>
      </c>
      <c r="AF25" s="39">
        <v>0.85</v>
      </c>
      <c r="AG25" s="39">
        <v>0.52700000000000002</v>
      </c>
      <c r="AH25" s="34">
        <f t="shared" si="4"/>
        <v>3.1896910396975418E-2</v>
      </c>
    </row>
    <row r="26" spans="1:34" ht="30" customHeight="1">
      <c r="A26" s="52"/>
      <c r="B26" s="4" t="s">
        <v>23</v>
      </c>
      <c r="C26" s="3">
        <f>20.3*3.6</f>
        <v>73.08</v>
      </c>
      <c r="D26" s="3">
        <v>2700</v>
      </c>
      <c r="E26" s="3">
        <v>200</v>
      </c>
      <c r="F26" s="2">
        <v>2700</v>
      </c>
      <c r="G26" s="2">
        <v>1</v>
      </c>
      <c r="H26" s="5" t="s">
        <v>43</v>
      </c>
      <c r="I26" s="2">
        <f t="shared" si="6"/>
        <v>6</v>
      </c>
      <c r="J26" s="17">
        <v>36</v>
      </c>
      <c r="K26" s="2">
        <f t="shared" si="7"/>
        <v>216</v>
      </c>
      <c r="L26" s="15">
        <v>115</v>
      </c>
      <c r="M26" s="16">
        <v>0.8</v>
      </c>
      <c r="N26" s="12">
        <f t="shared" si="8"/>
        <v>2.347826086956522</v>
      </c>
      <c r="O26" s="12">
        <v>1</v>
      </c>
      <c r="P26" s="12">
        <f t="shared" si="9"/>
        <v>2.347826086956522</v>
      </c>
      <c r="Q26" s="12" t="s">
        <v>66</v>
      </c>
      <c r="R26" s="12" t="s">
        <v>68</v>
      </c>
      <c r="S26" s="12">
        <v>10</v>
      </c>
      <c r="T26" s="2" t="s">
        <v>84</v>
      </c>
      <c r="U26" s="12">
        <v>1</v>
      </c>
      <c r="V26" s="16">
        <v>0.88</v>
      </c>
      <c r="W26" s="16">
        <v>0.94</v>
      </c>
      <c r="X26" s="16">
        <f t="shared" si="10"/>
        <v>12.088974854932303</v>
      </c>
      <c r="Y26" s="12" t="s">
        <v>86</v>
      </c>
      <c r="Z26" s="12" t="s">
        <v>81</v>
      </c>
      <c r="AA26" s="43"/>
      <c r="AC26" s="34">
        <v>40</v>
      </c>
      <c r="AD26" s="24">
        <v>12.34</v>
      </c>
      <c r="AE26" s="24">
        <v>0.108</v>
      </c>
      <c r="AF26" s="39">
        <v>0.85</v>
      </c>
      <c r="AG26" s="39">
        <v>0.52700000000000002</v>
      </c>
      <c r="AH26" s="34">
        <f t="shared" si="4"/>
        <v>1.7224331614366726</v>
      </c>
    </row>
    <row r="27" spans="1:34" ht="30" customHeight="1">
      <c r="A27" s="52"/>
      <c r="B27" s="4" t="s">
        <v>24</v>
      </c>
      <c r="C27" s="3">
        <f>6.5*8.2</f>
        <v>53.3</v>
      </c>
      <c r="D27" s="3">
        <v>2700</v>
      </c>
      <c r="E27" s="3">
        <v>200</v>
      </c>
      <c r="F27" s="2">
        <v>2700</v>
      </c>
      <c r="G27" s="2">
        <v>1</v>
      </c>
      <c r="H27" s="5" t="s">
        <v>43</v>
      </c>
      <c r="I27" s="2">
        <f t="shared" si="6"/>
        <v>4</v>
      </c>
      <c r="J27" s="17">
        <v>36</v>
      </c>
      <c r="K27" s="2">
        <f t="shared" si="7"/>
        <v>144</v>
      </c>
      <c r="L27" s="15">
        <v>115</v>
      </c>
      <c r="M27" s="16">
        <v>0.8</v>
      </c>
      <c r="N27" s="12">
        <f t="shared" si="8"/>
        <v>1.5652173913043479</v>
      </c>
      <c r="O27" s="12">
        <v>1</v>
      </c>
      <c r="P27" s="12">
        <f t="shared" si="9"/>
        <v>1.5652173913043479</v>
      </c>
      <c r="Q27" s="12" t="s">
        <v>66</v>
      </c>
      <c r="R27" s="12" t="s">
        <v>68</v>
      </c>
      <c r="S27" s="12">
        <v>10</v>
      </c>
      <c r="T27" s="2" t="s">
        <v>84</v>
      </c>
      <c r="U27" s="12">
        <v>1</v>
      </c>
      <c r="V27" s="16">
        <v>0.88</v>
      </c>
      <c r="W27" s="16">
        <v>0.94</v>
      </c>
      <c r="X27" s="16">
        <f t="shared" si="10"/>
        <v>12.088974854932303</v>
      </c>
      <c r="Y27" s="12" t="s">
        <v>86</v>
      </c>
      <c r="Z27" s="12" t="s">
        <v>81</v>
      </c>
      <c r="AA27" s="43"/>
      <c r="AC27" s="34">
        <v>10</v>
      </c>
      <c r="AD27" s="24">
        <v>12.34</v>
      </c>
      <c r="AE27" s="24">
        <v>0.108</v>
      </c>
      <c r="AF27" s="39">
        <v>0.85</v>
      </c>
      <c r="AG27" s="39">
        <v>0.52700000000000002</v>
      </c>
      <c r="AH27" s="34">
        <f t="shared" si="4"/>
        <v>0.28707219357277886</v>
      </c>
    </row>
    <row r="28" spans="1:34" ht="42" customHeight="1">
      <c r="A28" s="52"/>
      <c r="B28" s="4" t="s">
        <v>25</v>
      </c>
      <c r="C28" s="3">
        <f>7.3*4.5</f>
        <v>32.85</v>
      </c>
      <c r="D28" s="3">
        <v>2700</v>
      </c>
      <c r="E28" s="3">
        <v>200</v>
      </c>
      <c r="F28" s="2">
        <v>1150</v>
      </c>
      <c r="G28" s="2">
        <v>1</v>
      </c>
      <c r="H28" s="5" t="s">
        <v>44</v>
      </c>
      <c r="I28" s="2">
        <f t="shared" si="6"/>
        <v>6</v>
      </c>
      <c r="J28" s="17">
        <v>10</v>
      </c>
      <c r="K28" s="2">
        <f t="shared" si="7"/>
        <v>60</v>
      </c>
      <c r="L28" s="15">
        <v>115</v>
      </c>
      <c r="M28" s="16">
        <v>0.8</v>
      </c>
      <c r="N28" s="12">
        <f t="shared" si="8"/>
        <v>0.65217391304347827</v>
      </c>
      <c r="O28" s="12">
        <v>1</v>
      </c>
      <c r="P28" s="12">
        <f t="shared" si="9"/>
        <v>0.65217391304347827</v>
      </c>
      <c r="Q28" s="12" t="s">
        <v>66</v>
      </c>
      <c r="R28" s="12" t="s">
        <v>68</v>
      </c>
      <c r="S28" s="12">
        <v>10</v>
      </c>
      <c r="T28" s="2" t="s">
        <v>84</v>
      </c>
      <c r="U28" s="12">
        <v>1</v>
      </c>
      <c r="V28" s="16">
        <v>0.88</v>
      </c>
      <c r="W28" s="16">
        <v>0.94</v>
      </c>
      <c r="X28" s="16">
        <f t="shared" si="10"/>
        <v>12.088974854932303</v>
      </c>
      <c r="Y28" s="12" t="s">
        <v>86</v>
      </c>
      <c r="Z28" s="12" t="s">
        <v>81</v>
      </c>
      <c r="AA28" s="43"/>
      <c r="AC28" s="34">
        <v>25</v>
      </c>
      <c r="AD28" s="24">
        <v>12.34</v>
      </c>
      <c r="AE28" s="24">
        <v>0.108</v>
      </c>
      <c r="AF28" s="39">
        <v>0.85</v>
      </c>
      <c r="AG28" s="39">
        <v>0.52700000000000002</v>
      </c>
      <c r="AH28" s="34">
        <f t="shared" si="4"/>
        <v>0.29903353497164459</v>
      </c>
    </row>
    <row r="29" spans="1:34" ht="30" customHeight="1">
      <c r="A29" s="52"/>
      <c r="B29" s="4" t="s">
        <v>26</v>
      </c>
      <c r="C29" s="3">
        <f>8.2*9.3</f>
        <v>76.260000000000005</v>
      </c>
      <c r="D29" s="3">
        <v>2700</v>
      </c>
      <c r="E29" s="3">
        <v>150</v>
      </c>
      <c r="F29" s="2">
        <v>2700</v>
      </c>
      <c r="G29" s="2">
        <v>1</v>
      </c>
      <c r="H29" s="5" t="s">
        <v>43</v>
      </c>
      <c r="I29" s="2">
        <f t="shared" si="6"/>
        <v>5</v>
      </c>
      <c r="J29" s="17">
        <v>36</v>
      </c>
      <c r="K29" s="2">
        <f t="shared" si="7"/>
        <v>180</v>
      </c>
      <c r="L29" s="15">
        <v>115</v>
      </c>
      <c r="M29" s="16">
        <v>0.8</v>
      </c>
      <c r="N29" s="12">
        <f t="shared" si="8"/>
        <v>1.9565217391304348</v>
      </c>
      <c r="O29" s="12">
        <v>1</v>
      </c>
      <c r="P29" s="12">
        <f t="shared" si="9"/>
        <v>1.9565217391304348</v>
      </c>
      <c r="Q29" s="12" t="s">
        <v>66</v>
      </c>
      <c r="R29" s="12" t="s">
        <v>68</v>
      </c>
      <c r="S29" s="12">
        <v>10</v>
      </c>
      <c r="T29" s="2" t="s">
        <v>84</v>
      </c>
      <c r="U29" s="12">
        <v>1</v>
      </c>
      <c r="V29" s="16">
        <v>0.88</v>
      </c>
      <c r="W29" s="16">
        <v>0.94</v>
      </c>
      <c r="X29" s="16">
        <f t="shared" si="10"/>
        <v>12.088974854932303</v>
      </c>
      <c r="Y29" s="12" t="s">
        <v>86</v>
      </c>
      <c r="Z29" s="12" t="s">
        <v>81</v>
      </c>
      <c r="AA29" s="43"/>
      <c r="AC29" s="34">
        <v>16</v>
      </c>
      <c r="AD29" s="24">
        <v>12.34</v>
      </c>
      <c r="AE29" s="24">
        <v>0.108</v>
      </c>
      <c r="AF29" s="39">
        <v>0.85</v>
      </c>
      <c r="AG29" s="39">
        <v>0.52700000000000002</v>
      </c>
      <c r="AH29" s="34">
        <f t="shared" si="4"/>
        <v>0.57414438714555771</v>
      </c>
    </row>
    <row r="30" spans="1:34" ht="51.6" customHeight="1">
      <c r="A30" s="52"/>
      <c r="B30" s="4" t="s">
        <v>27</v>
      </c>
      <c r="C30" s="3">
        <f>6*9.3</f>
        <v>55.800000000000004</v>
      </c>
      <c r="D30" s="3">
        <v>2700</v>
      </c>
      <c r="E30" s="3">
        <v>300</v>
      </c>
      <c r="F30" s="2">
        <v>1150</v>
      </c>
      <c r="G30" s="2">
        <v>1</v>
      </c>
      <c r="H30" s="5" t="s">
        <v>44</v>
      </c>
      <c r="I30" s="2">
        <f t="shared" si="6"/>
        <v>15</v>
      </c>
      <c r="J30" s="17">
        <v>10</v>
      </c>
      <c r="K30" s="2">
        <f t="shared" si="7"/>
        <v>150</v>
      </c>
      <c r="L30" s="15">
        <v>115</v>
      </c>
      <c r="M30" s="16">
        <v>0.8</v>
      </c>
      <c r="N30" s="12">
        <f t="shared" si="8"/>
        <v>1.6304347826086956</v>
      </c>
      <c r="O30" s="12">
        <v>1</v>
      </c>
      <c r="P30" s="12">
        <f t="shared" si="9"/>
        <v>1.6304347826086956</v>
      </c>
      <c r="Q30" s="12" t="s">
        <v>66</v>
      </c>
      <c r="R30" s="12" t="s">
        <v>68</v>
      </c>
      <c r="S30" s="12">
        <v>10</v>
      </c>
      <c r="T30" s="2" t="s">
        <v>84</v>
      </c>
      <c r="U30" s="12">
        <v>1</v>
      </c>
      <c r="V30" s="16">
        <v>0.88</v>
      </c>
      <c r="W30" s="16">
        <v>0.94</v>
      </c>
      <c r="X30" s="16">
        <f t="shared" si="10"/>
        <v>12.088974854932303</v>
      </c>
      <c r="Y30" s="12" t="s">
        <v>86</v>
      </c>
      <c r="Z30" s="12" t="s">
        <v>81</v>
      </c>
      <c r="AA30" s="43"/>
      <c r="AC30" s="34">
        <v>12</v>
      </c>
      <c r="AD30" s="24">
        <v>12.34</v>
      </c>
      <c r="AE30" s="24">
        <v>0.108</v>
      </c>
      <c r="AF30" s="39">
        <v>0.85</v>
      </c>
      <c r="AG30" s="39">
        <v>0.52700000000000002</v>
      </c>
      <c r="AH30" s="34">
        <f t="shared" si="4"/>
        <v>0.35884024196597347</v>
      </c>
    </row>
    <row r="31" spans="1:34" ht="30" customHeight="1">
      <c r="A31" s="52"/>
      <c r="B31" s="4" t="s">
        <v>28</v>
      </c>
      <c r="C31" s="3">
        <f>8.2*6</f>
        <v>49.199999999999996</v>
      </c>
      <c r="D31" s="3">
        <v>3000</v>
      </c>
      <c r="E31" s="3">
        <v>300</v>
      </c>
      <c r="F31" s="2">
        <v>2700</v>
      </c>
      <c r="G31" s="2">
        <v>1</v>
      </c>
      <c r="H31" s="5" t="s">
        <v>43</v>
      </c>
      <c r="I31" s="2">
        <f t="shared" si="6"/>
        <v>6</v>
      </c>
      <c r="J31" s="17">
        <v>36</v>
      </c>
      <c r="K31" s="2">
        <f t="shared" si="7"/>
        <v>216</v>
      </c>
      <c r="L31" s="15">
        <v>115</v>
      </c>
      <c r="M31" s="16">
        <v>0.8</v>
      </c>
      <c r="N31" s="12">
        <f t="shared" si="8"/>
        <v>2.347826086956522</v>
      </c>
      <c r="O31" s="12">
        <v>1</v>
      </c>
      <c r="P31" s="12">
        <f t="shared" si="9"/>
        <v>2.347826086956522</v>
      </c>
      <c r="Q31" s="12" t="s">
        <v>66</v>
      </c>
      <c r="R31" s="12" t="s">
        <v>68</v>
      </c>
      <c r="S31" s="12">
        <v>10</v>
      </c>
      <c r="T31" s="2" t="s">
        <v>84</v>
      </c>
      <c r="U31" s="12">
        <v>1</v>
      </c>
      <c r="V31" s="16">
        <v>0.88</v>
      </c>
      <c r="W31" s="16">
        <v>0.94</v>
      </c>
      <c r="X31" s="16">
        <f t="shared" si="10"/>
        <v>12.088974854932303</v>
      </c>
      <c r="Y31" s="12" t="s">
        <v>86</v>
      </c>
      <c r="Z31" s="12" t="s">
        <v>81</v>
      </c>
      <c r="AA31" s="43"/>
      <c r="AC31" s="34">
        <v>13</v>
      </c>
      <c r="AD31" s="24">
        <v>12.34</v>
      </c>
      <c r="AE31" s="24">
        <v>0.108</v>
      </c>
      <c r="AF31" s="39">
        <v>0.85</v>
      </c>
      <c r="AG31" s="39">
        <v>0.52700000000000002</v>
      </c>
      <c r="AH31" s="34">
        <f t="shared" si="4"/>
        <v>0.55979077746691863</v>
      </c>
    </row>
    <row r="32" spans="1:34" ht="53.4" customHeight="1">
      <c r="A32" s="53"/>
      <c r="B32" s="4" t="s">
        <v>29</v>
      </c>
      <c r="C32" s="3">
        <f>24*22</f>
        <v>528</v>
      </c>
      <c r="D32" s="3">
        <v>3000</v>
      </c>
      <c r="E32" s="3">
        <v>300</v>
      </c>
      <c r="F32" s="2">
        <v>3000</v>
      </c>
      <c r="G32" s="2">
        <v>1</v>
      </c>
      <c r="H32" s="5" t="s">
        <v>45</v>
      </c>
      <c r="I32" s="2">
        <f t="shared" si="6"/>
        <v>53</v>
      </c>
      <c r="J32" s="17">
        <v>24</v>
      </c>
      <c r="K32" s="2">
        <f t="shared" si="7"/>
        <v>1272</v>
      </c>
      <c r="L32" s="15">
        <v>115</v>
      </c>
      <c r="M32" s="16">
        <v>0.8</v>
      </c>
      <c r="N32" s="12">
        <f t="shared" si="8"/>
        <v>13.826086956521738</v>
      </c>
      <c r="O32" s="12">
        <v>1</v>
      </c>
      <c r="P32" s="12">
        <f t="shared" si="9"/>
        <v>13.826086956521738</v>
      </c>
      <c r="Q32" s="12" t="s">
        <v>66</v>
      </c>
      <c r="R32" s="12" t="s">
        <v>68</v>
      </c>
      <c r="S32" s="12">
        <v>10</v>
      </c>
      <c r="T32" s="2" t="s">
        <v>84</v>
      </c>
      <c r="U32" s="12">
        <v>1</v>
      </c>
      <c r="V32" s="16">
        <v>0.88</v>
      </c>
      <c r="W32" s="16">
        <v>0.94</v>
      </c>
      <c r="X32" s="16">
        <f t="shared" si="10"/>
        <v>12.088974854932303</v>
      </c>
      <c r="Y32" s="12" t="s">
        <v>86</v>
      </c>
      <c r="Z32" s="12" t="s">
        <v>81</v>
      </c>
      <c r="AA32" s="43"/>
      <c r="AC32" s="34">
        <v>4</v>
      </c>
      <c r="AD32" s="24">
        <v>12.34</v>
      </c>
      <c r="AE32" s="24">
        <v>0.108</v>
      </c>
      <c r="AF32" s="39">
        <v>0.85</v>
      </c>
      <c r="AG32" s="39">
        <v>0.52700000000000002</v>
      </c>
      <c r="AH32" s="34">
        <f t="shared" si="4"/>
        <v>1.014321750623818</v>
      </c>
    </row>
    <row r="33" spans="1:34" ht="53.4" customHeight="1">
      <c r="A33" s="4" t="s">
        <v>40</v>
      </c>
      <c r="B33" s="4"/>
      <c r="C33" s="2">
        <f>SUM(C17:C32)</f>
        <v>5038.8200000000006</v>
      </c>
      <c r="D33" s="3"/>
      <c r="E33" s="3"/>
      <c r="F33" s="2"/>
      <c r="G33" s="2"/>
      <c r="H33" s="5"/>
      <c r="I33" s="2"/>
      <c r="J33" s="17"/>
      <c r="K33" s="2">
        <f>SUM(K17:K32)</f>
        <v>7850</v>
      </c>
      <c r="L33" s="14"/>
      <c r="M33" s="12"/>
      <c r="N33" s="12"/>
      <c r="O33" s="12"/>
      <c r="P33" s="12"/>
      <c r="Q33" s="12" t="s">
        <v>70</v>
      </c>
      <c r="R33" s="12" t="s">
        <v>68</v>
      </c>
      <c r="S33" s="12"/>
      <c r="T33" s="12"/>
      <c r="U33" s="12"/>
      <c r="V33" s="12"/>
      <c r="W33" s="12"/>
      <c r="X33" s="12"/>
      <c r="Y33" s="12"/>
      <c r="Z33" s="12"/>
      <c r="AA33" s="12"/>
      <c r="AC33" s="34"/>
      <c r="AD33" s="34"/>
      <c r="AE33" s="34"/>
      <c r="AF33" s="34"/>
      <c r="AG33" s="34"/>
      <c r="AH33" s="34" t="e">
        <f t="shared" si="4"/>
        <v>#DIV/0!</v>
      </c>
    </row>
    <row r="34" spans="1:34" ht="30" customHeight="1">
      <c r="A34" s="4" t="s">
        <v>30</v>
      </c>
      <c r="B34" s="4"/>
      <c r="C34" s="3"/>
      <c r="D34" s="3"/>
      <c r="E34" s="3"/>
      <c r="F34" s="2"/>
      <c r="G34" s="2"/>
      <c r="H34" s="2"/>
      <c r="I34" s="2"/>
      <c r="J34" s="17"/>
      <c r="K34" s="2"/>
      <c r="L34" s="14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C34" s="34"/>
      <c r="AD34" s="34"/>
      <c r="AE34" s="34"/>
      <c r="AF34" s="34"/>
      <c r="AG34" s="34"/>
      <c r="AH34" s="34" t="e">
        <f t="shared" si="4"/>
        <v>#DIV/0!</v>
      </c>
    </row>
    <row r="35" spans="1:34" ht="48" customHeight="1">
      <c r="A35" s="51"/>
      <c r="B35" s="4" t="s">
        <v>7</v>
      </c>
      <c r="C35" s="3">
        <f>36*84</f>
        <v>3024</v>
      </c>
      <c r="D35" s="3">
        <v>3500</v>
      </c>
      <c r="E35" s="3">
        <v>300</v>
      </c>
      <c r="F35" s="2">
        <v>19137</v>
      </c>
      <c r="G35" s="2">
        <v>1</v>
      </c>
      <c r="H35" s="5" t="s">
        <v>41</v>
      </c>
      <c r="I35" s="2">
        <f t="shared" ref="I35:I37" si="11">ROUNDUP((C35*E35)/F35,0)</f>
        <v>48</v>
      </c>
      <c r="J35" s="17">
        <v>125</v>
      </c>
      <c r="K35" s="2">
        <f t="shared" ref="K35:K37" si="12">I35*J35</f>
        <v>6000</v>
      </c>
      <c r="L35" s="15">
        <v>115</v>
      </c>
      <c r="M35" s="16">
        <v>0.8</v>
      </c>
      <c r="N35" s="12">
        <f t="shared" ref="N35:N37" si="13">K35/(L35*M35)</f>
        <v>65.217391304347828</v>
      </c>
      <c r="O35" s="12">
        <v>1</v>
      </c>
      <c r="P35" s="12">
        <f t="shared" ref="P35:P37" si="14">N35*O35</f>
        <v>65.217391304347828</v>
      </c>
      <c r="Q35" s="12" t="s">
        <v>66</v>
      </c>
      <c r="R35" s="12" t="s">
        <v>68</v>
      </c>
      <c r="S35" s="12">
        <v>80</v>
      </c>
      <c r="T35" s="12" t="s">
        <v>84</v>
      </c>
      <c r="U35" s="12">
        <v>1</v>
      </c>
      <c r="V35" s="16">
        <v>0.88</v>
      </c>
      <c r="W35" s="16">
        <v>0.94</v>
      </c>
      <c r="X35" s="16">
        <f t="shared" ref="X35:X37" si="15">S35/(U35*V35*W35)</f>
        <v>96.711798839458424</v>
      </c>
      <c r="Y35" s="12" t="s">
        <v>85</v>
      </c>
      <c r="Z35" s="12" t="s">
        <v>81</v>
      </c>
      <c r="AA35" s="48" t="s">
        <v>80</v>
      </c>
      <c r="AC35" s="34">
        <v>42</v>
      </c>
      <c r="AD35" s="23">
        <v>0.74039999999999995</v>
      </c>
      <c r="AE35" s="23">
        <v>8.1000000000000003E-2</v>
      </c>
      <c r="AF35" s="39">
        <v>0.85</v>
      </c>
      <c r="AG35" s="39">
        <v>0.52700000000000002</v>
      </c>
      <c r="AH35" s="34">
        <f t="shared" si="4"/>
        <v>3.2013384499054824</v>
      </c>
    </row>
    <row r="36" spans="1:34" ht="58.2" customHeight="1">
      <c r="A36" s="52"/>
      <c r="B36" s="4" t="s">
        <v>31</v>
      </c>
      <c r="C36" s="3">
        <f>3.6*3</f>
        <v>10.8</v>
      </c>
      <c r="D36" s="3">
        <v>2700</v>
      </c>
      <c r="E36" s="2">
        <v>150</v>
      </c>
      <c r="F36" s="2">
        <v>1150</v>
      </c>
      <c r="G36" s="2">
        <v>1</v>
      </c>
      <c r="H36" s="5" t="s">
        <v>44</v>
      </c>
      <c r="I36" s="2">
        <f t="shared" si="11"/>
        <v>2</v>
      </c>
      <c r="J36" s="17">
        <v>10</v>
      </c>
      <c r="K36" s="2">
        <f t="shared" si="12"/>
        <v>20</v>
      </c>
      <c r="L36" s="15">
        <v>115</v>
      </c>
      <c r="M36" s="16">
        <v>0.8</v>
      </c>
      <c r="N36" s="12">
        <f t="shared" si="13"/>
        <v>0.21739130434782608</v>
      </c>
      <c r="O36" s="12">
        <v>1</v>
      </c>
      <c r="P36" s="12">
        <f t="shared" si="14"/>
        <v>0.21739130434782608</v>
      </c>
      <c r="Q36" s="12" t="s">
        <v>66</v>
      </c>
      <c r="R36" s="12" t="s">
        <v>68</v>
      </c>
      <c r="S36" s="12">
        <v>10</v>
      </c>
      <c r="T36" s="2" t="s">
        <v>84</v>
      </c>
      <c r="U36" s="12">
        <v>1</v>
      </c>
      <c r="V36" s="16">
        <v>0.88</v>
      </c>
      <c r="W36" s="16">
        <v>0.94</v>
      </c>
      <c r="X36" s="16">
        <f t="shared" si="15"/>
        <v>12.088974854932303</v>
      </c>
      <c r="Y36" s="12" t="s">
        <v>86</v>
      </c>
      <c r="Z36" s="12" t="s">
        <v>81</v>
      </c>
      <c r="AA36" s="43"/>
      <c r="AC36" s="34">
        <v>33</v>
      </c>
      <c r="AD36" s="24">
        <v>12.34</v>
      </c>
      <c r="AE36" s="24">
        <v>0.108</v>
      </c>
      <c r="AF36" s="39">
        <v>0.85</v>
      </c>
      <c r="AG36" s="39">
        <v>0.52700000000000002</v>
      </c>
      <c r="AH36" s="34">
        <f t="shared" si="4"/>
        <v>0.13157475538752358</v>
      </c>
    </row>
    <row r="37" spans="1:34" ht="51.6" customHeight="1">
      <c r="A37" s="53"/>
      <c r="B37" s="4" t="s">
        <v>32</v>
      </c>
      <c r="C37" s="3">
        <f>4.5*3</f>
        <v>13.5</v>
      </c>
      <c r="D37" s="3">
        <v>2700</v>
      </c>
      <c r="E37" s="2">
        <v>150</v>
      </c>
      <c r="F37" s="2">
        <v>1150</v>
      </c>
      <c r="G37" s="2">
        <v>1</v>
      </c>
      <c r="H37" s="5" t="s">
        <v>44</v>
      </c>
      <c r="I37" s="2">
        <f t="shared" si="11"/>
        <v>2</v>
      </c>
      <c r="J37" s="17">
        <v>10</v>
      </c>
      <c r="K37" s="2">
        <f t="shared" si="12"/>
        <v>20</v>
      </c>
      <c r="L37" s="15">
        <v>115</v>
      </c>
      <c r="M37" s="16">
        <v>0.8</v>
      </c>
      <c r="N37" s="12">
        <f t="shared" si="13"/>
        <v>0.21739130434782608</v>
      </c>
      <c r="O37" s="12">
        <v>1</v>
      </c>
      <c r="P37" s="12">
        <f t="shared" si="14"/>
        <v>0.21739130434782608</v>
      </c>
      <c r="Q37" s="12" t="s">
        <v>66</v>
      </c>
      <c r="R37" s="12" t="s">
        <v>68</v>
      </c>
      <c r="S37" s="12">
        <v>10</v>
      </c>
      <c r="T37" s="2" t="s">
        <v>84</v>
      </c>
      <c r="U37" s="12">
        <v>1</v>
      </c>
      <c r="V37" s="16">
        <v>0.88</v>
      </c>
      <c r="W37" s="16">
        <v>0.94</v>
      </c>
      <c r="X37" s="16">
        <f t="shared" si="15"/>
        <v>12.088974854932303</v>
      </c>
      <c r="Y37" s="12" t="s">
        <v>86</v>
      </c>
      <c r="Z37" s="12" t="s">
        <v>81</v>
      </c>
      <c r="AA37" s="43"/>
      <c r="AC37" s="34">
        <v>40</v>
      </c>
      <c r="AD37" s="24">
        <v>12.34</v>
      </c>
      <c r="AE37" s="24">
        <v>0.108</v>
      </c>
      <c r="AF37" s="39">
        <v>0.85</v>
      </c>
      <c r="AG37" s="39">
        <v>0.52700000000000002</v>
      </c>
      <c r="AH37" s="34">
        <f t="shared" si="4"/>
        <v>0.15948455198487713</v>
      </c>
    </row>
    <row r="38" spans="1:34" ht="24" customHeight="1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4"/>
      <c r="K38" s="12">
        <f>SUM(K35:K37)</f>
        <v>6040</v>
      </c>
      <c r="L38" s="14"/>
      <c r="M38" s="12"/>
      <c r="N38" s="12"/>
      <c r="O38" s="12"/>
      <c r="P38" s="12"/>
      <c r="Q38" s="12" t="s">
        <v>70</v>
      </c>
      <c r="R38" s="12" t="s">
        <v>69</v>
      </c>
      <c r="S38" s="12"/>
      <c r="T38" s="12"/>
      <c r="U38" s="12"/>
      <c r="V38" s="12"/>
      <c r="W38" s="12"/>
      <c r="X38" s="12"/>
      <c r="Y38" s="12"/>
      <c r="Z38" s="12"/>
      <c r="AA38" s="12"/>
      <c r="AH38" s="1" t="e">
        <f t="shared" si="4"/>
        <v>#DIV/0!</v>
      </c>
    </row>
    <row r="39" spans="1:34" ht="35.4" customHeight="1">
      <c r="A39" s="9"/>
      <c r="B39" s="9"/>
      <c r="C39" s="6"/>
      <c r="D39" s="6"/>
      <c r="E39" s="6"/>
      <c r="F39" s="6"/>
      <c r="G39" s="6"/>
      <c r="H39" s="9"/>
      <c r="I39" s="2"/>
      <c r="J39" s="6"/>
      <c r="K39" s="2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  <c r="Z39" s="11"/>
      <c r="AA39" s="11"/>
      <c r="AH39" s="1" t="e">
        <f t="shared" si="4"/>
        <v>#DIV/0!</v>
      </c>
    </row>
    <row r="43" spans="1:34" ht="14.4">
      <c r="A43" s="18" t="s">
        <v>82</v>
      </c>
      <c r="B43" s="13" t="s">
        <v>48</v>
      </c>
      <c r="C43" s="44" t="s">
        <v>49</v>
      </c>
      <c r="D43" s="44"/>
      <c r="E43" s="44"/>
      <c r="F43" s="44"/>
      <c r="G43" s="44"/>
      <c r="H43" s="13" t="s">
        <v>50</v>
      </c>
    </row>
    <row r="44" spans="1:34" ht="27.6">
      <c r="A44" s="19" t="s">
        <v>41</v>
      </c>
      <c r="B44" s="7" t="s">
        <v>47</v>
      </c>
      <c r="C44" s="45" t="s">
        <v>46</v>
      </c>
      <c r="D44" s="46"/>
      <c r="E44" s="46"/>
      <c r="F44" s="46"/>
      <c r="G44" s="47"/>
      <c r="H44" s="12">
        <v>125</v>
      </c>
    </row>
    <row r="45" spans="1:34" ht="15.6">
      <c r="A45" s="20" t="s">
        <v>42</v>
      </c>
      <c r="B45" s="7" t="s">
        <v>47</v>
      </c>
      <c r="C45" s="40" t="s">
        <v>51</v>
      </c>
      <c r="D45" s="41"/>
      <c r="E45" s="41"/>
      <c r="F45" s="41"/>
      <c r="G45" s="42"/>
      <c r="H45" s="12">
        <v>25</v>
      </c>
    </row>
    <row r="46" spans="1:34" ht="27.6">
      <c r="A46" s="19" t="s">
        <v>52</v>
      </c>
      <c r="B46" s="7" t="s">
        <v>47</v>
      </c>
      <c r="C46" s="40" t="s">
        <v>54</v>
      </c>
      <c r="D46" s="41"/>
      <c r="E46" s="41"/>
      <c r="F46" s="41"/>
      <c r="G46" s="42"/>
      <c r="H46" s="12">
        <v>22</v>
      </c>
    </row>
    <row r="47" spans="1:34" ht="27.6">
      <c r="A47" s="19" t="s">
        <v>43</v>
      </c>
      <c r="B47" s="7" t="s">
        <v>47</v>
      </c>
      <c r="C47" s="40" t="s">
        <v>53</v>
      </c>
      <c r="D47" s="41"/>
      <c r="E47" s="41"/>
      <c r="F47" s="41"/>
      <c r="G47" s="42"/>
      <c r="H47" s="12">
        <v>36</v>
      </c>
    </row>
    <row r="48" spans="1:34" ht="55.2">
      <c r="A48" s="19" t="s">
        <v>44</v>
      </c>
      <c r="B48" s="7" t="s">
        <v>47</v>
      </c>
      <c r="C48" s="40" t="s">
        <v>55</v>
      </c>
      <c r="D48" s="41"/>
      <c r="E48" s="41"/>
      <c r="F48" s="41"/>
      <c r="G48" s="42"/>
      <c r="H48" s="12">
        <v>10</v>
      </c>
    </row>
    <row r="49" spans="1:8" ht="55.2">
      <c r="A49" s="19" t="s">
        <v>45</v>
      </c>
      <c r="B49" s="7" t="s">
        <v>47</v>
      </c>
      <c r="C49" s="40" t="s">
        <v>56</v>
      </c>
      <c r="D49" s="41"/>
      <c r="E49" s="41"/>
      <c r="F49" s="41"/>
      <c r="G49" s="42"/>
      <c r="H49" s="12">
        <v>24</v>
      </c>
    </row>
    <row r="50" spans="1:8" ht="27.6">
      <c r="A50" s="21" t="s">
        <v>58</v>
      </c>
      <c r="B50" s="7" t="s">
        <v>47</v>
      </c>
      <c r="C50" s="43" t="s">
        <v>59</v>
      </c>
      <c r="D50" s="43"/>
      <c r="E50" s="43"/>
      <c r="F50" s="43"/>
      <c r="G50" s="43"/>
      <c r="H50" s="12">
        <v>23</v>
      </c>
    </row>
  </sheetData>
  <mergeCells count="45">
    <mergeCell ref="AA35:AA37"/>
    <mergeCell ref="C5:Z5"/>
    <mergeCell ref="C1:AA1"/>
    <mergeCell ref="AB6:AB14"/>
    <mergeCell ref="X2:X4"/>
    <mergeCell ref="Y2:Y4"/>
    <mergeCell ref="Z2:Z4"/>
    <mergeCell ref="AA2:AA4"/>
    <mergeCell ref="AA6:AA14"/>
    <mergeCell ref="T2:T4"/>
    <mergeCell ref="U2:U4"/>
    <mergeCell ref="V2:V4"/>
    <mergeCell ref="W2:W4"/>
    <mergeCell ref="N2:N4"/>
    <mergeCell ref="O2:O4"/>
    <mergeCell ref="S2:S4"/>
    <mergeCell ref="A35:A37"/>
    <mergeCell ref="M2:M4"/>
    <mergeCell ref="A1:A4"/>
    <mergeCell ref="B1:B4"/>
    <mergeCell ref="D2:D4"/>
    <mergeCell ref="E2:E4"/>
    <mergeCell ref="F2:F4"/>
    <mergeCell ref="G2:G4"/>
    <mergeCell ref="H2:H4"/>
    <mergeCell ref="I2:I4"/>
    <mergeCell ref="J2:J4"/>
    <mergeCell ref="K2:K4"/>
    <mergeCell ref="C2:C4"/>
    <mergeCell ref="AA17:AA32"/>
    <mergeCell ref="L2:L4"/>
    <mergeCell ref="A6:A14"/>
    <mergeCell ref="A17:A32"/>
    <mergeCell ref="P2:P4"/>
    <mergeCell ref="Q2:Q4"/>
    <mergeCell ref="R2:R4"/>
    <mergeCell ref="V15:Z15"/>
    <mergeCell ref="C48:G48"/>
    <mergeCell ref="C49:G49"/>
    <mergeCell ref="C50:G50"/>
    <mergeCell ref="C43:G43"/>
    <mergeCell ref="C44:G44"/>
    <mergeCell ref="C45:G45"/>
    <mergeCell ref="C46:G46"/>
    <mergeCell ref="C47:G47"/>
  </mergeCells>
  <hyperlinks>
    <hyperlink ref="C44" r:id="rId1" display="http://www.thornlighting.com/en/products/indoor-lighting/industrial-lighting/HiPak/hipak-wide-optic/96634327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opLeftCell="C1" zoomScale="85" zoomScaleNormal="85" workbookViewId="0">
      <selection activeCell="O19" sqref="O19"/>
    </sheetView>
  </sheetViews>
  <sheetFormatPr defaultRowHeight="14.4"/>
  <sheetData>
    <row r="1" spans="1:29">
      <c r="A1" t="s">
        <v>132</v>
      </c>
    </row>
    <row r="2" spans="1:29">
      <c r="A2" s="81" t="s">
        <v>94</v>
      </c>
      <c r="B2" s="81" t="s">
        <v>95</v>
      </c>
      <c r="C2" s="83" t="s">
        <v>96</v>
      </c>
      <c r="D2" s="83" t="s">
        <v>97</v>
      </c>
      <c r="E2" s="83" t="s">
        <v>98</v>
      </c>
      <c r="F2" s="83" t="s">
        <v>99</v>
      </c>
      <c r="G2" s="83" t="s">
        <v>100</v>
      </c>
      <c r="H2" s="83" t="s">
        <v>101</v>
      </c>
      <c r="I2" s="83" t="s">
        <v>102</v>
      </c>
      <c r="J2" s="83" t="s">
        <v>103</v>
      </c>
      <c r="K2" s="83" t="s">
        <v>104</v>
      </c>
      <c r="L2" s="83" t="s">
        <v>105</v>
      </c>
      <c r="M2" s="83" t="s">
        <v>106</v>
      </c>
      <c r="N2" s="83" t="s">
        <v>107</v>
      </c>
      <c r="O2" s="81" t="s">
        <v>108</v>
      </c>
      <c r="P2" s="81" t="s">
        <v>109</v>
      </c>
      <c r="Q2" s="81" t="s">
        <v>73</v>
      </c>
      <c r="R2" s="81" t="s">
        <v>74</v>
      </c>
      <c r="S2" s="81" t="s">
        <v>75</v>
      </c>
      <c r="T2" s="82" t="s">
        <v>110</v>
      </c>
      <c r="U2" s="83" t="s">
        <v>111</v>
      </c>
      <c r="V2" s="83" t="s">
        <v>112</v>
      </c>
      <c r="W2" s="74" t="s">
        <v>113</v>
      </c>
      <c r="X2" s="72" t="s">
        <v>88</v>
      </c>
      <c r="Y2" s="72" t="s">
        <v>91</v>
      </c>
      <c r="Z2" s="72" t="s">
        <v>92</v>
      </c>
      <c r="AA2" s="72" t="s">
        <v>90</v>
      </c>
      <c r="AB2" s="72" t="s">
        <v>89</v>
      </c>
      <c r="AC2" s="72" t="s">
        <v>93</v>
      </c>
    </row>
    <row r="3" spans="1:29" ht="32.4" customHeight="1">
      <c r="A3" s="81"/>
      <c r="B3" s="81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1"/>
      <c r="P3" s="81"/>
      <c r="Q3" s="81"/>
      <c r="R3" s="81"/>
      <c r="S3" s="81"/>
      <c r="T3" s="82"/>
      <c r="U3" s="83"/>
      <c r="V3" s="83"/>
      <c r="W3" s="76"/>
      <c r="X3" s="73"/>
      <c r="Y3" s="73"/>
      <c r="Z3" s="73"/>
      <c r="AA3" s="73"/>
      <c r="AB3" s="73"/>
      <c r="AC3" s="73"/>
    </row>
    <row r="4" spans="1:29">
      <c r="A4" t="s">
        <v>114</v>
      </c>
      <c r="X4" s="37"/>
      <c r="Y4" s="37"/>
      <c r="Z4" s="37"/>
      <c r="AA4" s="37"/>
      <c r="AB4" s="37"/>
      <c r="AC4" s="37"/>
    </row>
    <row r="5" spans="1:29">
      <c r="A5" s="29">
        <v>1</v>
      </c>
      <c r="B5" s="29" t="s">
        <v>115</v>
      </c>
      <c r="C5" s="29">
        <v>115</v>
      </c>
      <c r="D5" s="29">
        <v>1</v>
      </c>
      <c r="E5" s="29">
        <v>10</v>
      </c>
      <c r="F5" s="29">
        <v>0.8</v>
      </c>
      <c r="G5" s="29">
        <v>0.5</v>
      </c>
      <c r="H5" s="29">
        <v>5</v>
      </c>
      <c r="I5" s="29">
        <v>54.347826086956523</v>
      </c>
      <c r="J5" s="29">
        <v>1</v>
      </c>
      <c r="K5" s="29">
        <v>54.347826086956523</v>
      </c>
      <c r="L5" s="29" t="s">
        <v>139</v>
      </c>
      <c r="M5" s="29" t="s">
        <v>116</v>
      </c>
      <c r="N5" s="29" t="s">
        <v>140</v>
      </c>
      <c r="O5" s="29">
        <v>63</v>
      </c>
      <c r="P5" s="29">
        <v>6</v>
      </c>
      <c r="Q5" s="29">
        <v>1</v>
      </c>
      <c r="R5" s="29">
        <v>0.88</v>
      </c>
      <c r="S5" s="29">
        <v>0.94</v>
      </c>
      <c r="T5" s="29">
        <v>76.160541586073506</v>
      </c>
      <c r="U5" s="29" t="s">
        <v>117</v>
      </c>
      <c r="V5" s="29" t="s">
        <v>81</v>
      </c>
      <c r="W5" s="74" t="s">
        <v>118</v>
      </c>
      <c r="X5" s="37">
        <v>60</v>
      </c>
      <c r="Y5" s="23">
        <v>0.74039999999999995</v>
      </c>
      <c r="Z5" s="23">
        <v>8.1000000000000003E-2</v>
      </c>
      <c r="AA5" s="37">
        <v>0.85</v>
      </c>
      <c r="AB5" s="37">
        <v>0.52700000000000002</v>
      </c>
      <c r="AC5" s="25">
        <f>2*I5*X5*(Y5*AA5+Z5*AB5)/1000/C5*100</f>
        <v>3.8111172022684303</v>
      </c>
    </row>
    <row r="6" spans="1:29">
      <c r="A6" s="27">
        <v>2</v>
      </c>
      <c r="B6" s="29" t="s">
        <v>119</v>
      </c>
      <c r="C6" s="29">
        <v>115</v>
      </c>
      <c r="D6" s="29">
        <v>1</v>
      </c>
      <c r="E6" s="29">
        <v>10</v>
      </c>
      <c r="F6" s="29">
        <v>0.8</v>
      </c>
      <c r="G6" s="29">
        <v>0.5</v>
      </c>
      <c r="H6" s="29">
        <v>5</v>
      </c>
      <c r="I6" s="29">
        <v>54.347826086956523</v>
      </c>
      <c r="J6" s="29">
        <v>1</v>
      </c>
      <c r="K6" s="29">
        <v>54.347826086956523</v>
      </c>
      <c r="L6" s="33" t="s">
        <v>139</v>
      </c>
      <c r="M6" s="29" t="s">
        <v>116</v>
      </c>
      <c r="N6" s="33" t="s">
        <v>140</v>
      </c>
      <c r="O6" s="29">
        <v>63</v>
      </c>
      <c r="P6" s="29">
        <v>6</v>
      </c>
      <c r="Q6" s="29">
        <v>1</v>
      </c>
      <c r="R6" s="29">
        <v>0.88</v>
      </c>
      <c r="S6" s="29">
        <v>0.94</v>
      </c>
      <c r="T6" s="29">
        <v>76.160541586073506</v>
      </c>
      <c r="U6" s="29" t="s">
        <v>117</v>
      </c>
      <c r="V6" s="29" t="s">
        <v>81</v>
      </c>
      <c r="W6" s="75"/>
      <c r="X6" s="37">
        <v>55</v>
      </c>
      <c r="Y6" s="23">
        <v>0.74039999999999995</v>
      </c>
      <c r="Z6" s="23">
        <v>8.1000000000000003E-2</v>
      </c>
      <c r="AA6" s="37">
        <v>0.85</v>
      </c>
      <c r="AB6" s="37">
        <v>0.52700000000000002</v>
      </c>
      <c r="AC6" s="25">
        <f t="shared" ref="AC6:AC14" si="0">2*I6*X6*(Y6*AA6+Z6*AB6)/1000/C6*100</f>
        <v>3.493524102079395</v>
      </c>
    </row>
    <row r="7" spans="1:29">
      <c r="A7" s="29">
        <v>3</v>
      </c>
      <c r="B7" s="29" t="s">
        <v>120</v>
      </c>
      <c r="C7" s="29">
        <v>115</v>
      </c>
      <c r="D7" s="29">
        <v>1</v>
      </c>
      <c r="E7" s="29">
        <v>10</v>
      </c>
      <c r="F7" s="29">
        <v>0.8</v>
      </c>
      <c r="G7" s="29">
        <v>0.5</v>
      </c>
      <c r="H7" s="29">
        <v>5</v>
      </c>
      <c r="I7" s="29">
        <v>54.347826086956523</v>
      </c>
      <c r="J7" s="29">
        <v>1</v>
      </c>
      <c r="K7" s="29">
        <v>54.347826086956523</v>
      </c>
      <c r="L7" s="33" t="s">
        <v>139</v>
      </c>
      <c r="M7" s="29" t="s">
        <v>116</v>
      </c>
      <c r="N7" s="33" t="s">
        <v>140</v>
      </c>
      <c r="O7" s="29">
        <v>63</v>
      </c>
      <c r="P7" s="29">
        <v>6</v>
      </c>
      <c r="Q7" s="29">
        <v>1</v>
      </c>
      <c r="R7" s="29">
        <v>0.88</v>
      </c>
      <c r="S7" s="29">
        <v>0.94</v>
      </c>
      <c r="T7" s="29">
        <v>76.160541586073506</v>
      </c>
      <c r="U7" s="29" t="s">
        <v>117</v>
      </c>
      <c r="V7" s="29" t="s">
        <v>81</v>
      </c>
      <c r="W7" s="75"/>
      <c r="X7" s="37">
        <v>60</v>
      </c>
      <c r="Y7" s="23">
        <v>0.74039999999999995</v>
      </c>
      <c r="Z7" s="23">
        <v>8.1000000000000003E-2</v>
      </c>
      <c r="AA7" s="37">
        <v>0.85</v>
      </c>
      <c r="AB7" s="37">
        <v>0.52700000000000002</v>
      </c>
      <c r="AC7" s="25">
        <f t="shared" si="0"/>
        <v>3.8111172022684303</v>
      </c>
    </row>
    <row r="8" spans="1:29">
      <c r="A8" s="27">
        <v>4</v>
      </c>
      <c r="B8" s="29" t="s">
        <v>121</v>
      </c>
      <c r="C8" s="29">
        <v>115</v>
      </c>
      <c r="D8" s="29">
        <v>1</v>
      </c>
      <c r="E8" s="29">
        <v>10</v>
      </c>
      <c r="F8" s="29">
        <v>0.8</v>
      </c>
      <c r="G8" s="29">
        <v>0.5</v>
      </c>
      <c r="H8" s="29">
        <v>5</v>
      </c>
      <c r="I8" s="29">
        <v>54.347826086956523</v>
      </c>
      <c r="J8" s="29">
        <v>1</v>
      </c>
      <c r="K8" s="29">
        <v>54.347826086956523</v>
      </c>
      <c r="L8" s="33" t="s">
        <v>139</v>
      </c>
      <c r="M8" s="29" t="s">
        <v>116</v>
      </c>
      <c r="N8" s="33" t="s">
        <v>140</v>
      </c>
      <c r="O8" s="29">
        <v>63</v>
      </c>
      <c r="P8" s="29">
        <v>6</v>
      </c>
      <c r="Q8" s="29">
        <v>1</v>
      </c>
      <c r="R8" s="29">
        <v>0.88</v>
      </c>
      <c r="S8" s="29">
        <v>0.94</v>
      </c>
      <c r="T8" s="29">
        <v>76.160541586073506</v>
      </c>
      <c r="U8" s="29" t="s">
        <v>117</v>
      </c>
      <c r="V8" s="29" t="s">
        <v>81</v>
      </c>
      <c r="W8" s="75"/>
      <c r="X8" s="37">
        <v>65</v>
      </c>
      <c r="Y8" s="23">
        <v>0.74039999999999995</v>
      </c>
      <c r="Z8" s="23">
        <v>8.1000000000000003E-2</v>
      </c>
      <c r="AA8" s="37">
        <v>0.85</v>
      </c>
      <c r="AB8" s="37">
        <v>0.52700000000000002</v>
      </c>
      <c r="AC8" s="25">
        <f t="shared" si="0"/>
        <v>4.128710302457467</v>
      </c>
    </row>
    <row r="9" spans="1:29">
      <c r="A9" s="27">
        <v>5</v>
      </c>
      <c r="B9" s="29" t="s">
        <v>122</v>
      </c>
      <c r="C9" s="29">
        <v>115</v>
      </c>
      <c r="D9" s="29">
        <v>1</v>
      </c>
      <c r="E9" s="29">
        <v>10</v>
      </c>
      <c r="F9" s="29">
        <v>0.8</v>
      </c>
      <c r="G9" s="29">
        <v>0.5</v>
      </c>
      <c r="H9" s="29">
        <v>5</v>
      </c>
      <c r="I9" s="29">
        <v>54.347826086956523</v>
      </c>
      <c r="J9" s="29">
        <v>1</v>
      </c>
      <c r="K9" s="29">
        <v>54.347826086956523</v>
      </c>
      <c r="L9" s="33" t="s">
        <v>139</v>
      </c>
      <c r="M9" s="29" t="s">
        <v>116</v>
      </c>
      <c r="N9" s="33" t="s">
        <v>140</v>
      </c>
      <c r="O9" s="29">
        <v>63</v>
      </c>
      <c r="P9" s="29">
        <v>6</v>
      </c>
      <c r="Q9" s="29">
        <v>1</v>
      </c>
      <c r="R9" s="29">
        <v>0.88</v>
      </c>
      <c r="S9" s="29">
        <v>0.94</v>
      </c>
      <c r="T9" s="29">
        <v>76.160541586073506</v>
      </c>
      <c r="U9" s="29" t="s">
        <v>117</v>
      </c>
      <c r="V9" s="29" t="s">
        <v>81</v>
      </c>
      <c r="W9" s="75"/>
      <c r="X9" s="37">
        <v>70</v>
      </c>
      <c r="Y9" s="23">
        <v>0.74039999999999995</v>
      </c>
      <c r="Z9" s="23">
        <v>8.1000000000000003E-2</v>
      </c>
      <c r="AA9" s="37">
        <v>0.85</v>
      </c>
      <c r="AB9" s="37">
        <v>0.52700000000000002</v>
      </c>
      <c r="AC9" s="25">
        <f t="shared" si="0"/>
        <v>4.4463034026465023</v>
      </c>
    </row>
    <row r="10" spans="1:29">
      <c r="A10" s="27">
        <v>6</v>
      </c>
      <c r="B10" s="29" t="s">
        <v>123</v>
      </c>
      <c r="C10" s="29">
        <v>115</v>
      </c>
      <c r="D10" s="29">
        <v>1</v>
      </c>
      <c r="E10" s="29">
        <v>10</v>
      </c>
      <c r="F10" s="29">
        <v>0.8</v>
      </c>
      <c r="G10" s="29">
        <v>0.5</v>
      </c>
      <c r="H10" s="29">
        <v>5</v>
      </c>
      <c r="I10" s="29">
        <v>54.347826086956523</v>
      </c>
      <c r="J10" s="29">
        <v>1</v>
      </c>
      <c r="K10" s="29">
        <v>54.347826086956523</v>
      </c>
      <c r="L10" s="33" t="s">
        <v>139</v>
      </c>
      <c r="M10" s="29" t="s">
        <v>116</v>
      </c>
      <c r="N10" s="33" t="s">
        <v>140</v>
      </c>
      <c r="O10" s="29">
        <v>63</v>
      </c>
      <c r="P10" s="29">
        <v>6</v>
      </c>
      <c r="Q10" s="29">
        <v>1</v>
      </c>
      <c r="R10" s="29">
        <v>0.88</v>
      </c>
      <c r="S10" s="29">
        <v>0.94</v>
      </c>
      <c r="T10" s="29">
        <v>76.160541586073506</v>
      </c>
      <c r="U10" s="29" t="s">
        <v>117</v>
      </c>
      <c r="V10" s="29" t="s">
        <v>81</v>
      </c>
      <c r="W10" s="75"/>
      <c r="X10" s="37">
        <v>60</v>
      </c>
      <c r="Y10" s="23">
        <v>0.74039999999999995</v>
      </c>
      <c r="Z10" s="23">
        <v>8.1000000000000003E-2</v>
      </c>
      <c r="AA10" s="37">
        <v>0.85</v>
      </c>
      <c r="AB10" s="37">
        <v>0.52700000000000002</v>
      </c>
      <c r="AC10" s="25">
        <f t="shared" si="0"/>
        <v>3.8111172022684303</v>
      </c>
    </row>
    <row r="11" spans="1:29">
      <c r="A11" s="27">
        <v>7</v>
      </c>
      <c r="B11" s="29" t="s">
        <v>124</v>
      </c>
      <c r="C11" s="29">
        <v>115</v>
      </c>
      <c r="D11" s="29">
        <v>1</v>
      </c>
      <c r="E11" s="29">
        <v>10</v>
      </c>
      <c r="F11" s="29">
        <v>0.8</v>
      </c>
      <c r="G11" s="29">
        <v>0.5</v>
      </c>
      <c r="H11" s="29">
        <v>5</v>
      </c>
      <c r="I11" s="29">
        <v>54.347826086956523</v>
      </c>
      <c r="J11" s="29">
        <v>1</v>
      </c>
      <c r="K11" s="29">
        <v>54.347826086956523</v>
      </c>
      <c r="L11" s="33" t="s">
        <v>139</v>
      </c>
      <c r="M11" s="29" t="s">
        <v>116</v>
      </c>
      <c r="N11" s="33" t="s">
        <v>140</v>
      </c>
      <c r="O11" s="29">
        <v>63</v>
      </c>
      <c r="P11" s="29">
        <v>6</v>
      </c>
      <c r="Q11" s="29">
        <v>1</v>
      </c>
      <c r="R11" s="29">
        <v>0.88</v>
      </c>
      <c r="S11" s="29">
        <v>0.94</v>
      </c>
      <c r="T11" s="29">
        <v>76.160541586073506</v>
      </c>
      <c r="U11" s="29" t="s">
        <v>117</v>
      </c>
      <c r="V11" s="29" t="s">
        <v>81</v>
      </c>
      <c r="W11" s="75"/>
      <c r="X11" s="37">
        <v>72</v>
      </c>
      <c r="Y11" s="23">
        <v>0.74039999999999995</v>
      </c>
      <c r="Z11" s="23">
        <v>8.1000000000000003E-2</v>
      </c>
      <c r="AA11" s="37">
        <v>0.85</v>
      </c>
      <c r="AB11" s="37">
        <v>0.52700000000000002</v>
      </c>
      <c r="AC11" s="25">
        <f t="shared" si="0"/>
        <v>4.5733406427221155</v>
      </c>
    </row>
    <row r="12" spans="1:29">
      <c r="A12" s="29">
        <v>8</v>
      </c>
      <c r="B12" s="29" t="s">
        <v>125</v>
      </c>
      <c r="C12" s="29">
        <v>115</v>
      </c>
      <c r="D12" s="29">
        <v>1</v>
      </c>
      <c r="E12" s="29">
        <v>10</v>
      </c>
      <c r="F12" s="29">
        <v>0.8</v>
      </c>
      <c r="G12" s="29">
        <v>0.5</v>
      </c>
      <c r="H12" s="29">
        <v>5</v>
      </c>
      <c r="I12" s="29">
        <v>54.347826086956523</v>
      </c>
      <c r="J12" s="29">
        <v>1</v>
      </c>
      <c r="K12" s="29">
        <v>54.347826086956523</v>
      </c>
      <c r="L12" s="33" t="s">
        <v>139</v>
      </c>
      <c r="M12" s="29" t="s">
        <v>116</v>
      </c>
      <c r="N12" s="33" t="s">
        <v>140</v>
      </c>
      <c r="O12" s="29">
        <v>63</v>
      </c>
      <c r="P12" s="29">
        <v>6</v>
      </c>
      <c r="Q12" s="29">
        <v>1</v>
      </c>
      <c r="R12" s="29">
        <v>0.88</v>
      </c>
      <c r="S12" s="29">
        <v>0.94</v>
      </c>
      <c r="T12" s="29">
        <v>76.160541586073506</v>
      </c>
      <c r="U12" s="29" t="s">
        <v>117</v>
      </c>
      <c r="V12" s="29" t="s">
        <v>81</v>
      </c>
      <c r="W12" s="75"/>
      <c r="X12" s="37">
        <v>63</v>
      </c>
      <c r="Y12" s="23">
        <v>0.74039999999999995</v>
      </c>
      <c r="Z12" s="23">
        <v>8.1000000000000003E-2</v>
      </c>
      <c r="AA12" s="37">
        <v>0.85</v>
      </c>
      <c r="AB12" s="37">
        <v>0.52700000000000002</v>
      </c>
      <c r="AC12" s="25">
        <f t="shared" si="0"/>
        <v>4.0016730623818519</v>
      </c>
    </row>
    <row r="13" spans="1:29">
      <c r="A13" s="27">
        <v>9</v>
      </c>
      <c r="B13" s="29" t="s">
        <v>126</v>
      </c>
      <c r="C13" s="29">
        <v>115</v>
      </c>
      <c r="D13" s="29">
        <v>1</v>
      </c>
      <c r="E13" s="29">
        <v>10</v>
      </c>
      <c r="F13" s="29">
        <v>0.8</v>
      </c>
      <c r="G13" s="29">
        <v>0.5</v>
      </c>
      <c r="H13" s="29">
        <v>5</v>
      </c>
      <c r="I13" s="29">
        <v>54.347826086956523</v>
      </c>
      <c r="J13" s="29">
        <v>1</v>
      </c>
      <c r="K13" s="29">
        <v>54.347826086956523</v>
      </c>
      <c r="L13" s="33" t="s">
        <v>139</v>
      </c>
      <c r="M13" s="29" t="s">
        <v>116</v>
      </c>
      <c r="N13" s="33" t="s">
        <v>140</v>
      </c>
      <c r="O13" s="29">
        <v>63</v>
      </c>
      <c r="P13" s="29">
        <v>6</v>
      </c>
      <c r="Q13" s="29">
        <v>1</v>
      </c>
      <c r="R13" s="29">
        <v>0.88</v>
      </c>
      <c r="S13" s="29">
        <v>0.94</v>
      </c>
      <c r="T13" s="29">
        <v>76.160541586073506</v>
      </c>
      <c r="U13" s="29" t="s">
        <v>117</v>
      </c>
      <c r="V13" s="29" t="s">
        <v>81</v>
      </c>
      <c r="W13" s="76"/>
      <c r="X13" s="37">
        <v>75</v>
      </c>
      <c r="Y13" s="23">
        <v>0.74039999999999995</v>
      </c>
      <c r="Z13" s="23">
        <v>8.1000000000000003E-2</v>
      </c>
      <c r="AA13" s="37">
        <v>0.85</v>
      </c>
      <c r="AB13" s="37">
        <v>0.52700000000000002</v>
      </c>
      <c r="AC13" s="25">
        <f t="shared" si="0"/>
        <v>4.7638965028355384</v>
      </c>
    </row>
    <row r="14" spans="1:29">
      <c r="A14" s="80" t="s">
        <v>127</v>
      </c>
      <c r="B14" s="80"/>
      <c r="C14" s="28">
        <v>200</v>
      </c>
      <c r="D14" s="28">
        <v>3</v>
      </c>
      <c r="E14" s="28">
        <v>90</v>
      </c>
      <c r="F14" s="28">
        <v>0.8</v>
      </c>
      <c r="G14" s="37">
        <v>0.7</v>
      </c>
      <c r="H14" s="37">
        <v>62.999999999999993</v>
      </c>
      <c r="I14" s="37">
        <v>227.33166849341509</v>
      </c>
      <c r="J14" s="37">
        <v>1</v>
      </c>
      <c r="K14" s="37">
        <v>227.33166849341509</v>
      </c>
      <c r="L14" s="37" t="s">
        <v>70</v>
      </c>
      <c r="M14" s="37" t="s">
        <v>128</v>
      </c>
      <c r="N14" s="37" t="s">
        <v>69</v>
      </c>
      <c r="O14" s="37">
        <v>250</v>
      </c>
      <c r="P14" s="37">
        <v>36</v>
      </c>
      <c r="Q14" s="37">
        <v>1</v>
      </c>
      <c r="R14" s="37">
        <v>0.77</v>
      </c>
      <c r="S14" s="37">
        <v>0.96</v>
      </c>
      <c r="T14">
        <v>338.20346320346323</v>
      </c>
      <c r="U14" t="s">
        <v>129</v>
      </c>
      <c r="V14" t="s">
        <v>130</v>
      </c>
      <c r="W14" s="77" t="s">
        <v>142</v>
      </c>
      <c r="X14" s="38">
        <v>30</v>
      </c>
      <c r="Y14" s="23">
        <v>0.74039999999999995</v>
      </c>
      <c r="Z14" s="23">
        <v>8.1000000000000003E-2</v>
      </c>
      <c r="AA14" s="37">
        <v>0.85</v>
      </c>
      <c r="AB14" s="37">
        <v>0.52700000000000002</v>
      </c>
      <c r="AC14" s="25">
        <f t="shared" si="0"/>
        <v>4.5831905754787279</v>
      </c>
    </row>
    <row r="15" spans="1:29"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8"/>
    </row>
    <row r="16" spans="1:29"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78"/>
    </row>
    <row r="17" spans="1:29">
      <c r="C17" s="79" t="s">
        <v>131</v>
      </c>
      <c r="D17" s="79"/>
      <c r="E17" s="79"/>
      <c r="F17" s="79"/>
      <c r="G17" s="79"/>
      <c r="H17" s="79"/>
      <c r="I17" s="79"/>
      <c r="J17" s="79"/>
      <c r="K17" s="79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78"/>
    </row>
    <row r="18" spans="1:29"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78"/>
    </row>
    <row r="19" spans="1:29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78"/>
    </row>
    <row r="20" spans="1:29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78"/>
    </row>
    <row r="23" spans="1:29">
      <c r="A23" s="81" t="s">
        <v>94</v>
      </c>
      <c r="B23" s="81" t="s">
        <v>95</v>
      </c>
      <c r="C23" s="83" t="s">
        <v>96</v>
      </c>
      <c r="D23" s="83" t="s">
        <v>97</v>
      </c>
      <c r="E23" s="83" t="s">
        <v>98</v>
      </c>
      <c r="F23" s="83" t="s">
        <v>99</v>
      </c>
      <c r="G23" s="83" t="s">
        <v>100</v>
      </c>
      <c r="H23" s="83" t="s">
        <v>101</v>
      </c>
      <c r="I23" s="83" t="s">
        <v>102</v>
      </c>
      <c r="J23" s="83" t="s">
        <v>103</v>
      </c>
      <c r="K23" s="83" t="s">
        <v>104</v>
      </c>
      <c r="L23" s="83" t="s">
        <v>105</v>
      </c>
      <c r="M23" s="83" t="s">
        <v>106</v>
      </c>
      <c r="N23" s="83" t="s">
        <v>107</v>
      </c>
      <c r="O23" s="81" t="s">
        <v>108</v>
      </c>
      <c r="P23" s="81" t="s">
        <v>109</v>
      </c>
      <c r="Q23" s="81" t="s">
        <v>73</v>
      </c>
      <c r="R23" s="81" t="s">
        <v>74</v>
      </c>
      <c r="S23" s="81" t="s">
        <v>75</v>
      </c>
      <c r="T23" s="82" t="s">
        <v>110</v>
      </c>
      <c r="U23" s="83" t="s">
        <v>111</v>
      </c>
      <c r="V23" s="83" t="s">
        <v>112</v>
      </c>
      <c r="W23" s="88" t="s">
        <v>113</v>
      </c>
    </row>
    <row r="24" spans="1:29">
      <c r="A24" s="81"/>
      <c r="B24" s="81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1"/>
      <c r="P24" s="81"/>
      <c r="Q24" s="81"/>
      <c r="R24" s="81"/>
      <c r="S24" s="81"/>
      <c r="T24" s="82"/>
      <c r="U24" s="83"/>
      <c r="V24" s="83"/>
      <c r="W24" s="89"/>
    </row>
    <row r="25" spans="1:29">
      <c r="A25" t="s">
        <v>114</v>
      </c>
    </row>
    <row r="26" spans="1:29">
      <c r="A26" s="33">
        <v>1</v>
      </c>
      <c r="B26" s="33" t="s">
        <v>115</v>
      </c>
      <c r="C26" s="33">
        <v>115</v>
      </c>
      <c r="D26" s="33">
        <v>1</v>
      </c>
      <c r="E26" s="33">
        <v>5</v>
      </c>
      <c r="F26" s="33">
        <v>0.8</v>
      </c>
      <c r="G26" s="33">
        <v>0.5</v>
      </c>
      <c r="H26" s="33">
        <v>2.5</v>
      </c>
      <c r="I26" s="33">
        <v>27.173913043478262</v>
      </c>
      <c r="J26" s="33">
        <v>1</v>
      </c>
      <c r="K26" s="33">
        <v>27.173913043478262</v>
      </c>
      <c r="L26" s="33" t="s">
        <v>139</v>
      </c>
      <c r="M26" s="33" t="s">
        <v>133</v>
      </c>
      <c r="N26" s="33" t="s">
        <v>140</v>
      </c>
      <c r="O26" s="33">
        <v>32</v>
      </c>
      <c r="P26" s="33">
        <v>6</v>
      </c>
      <c r="Q26" s="33">
        <v>1</v>
      </c>
      <c r="R26" s="33">
        <v>0.88</v>
      </c>
      <c r="S26" s="33">
        <v>0.94</v>
      </c>
      <c r="T26" s="33">
        <v>38.684719535783366</v>
      </c>
      <c r="U26" s="33" t="s">
        <v>134</v>
      </c>
      <c r="V26" s="33" t="s">
        <v>81</v>
      </c>
      <c r="W26" s="74" t="s">
        <v>118</v>
      </c>
      <c r="X26" s="37">
        <v>70</v>
      </c>
      <c r="Y26" s="23">
        <v>0.74039999999999995</v>
      </c>
      <c r="Z26" s="23">
        <v>8.1000000000000003E-2</v>
      </c>
      <c r="AA26" s="37">
        <v>0.85</v>
      </c>
      <c r="AB26" s="37">
        <v>0.52700000000000002</v>
      </c>
      <c r="AC26" s="25">
        <f>2*I26*X26*(Y26*AA26+Z26*AB26)/1000/C26*100</f>
        <v>2.2231517013232511</v>
      </c>
    </row>
    <row r="27" spans="1:29">
      <c r="A27" s="31">
        <v>2</v>
      </c>
      <c r="B27" s="33" t="s">
        <v>115</v>
      </c>
      <c r="C27" s="33">
        <v>115</v>
      </c>
      <c r="D27" s="33">
        <v>1</v>
      </c>
      <c r="E27" s="33">
        <v>5</v>
      </c>
      <c r="F27" s="33">
        <v>0.8</v>
      </c>
      <c r="G27" s="33">
        <v>0.5</v>
      </c>
      <c r="H27" s="33">
        <v>2.5</v>
      </c>
      <c r="I27" s="33">
        <v>27.173913043478262</v>
      </c>
      <c r="J27" s="33">
        <v>1</v>
      </c>
      <c r="K27" s="33">
        <v>27.173913043478262</v>
      </c>
      <c r="L27" s="33" t="s">
        <v>139</v>
      </c>
      <c r="M27" s="33" t="s">
        <v>133</v>
      </c>
      <c r="N27" s="33" t="s">
        <v>140</v>
      </c>
      <c r="O27" s="33">
        <v>32</v>
      </c>
      <c r="P27" s="33">
        <v>6</v>
      </c>
      <c r="Q27" s="33">
        <v>1</v>
      </c>
      <c r="R27" s="33">
        <v>0.88</v>
      </c>
      <c r="S27" s="33">
        <v>0.94</v>
      </c>
      <c r="T27" s="33">
        <v>38.684719535783366</v>
      </c>
      <c r="U27" s="33" t="s">
        <v>134</v>
      </c>
      <c r="V27" s="33" t="s">
        <v>81</v>
      </c>
      <c r="W27" s="75"/>
      <c r="X27" s="37">
        <v>60</v>
      </c>
      <c r="Y27" s="23">
        <v>0.74039999999999995</v>
      </c>
      <c r="Z27" s="23">
        <v>8.1000000000000003E-2</v>
      </c>
      <c r="AA27" s="37">
        <v>0.85</v>
      </c>
      <c r="AB27" s="37">
        <v>0.52700000000000002</v>
      </c>
      <c r="AC27" s="25">
        <f t="shared" ref="AC27:AC32" si="1">2*I27*X27*(Y27*AA27+Z27*AB27)/1000/C27*100</f>
        <v>1.9055586011342152</v>
      </c>
    </row>
    <row r="28" spans="1:29">
      <c r="A28" s="33">
        <v>3</v>
      </c>
      <c r="B28" s="33" t="s">
        <v>115</v>
      </c>
      <c r="C28" s="33">
        <v>115</v>
      </c>
      <c r="D28" s="33">
        <v>1</v>
      </c>
      <c r="E28" s="33">
        <v>5</v>
      </c>
      <c r="F28" s="33">
        <v>0.8</v>
      </c>
      <c r="G28" s="33">
        <v>0.5</v>
      </c>
      <c r="H28" s="33">
        <v>2.5</v>
      </c>
      <c r="I28" s="33">
        <v>27.173913043478262</v>
      </c>
      <c r="J28" s="33">
        <v>1</v>
      </c>
      <c r="K28" s="33">
        <v>27.173913043478262</v>
      </c>
      <c r="L28" s="33" t="s">
        <v>139</v>
      </c>
      <c r="M28" s="33" t="s">
        <v>133</v>
      </c>
      <c r="N28" s="33" t="s">
        <v>140</v>
      </c>
      <c r="O28" s="33">
        <v>32</v>
      </c>
      <c r="P28" s="33">
        <v>6</v>
      </c>
      <c r="Q28" s="33">
        <v>1</v>
      </c>
      <c r="R28" s="33">
        <v>0.88</v>
      </c>
      <c r="S28" s="33">
        <v>0.94</v>
      </c>
      <c r="T28" s="33">
        <v>38.684719535783366</v>
      </c>
      <c r="U28" s="33" t="s">
        <v>134</v>
      </c>
      <c r="V28" s="33" t="s">
        <v>81</v>
      </c>
      <c r="W28" s="75"/>
      <c r="X28" s="37">
        <v>63</v>
      </c>
      <c r="Y28" s="23">
        <v>0.74039999999999995</v>
      </c>
      <c r="Z28" s="23">
        <v>8.1000000000000003E-2</v>
      </c>
      <c r="AA28" s="37">
        <v>0.85</v>
      </c>
      <c r="AB28" s="37">
        <v>0.52700000000000002</v>
      </c>
      <c r="AC28" s="25">
        <f t="shared" si="1"/>
        <v>2.000836531190926</v>
      </c>
    </row>
    <row r="29" spans="1:29">
      <c r="A29" s="31">
        <v>4</v>
      </c>
      <c r="B29" s="33" t="s">
        <v>135</v>
      </c>
      <c r="C29" s="33">
        <v>115</v>
      </c>
      <c r="D29" s="33">
        <v>1</v>
      </c>
      <c r="E29" s="33">
        <v>5</v>
      </c>
      <c r="F29" s="33">
        <v>0.8</v>
      </c>
      <c r="G29" s="33">
        <v>0.5</v>
      </c>
      <c r="H29" s="33">
        <v>2.5</v>
      </c>
      <c r="I29" s="33">
        <v>27.173913043478262</v>
      </c>
      <c r="J29" s="33">
        <v>1</v>
      </c>
      <c r="K29" s="33">
        <v>27.173913043478262</v>
      </c>
      <c r="L29" s="33" t="s">
        <v>139</v>
      </c>
      <c r="M29" s="33" t="s">
        <v>133</v>
      </c>
      <c r="N29" s="33" t="s">
        <v>140</v>
      </c>
      <c r="O29" s="33">
        <v>32</v>
      </c>
      <c r="P29" s="33">
        <v>6</v>
      </c>
      <c r="Q29" s="33">
        <v>1</v>
      </c>
      <c r="R29" s="33">
        <v>0.88</v>
      </c>
      <c r="S29" s="33">
        <v>0.94</v>
      </c>
      <c r="T29" s="33">
        <v>38.684719535783366</v>
      </c>
      <c r="U29" s="33" t="s">
        <v>134</v>
      </c>
      <c r="V29" s="33" t="s">
        <v>81</v>
      </c>
      <c r="W29" s="75"/>
      <c r="X29" s="37">
        <v>72</v>
      </c>
      <c r="Y29" s="23">
        <v>0.74039999999999995</v>
      </c>
      <c r="Z29" s="23">
        <v>8.1000000000000003E-2</v>
      </c>
      <c r="AA29" s="37">
        <v>0.85</v>
      </c>
      <c r="AB29" s="37">
        <v>0.52700000000000002</v>
      </c>
      <c r="AC29" s="25">
        <f t="shared" si="1"/>
        <v>2.2866703213610577</v>
      </c>
    </row>
    <row r="30" spans="1:29">
      <c r="A30" s="33">
        <v>5</v>
      </c>
      <c r="B30" s="33" t="s">
        <v>125</v>
      </c>
      <c r="C30" s="33">
        <v>115</v>
      </c>
      <c r="D30" s="33">
        <v>1</v>
      </c>
      <c r="E30" s="33">
        <v>5</v>
      </c>
      <c r="F30" s="33">
        <v>0.8</v>
      </c>
      <c r="G30" s="33">
        <v>0.5</v>
      </c>
      <c r="H30" s="33">
        <v>2.5</v>
      </c>
      <c r="I30" s="33">
        <v>27.173913043478262</v>
      </c>
      <c r="J30" s="33">
        <v>1</v>
      </c>
      <c r="K30" s="33">
        <v>27.173913043478262</v>
      </c>
      <c r="L30" s="33" t="s">
        <v>139</v>
      </c>
      <c r="M30" s="33" t="s">
        <v>133</v>
      </c>
      <c r="N30" s="33" t="s">
        <v>140</v>
      </c>
      <c r="O30" s="33">
        <v>32</v>
      </c>
      <c r="P30" s="33">
        <v>6</v>
      </c>
      <c r="Q30" s="33">
        <v>1</v>
      </c>
      <c r="R30" s="33">
        <v>0.88</v>
      </c>
      <c r="S30" s="33">
        <v>0.94</v>
      </c>
      <c r="T30" s="33">
        <v>38.684719535783366</v>
      </c>
      <c r="U30" s="33" t="s">
        <v>134</v>
      </c>
      <c r="V30" s="33" t="s">
        <v>81</v>
      </c>
      <c r="W30" s="75"/>
      <c r="X30" s="37">
        <v>69</v>
      </c>
      <c r="Y30" s="23">
        <v>0.74039999999999995</v>
      </c>
      <c r="Z30" s="23">
        <v>8.1000000000000003E-2</v>
      </c>
      <c r="AA30" s="37">
        <v>0.85</v>
      </c>
      <c r="AB30" s="37">
        <v>0.52700000000000002</v>
      </c>
      <c r="AC30" s="25">
        <f t="shared" si="1"/>
        <v>2.1913923913043476</v>
      </c>
    </row>
    <row r="31" spans="1:29">
      <c r="A31" s="31">
        <v>6</v>
      </c>
      <c r="B31" s="33" t="s">
        <v>126</v>
      </c>
      <c r="C31" s="33">
        <v>115</v>
      </c>
      <c r="D31" s="33">
        <v>1</v>
      </c>
      <c r="E31" s="33">
        <v>5</v>
      </c>
      <c r="F31" s="33">
        <v>0.8</v>
      </c>
      <c r="G31" s="33">
        <v>0.5</v>
      </c>
      <c r="H31" s="33">
        <v>2.5</v>
      </c>
      <c r="I31" s="33">
        <v>27.173913043478262</v>
      </c>
      <c r="J31" s="33">
        <v>1</v>
      </c>
      <c r="K31" s="33">
        <v>27.173913043478262</v>
      </c>
      <c r="L31" s="33" t="s">
        <v>139</v>
      </c>
      <c r="M31" s="33" t="s">
        <v>133</v>
      </c>
      <c r="N31" s="33" t="s">
        <v>140</v>
      </c>
      <c r="O31" s="33">
        <v>32</v>
      </c>
      <c r="P31" s="33">
        <v>6</v>
      </c>
      <c r="Q31" s="33">
        <v>1</v>
      </c>
      <c r="R31" s="33">
        <v>0.88</v>
      </c>
      <c r="S31" s="33">
        <v>0.94</v>
      </c>
      <c r="T31" s="33">
        <v>38.684719535783366</v>
      </c>
      <c r="U31" s="33" t="s">
        <v>134</v>
      </c>
      <c r="V31" s="33" t="s">
        <v>81</v>
      </c>
      <c r="W31" s="76"/>
      <c r="X31" s="37">
        <v>50</v>
      </c>
      <c r="Y31" s="23">
        <v>0.74039999999999995</v>
      </c>
      <c r="Z31" s="23">
        <v>8.1000000000000003E-2</v>
      </c>
      <c r="AA31" s="37">
        <v>0.85</v>
      </c>
      <c r="AB31" s="37">
        <v>0.52700000000000002</v>
      </c>
      <c r="AC31" s="25">
        <f t="shared" si="1"/>
        <v>1.5879655009451792</v>
      </c>
    </row>
    <row r="32" spans="1:29">
      <c r="A32" s="84" t="s">
        <v>136</v>
      </c>
      <c r="B32" s="85"/>
      <c r="C32" s="32">
        <v>200</v>
      </c>
      <c r="D32" s="32">
        <v>3</v>
      </c>
      <c r="E32" s="32">
        <v>30</v>
      </c>
      <c r="F32" s="32">
        <v>0.8</v>
      </c>
      <c r="G32" s="37">
        <v>0.7</v>
      </c>
      <c r="H32" s="37">
        <v>21</v>
      </c>
      <c r="I32" s="37">
        <v>75.777222831138374</v>
      </c>
      <c r="J32" s="37">
        <v>1</v>
      </c>
      <c r="K32" s="37">
        <v>75.777222831138374</v>
      </c>
      <c r="L32" s="37" t="s">
        <v>70</v>
      </c>
      <c r="M32" s="37" t="s">
        <v>137</v>
      </c>
      <c r="N32" s="37" t="s">
        <v>69</v>
      </c>
      <c r="O32" s="37">
        <v>100</v>
      </c>
      <c r="P32" s="37">
        <v>36</v>
      </c>
      <c r="Q32" s="37">
        <v>1</v>
      </c>
      <c r="R32" s="37">
        <v>0.77</v>
      </c>
      <c r="S32" s="37">
        <v>0.96</v>
      </c>
      <c r="T32" s="37">
        <v>135.2813852813853</v>
      </c>
      <c r="U32" s="37" t="s">
        <v>138</v>
      </c>
      <c r="V32" s="37" t="s">
        <v>130</v>
      </c>
      <c r="W32" s="86" t="s">
        <v>141</v>
      </c>
      <c r="X32" s="38">
        <v>56</v>
      </c>
      <c r="Y32" s="23">
        <v>0.74039999999999995</v>
      </c>
      <c r="Z32" s="23">
        <v>8.1000000000000003E-2</v>
      </c>
      <c r="AA32" s="37">
        <v>0.85</v>
      </c>
      <c r="AB32" s="37">
        <v>0.52700000000000002</v>
      </c>
      <c r="AC32" s="25">
        <f t="shared" si="1"/>
        <v>2.8517630247423198</v>
      </c>
    </row>
    <row r="33" spans="1:29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87"/>
      <c r="Y33" s="35"/>
      <c r="Z33" s="35"/>
      <c r="AC33" s="1"/>
    </row>
    <row r="34" spans="1:29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87"/>
      <c r="Y34" s="35"/>
      <c r="Z34" s="35"/>
      <c r="AC34" s="1"/>
    </row>
    <row r="35" spans="1:29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87"/>
      <c r="Y35" s="35"/>
      <c r="Z35" s="35"/>
      <c r="AC35" s="1"/>
    </row>
    <row r="36" spans="1:29"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87"/>
      <c r="Y36" s="36"/>
      <c r="Z36" s="36"/>
    </row>
    <row r="37" spans="1:29"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87"/>
    </row>
    <row r="38" spans="1:29">
      <c r="C38" s="79" t="s">
        <v>131</v>
      </c>
      <c r="D38" s="79"/>
      <c r="E38" s="79"/>
      <c r="F38" s="79"/>
      <c r="G38" s="79"/>
      <c r="H38" s="79"/>
      <c r="I38" s="79"/>
      <c r="J38" s="79"/>
      <c r="K38" s="79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87"/>
    </row>
  </sheetData>
  <mergeCells count="60">
    <mergeCell ref="M23:M24"/>
    <mergeCell ref="N23:N24"/>
    <mergeCell ref="O23:O24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Q2:Q3"/>
    <mergeCell ref="C38:K38"/>
    <mergeCell ref="A32:B32"/>
    <mergeCell ref="W32:W38"/>
    <mergeCell ref="W26:W31"/>
    <mergeCell ref="V23:V24"/>
    <mergeCell ref="W23:W24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L2:L3"/>
    <mergeCell ref="M2:M3"/>
    <mergeCell ref="N2:N3"/>
    <mergeCell ref="O2:O3"/>
    <mergeCell ref="P2:P3"/>
    <mergeCell ref="A2:A3"/>
    <mergeCell ref="B2:B3"/>
    <mergeCell ref="C2:C3"/>
    <mergeCell ref="D2:D3"/>
    <mergeCell ref="E2:E3"/>
    <mergeCell ref="W5:W13"/>
    <mergeCell ref="W14:W20"/>
    <mergeCell ref="C17:K17"/>
    <mergeCell ref="A14:B14"/>
    <mergeCell ref="R2:R3"/>
    <mergeCell ref="S2:S3"/>
    <mergeCell ref="T2:T3"/>
    <mergeCell ref="F2:F3"/>
    <mergeCell ref="G2:G3"/>
    <mergeCell ref="H2:H3"/>
    <mergeCell ref="I2:I3"/>
    <mergeCell ref="J2:J3"/>
    <mergeCell ref="K2:K3"/>
    <mergeCell ref="W2:W3"/>
    <mergeCell ref="U2:U3"/>
    <mergeCell ref="V2:V3"/>
    <mergeCell ref="AC2:AC3"/>
    <mergeCell ref="X2:X3"/>
    <mergeCell ref="Y2:Y3"/>
    <mergeCell ref="Z2:Z3"/>
    <mergeCell ref="AA2:AA3"/>
    <mergeCell ref="AB2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A33" sqref="A33"/>
    </sheetView>
  </sheetViews>
  <sheetFormatPr defaultRowHeight="14.4"/>
  <cols>
    <col min="1" max="1" width="10.33203125" customWidth="1"/>
  </cols>
  <sheetData>
    <row r="1" spans="1:23">
      <c r="A1" s="72" t="s">
        <v>94</v>
      </c>
      <c r="B1" s="72" t="s">
        <v>95</v>
      </c>
      <c r="C1" s="91" t="s">
        <v>96</v>
      </c>
      <c r="D1" s="91" t="s">
        <v>97</v>
      </c>
      <c r="E1" s="91" t="s">
        <v>98</v>
      </c>
      <c r="F1" s="91" t="s">
        <v>99</v>
      </c>
      <c r="G1" s="91" t="s">
        <v>100</v>
      </c>
      <c r="H1" s="91" t="s">
        <v>101</v>
      </c>
      <c r="I1" s="91" t="s">
        <v>102</v>
      </c>
      <c r="J1" s="91" t="s">
        <v>103</v>
      </c>
      <c r="K1" s="91" t="s">
        <v>104</v>
      </c>
      <c r="L1" s="48" t="s">
        <v>105</v>
      </c>
      <c r="M1" s="91" t="s">
        <v>106</v>
      </c>
      <c r="N1" s="91" t="s">
        <v>107</v>
      </c>
      <c r="O1" s="72" t="s">
        <v>108</v>
      </c>
      <c r="P1" s="72" t="s">
        <v>109</v>
      </c>
      <c r="Q1" s="43" t="s">
        <v>73</v>
      </c>
      <c r="R1" s="43" t="s">
        <v>74</v>
      </c>
      <c r="S1" s="43" t="s">
        <v>75</v>
      </c>
      <c r="T1" s="92" t="s">
        <v>110</v>
      </c>
      <c r="U1" s="91" t="s">
        <v>111</v>
      </c>
      <c r="V1" s="91" t="s">
        <v>112</v>
      </c>
      <c r="W1" s="72" t="s">
        <v>113</v>
      </c>
    </row>
    <row r="2" spans="1:23" ht="35.4" customHeight="1">
      <c r="A2" s="73"/>
      <c r="B2" s="73"/>
      <c r="C2" s="93"/>
      <c r="D2" s="93"/>
      <c r="E2" s="93"/>
      <c r="F2" s="93"/>
      <c r="G2" s="93"/>
      <c r="H2" s="93"/>
      <c r="I2" s="93"/>
      <c r="J2" s="93"/>
      <c r="K2" s="93"/>
      <c r="L2" s="48"/>
      <c r="M2" s="93"/>
      <c r="N2" s="93"/>
      <c r="O2" s="73"/>
      <c r="P2" s="73"/>
      <c r="Q2" s="43"/>
      <c r="R2" s="43"/>
      <c r="S2" s="43"/>
      <c r="T2" s="92"/>
      <c r="U2" s="93"/>
      <c r="V2" s="93"/>
      <c r="W2" s="73"/>
    </row>
    <row r="3" spans="1:23">
      <c r="A3" t="s">
        <v>143</v>
      </c>
    </row>
    <row r="4" spans="1:23">
      <c r="A4" s="34">
        <v>1</v>
      </c>
      <c r="B4" s="34" t="s">
        <v>151</v>
      </c>
      <c r="C4" s="34">
        <v>200</v>
      </c>
      <c r="D4" s="34">
        <v>3</v>
      </c>
      <c r="E4" s="34">
        <v>40.799999999999997</v>
      </c>
      <c r="F4" s="34">
        <v>0.8</v>
      </c>
      <c r="G4" s="34">
        <v>1</v>
      </c>
      <c r="H4" s="34">
        <f>E4*G4</f>
        <v>40.799999999999997</v>
      </c>
      <c r="I4" s="34">
        <f>H4*1000/(SQRT(3)*C4*F4)</f>
        <v>147.22431864335456</v>
      </c>
      <c r="J4" s="34">
        <v>1</v>
      </c>
      <c r="K4" s="34">
        <f>I4*J4</f>
        <v>147.22431864335456</v>
      </c>
      <c r="L4" s="34" t="s">
        <v>70</v>
      </c>
      <c r="M4" s="34" t="s">
        <v>152</v>
      </c>
      <c r="N4" s="34" t="s">
        <v>145</v>
      </c>
      <c r="O4" s="34">
        <v>150</v>
      </c>
      <c r="P4" s="34">
        <v>25</v>
      </c>
      <c r="Q4" s="94">
        <v>1</v>
      </c>
      <c r="R4" s="94">
        <v>0.78</v>
      </c>
      <c r="S4" s="94">
        <v>0.96</v>
      </c>
      <c r="T4" s="94">
        <f t="shared" ref="T4:T7" si="0">O4/(S4*R4*Q4)</f>
        <v>200.32051282051282</v>
      </c>
      <c r="U4" s="34" t="s">
        <v>153</v>
      </c>
      <c r="V4" s="34" t="s">
        <v>147</v>
      </c>
      <c r="W4" s="48" t="s">
        <v>154</v>
      </c>
    </row>
    <row r="5" spans="1:23">
      <c r="A5" s="34">
        <v>2</v>
      </c>
      <c r="B5" s="34" t="s">
        <v>155</v>
      </c>
      <c r="C5" s="34">
        <v>200</v>
      </c>
      <c r="D5" s="34">
        <v>3</v>
      </c>
      <c r="E5" s="34">
        <v>41</v>
      </c>
      <c r="F5" s="34">
        <v>0.8</v>
      </c>
      <c r="G5" s="34">
        <v>1</v>
      </c>
      <c r="H5" s="34">
        <f t="shared" ref="H5:H7" si="1">E5*G5</f>
        <v>41</v>
      </c>
      <c r="I5" s="34">
        <f>H5*1000/(SQRT(3)*C5*F5)</f>
        <v>147.9460064798416</v>
      </c>
      <c r="J5" s="34">
        <v>1</v>
      </c>
      <c r="K5" s="34">
        <f t="shared" ref="K5:K7" si="2">I5*J5</f>
        <v>147.9460064798416</v>
      </c>
      <c r="L5" s="34" t="s">
        <v>70</v>
      </c>
      <c r="M5" s="34" t="s">
        <v>152</v>
      </c>
      <c r="N5" s="34" t="s">
        <v>145</v>
      </c>
      <c r="O5" s="34">
        <v>150</v>
      </c>
      <c r="P5" s="34">
        <v>25</v>
      </c>
      <c r="Q5" s="94">
        <v>1</v>
      </c>
      <c r="R5" s="94">
        <v>0.78</v>
      </c>
      <c r="S5" s="94">
        <v>0.96</v>
      </c>
      <c r="T5" s="94">
        <f t="shared" si="0"/>
        <v>200.32051282051282</v>
      </c>
      <c r="U5" s="34" t="s">
        <v>153</v>
      </c>
      <c r="V5" s="34" t="s">
        <v>147</v>
      </c>
      <c r="W5" s="48"/>
    </row>
    <row r="6" spans="1:23">
      <c r="A6" s="34">
        <v>3</v>
      </c>
      <c r="B6" s="34" t="s">
        <v>156</v>
      </c>
      <c r="C6" s="34">
        <v>200</v>
      </c>
      <c r="D6" s="34">
        <v>3</v>
      </c>
      <c r="E6" s="34">
        <v>41</v>
      </c>
      <c r="F6" s="34">
        <v>0.8</v>
      </c>
      <c r="G6" s="34">
        <v>1</v>
      </c>
      <c r="H6" s="34">
        <f t="shared" si="1"/>
        <v>41</v>
      </c>
      <c r="I6" s="34">
        <f t="shared" ref="I6:I7" si="3">H6*1000/(SQRT(3)*C6*F6)</f>
        <v>147.9460064798416</v>
      </c>
      <c r="J6" s="34">
        <v>1</v>
      </c>
      <c r="K6" s="34">
        <f t="shared" si="2"/>
        <v>147.9460064798416</v>
      </c>
      <c r="L6" s="34" t="s">
        <v>70</v>
      </c>
      <c r="M6" s="34" t="s">
        <v>152</v>
      </c>
      <c r="N6" s="34" t="s">
        <v>145</v>
      </c>
      <c r="O6" s="34">
        <v>150</v>
      </c>
      <c r="P6" s="34">
        <v>25</v>
      </c>
      <c r="Q6" s="94">
        <v>1</v>
      </c>
      <c r="R6" s="94">
        <v>0.78</v>
      </c>
      <c r="S6" s="94">
        <v>0.96</v>
      </c>
      <c r="T6" s="94">
        <f t="shared" si="0"/>
        <v>200.32051282051282</v>
      </c>
      <c r="U6" s="34" t="s">
        <v>153</v>
      </c>
      <c r="V6" s="34" t="s">
        <v>147</v>
      </c>
      <c r="W6" s="48"/>
    </row>
    <row r="7" spans="1:23">
      <c r="A7" s="34">
        <v>4</v>
      </c>
      <c r="B7" s="34" t="s">
        <v>157</v>
      </c>
      <c r="C7" s="34">
        <v>200</v>
      </c>
      <c r="D7" s="34">
        <v>3</v>
      </c>
      <c r="E7" s="34">
        <v>41</v>
      </c>
      <c r="F7" s="34">
        <v>0.8</v>
      </c>
      <c r="G7" s="34">
        <v>1</v>
      </c>
      <c r="H7" s="34">
        <f t="shared" si="1"/>
        <v>41</v>
      </c>
      <c r="I7" s="34">
        <f t="shared" si="3"/>
        <v>147.9460064798416</v>
      </c>
      <c r="J7" s="34">
        <v>1</v>
      </c>
      <c r="K7" s="34">
        <f t="shared" si="2"/>
        <v>147.9460064798416</v>
      </c>
      <c r="L7" s="34" t="s">
        <v>70</v>
      </c>
      <c r="M7" s="34" t="s">
        <v>152</v>
      </c>
      <c r="N7" s="34" t="s">
        <v>145</v>
      </c>
      <c r="O7" s="34">
        <v>150</v>
      </c>
      <c r="P7" s="34">
        <v>25</v>
      </c>
      <c r="Q7" s="94">
        <v>1</v>
      </c>
      <c r="R7" s="94">
        <v>0.78</v>
      </c>
      <c r="S7" s="94">
        <v>0.96</v>
      </c>
      <c r="T7" s="94">
        <f t="shared" si="0"/>
        <v>200.32051282051282</v>
      </c>
      <c r="U7" s="34" t="s">
        <v>153</v>
      </c>
      <c r="V7" s="34" t="s">
        <v>147</v>
      </c>
      <c r="W7" s="48"/>
    </row>
    <row r="8" spans="1:23">
      <c r="A8" s="78" t="s">
        <v>185</v>
      </c>
      <c r="B8" s="78"/>
      <c r="C8" s="39">
        <v>200</v>
      </c>
      <c r="D8" s="39">
        <v>3</v>
      </c>
      <c r="E8" s="39">
        <f>SUM(E4:E7)</f>
        <v>163.80000000000001</v>
      </c>
      <c r="F8" s="39">
        <v>0.8</v>
      </c>
      <c r="G8" s="39">
        <v>0.8</v>
      </c>
      <c r="H8" s="39">
        <f>G8*(E8)</f>
        <v>131.04000000000002</v>
      </c>
      <c r="I8" s="39">
        <f>H8*1000/(SQRT(3)*C8*F8)</f>
        <v>472.84987046630351</v>
      </c>
      <c r="J8" s="39">
        <v>1</v>
      </c>
      <c r="K8" s="39">
        <f>I8*J8</f>
        <v>472.84987046630351</v>
      </c>
      <c r="L8" s="39" t="s">
        <v>70</v>
      </c>
      <c r="M8" s="39" t="s">
        <v>144</v>
      </c>
      <c r="N8" s="39" t="s">
        <v>145</v>
      </c>
      <c r="O8" s="39">
        <v>500</v>
      </c>
      <c r="P8" s="39">
        <v>36</v>
      </c>
      <c r="Q8" s="39">
        <v>1</v>
      </c>
      <c r="R8" s="39">
        <v>0.78</v>
      </c>
      <c r="S8" s="39">
        <v>0.96</v>
      </c>
      <c r="T8" s="39">
        <f>O8/(S8*R8*Q8)</f>
        <v>667.73504273504273</v>
      </c>
      <c r="U8" s="39" t="s">
        <v>146</v>
      </c>
      <c r="V8" s="39" t="s">
        <v>147</v>
      </c>
      <c r="W8" s="39"/>
    </row>
    <row r="9" spans="1:23">
      <c r="A9" s="39" t="s">
        <v>150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spans="1:23">
      <c r="A10" s="34">
        <v>1</v>
      </c>
      <c r="B10" s="34" t="s">
        <v>160</v>
      </c>
      <c r="C10" s="34">
        <v>200</v>
      </c>
      <c r="D10" s="34">
        <v>3</v>
      </c>
      <c r="E10" s="34">
        <v>35.200000000000003</v>
      </c>
      <c r="F10" s="34">
        <v>0.8</v>
      </c>
      <c r="G10" s="34">
        <v>1</v>
      </c>
      <c r="H10" s="34">
        <f>E10*G10</f>
        <v>35.200000000000003</v>
      </c>
      <c r="I10" s="34">
        <f>H10*1000/(SQRT(3)*C10*F10)</f>
        <v>127.01705922171766</v>
      </c>
      <c r="J10" s="34">
        <v>1</v>
      </c>
      <c r="K10" s="34">
        <f>I10*J10</f>
        <v>127.01705922171766</v>
      </c>
      <c r="L10" s="34" t="s">
        <v>70</v>
      </c>
      <c r="M10" s="34" t="s">
        <v>152</v>
      </c>
      <c r="N10" s="34" t="s">
        <v>145</v>
      </c>
      <c r="O10" s="34">
        <v>150</v>
      </c>
      <c r="P10" s="34">
        <v>25</v>
      </c>
      <c r="Q10" s="94">
        <v>1</v>
      </c>
      <c r="R10" s="94">
        <v>0.78</v>
      </c>
      <c r="S10" s="94">
        <v>0.96</v>
      </c>
      <c r="T10" s="94">
        <f>O10/(S10*R10*Q10)</f>
        <v>200.32051282051282</v>
      </c>
      <c r="U10" s="34" t="s">
        <v>153</v>
      </c>
      <c r="V10" s="34" t="s">
        <v>147</v>
      </c>
      <c r="W10" s="91" t="s">
        <v>154</v>
      </c>
    </row>
    <row r="11" spans="1:23">
      <c r="A11" s="34">
        <v>2</v>
      </c>
      <c r="B11" s="34" t="s">
        <v>161</v>
      </c>
      <c r="C11" s="34">
        <v>200</v>
      </c>
      <c r="D11" s="34">
        <v>3</v>
      </c>
      <c r="E11" s="34">
        <v>35.200000000000003</v>
      </c>
      <c r="F11" s="34">
        <v>0.8</v>
      </c>
      <c r="G11" s="34">
        <v>1</v>
      </c>
      <c r="H11" s="34">
        <f t="shared" ref="H11:H14" si="4">E11*G11</f>
        <v>35.200000000000003</v>
      </c>
      <c r="I11" s="34">
        <f>H11*1000/(SQRT(3)*C11*F11)</f>
        <v>127.01705922171766</v>
      </c>
      <c r="J11" s="34">
        <v>1</v>
      </c>
      <c r="K11" s="34">
        <f t="shared" ref="K11:K14" si="5">I11*J11</f>
        <v>127.01705922171766</v>
      </c>
      <c r="L11" s="34" t="s">
        <v>70</v>
      </c>
      <c r="M11" s="34" t="s">
        <v>152</v>
      </c>
      <c r="N11" s="34" t="s">
        <v>145</v>
      </c>
      <c r="O11" s="34">
        <v>150</v>
      </c>
      <c r="P11" s="34">
        <v>25</v>
      </c>
      <c r="Q11" s="94">
        <v>1</v>
      </c>
      <c r="R11" s="94">
        <v>0.78</v>
      </c>
      <c r="S11" s="94">
        <v>0.96</v>
      </c>
      <c r="T11" s="94">
        <f t="shared" ref="T11:T15" si="6">O11/(S11*R11*Q11)</f>
        <v>200.32051282051282</v>
      </c>
      <c r="U11" s="34" t="s">
        <v>153</v>
      </c>
      <c r="V11" s="34" t="s">
        <v>147</v>
      </c>
      <c r="W11" s="96"/>
    </row>
    <row r="12" spans="1:23">
      <c r="A12" s="34">
        <v>3</v>
      </c>
      <c r="B12" s="34" t="s">
        <v>162</v>
      </c>
      <c r="C12" s="34">
        <v>200</v>
      </c>
      <c r="D12" s="34">
        <v>3</v>
      </c>
      <c r="E12" s="34">
        <v>35.200000000000003</v>
      </c>
      <c r="F12" s="34">
        <v>0.8</v>
      </c>
      <c r="G12" s="34">
        <v>1</v>
      </c>
      <c r="H12" s="34">
        <f t="shared" si="4"/>
        <v>35.200000000000003</v>
      </c>
      <c r="I12" s="34">
        <f t="shared" ref="I12:I14" si="7">H12*1000/(SQRT(3)*C12*F12)</f>
        <v>127.01705922171766</v>
      </c>
      <c r="J12" s="34">
        <v>1</v>
      </c>
      <c r="K12" s="34">
        <f t="shared" si="5"/>
        <v>127.01705922171766</v>
      </c>
      <c r="L12" s="34" t="s">
        <v>70</v>
      </c>
      <c r="M12" s="34" t="s">
        <v>152</v>
      </c>
      <c r="N12" s="34" t="s">
        <v>145</v>
      </c>
      <c r="O12" s="34">
        <v>150</v>
      </c>
      <c r="P12" s="34">
        <v>25</v>
      </c>
      <c r="Q12" s="94">
        <v>1</v>
      </c>
      <c r="R12" s="94">
        <v>0.78</v>
      </c>
      <c r="S12" s="94">
        <v>0.96</v>
      </c>
      <c r="T12" s="94">
        <f t="shared" si="6"/>
        <v>200.32051282051282</v>
      </c>
      <c r="U12" s="34" t="s">
        <v>153</v>
      </c>
      <c r="V12" s="34" t="s">
        <v>147</v>
      </c>
      <c r="W12" s="96"/>
    </row>
    <row r="13" spans="1:23">
      <c r="A13" s="34">
        <v>4</v>
      </c>
      <c r="B13" s="34" t="s">
        <v>163</v>
      </c>
      <c r="C13" s="34">
        <v>200</v>
      </c>
      <c r="D13" s="34">
        <v>3</v>
      </c>
      <c r="E13" s="34">
        <v>35.200000000000003</v>
      </c>
      <c r="F13" s="34">
        <v>0.8</v>
      </c>
      <c r="G13" s="34">
        <v>1</v>
      </c>
      <c r="H13" s="34">
        <f t="shared" si="4"/>
        <v>35.200000000000003</v>
      </c>
      <c r="I13" s="34">
        <f t="shared" si="7"/>
        <v>127.01705922171766</v>
      </c>
      <c r="J13" s="34">
        <v>1</v>
      </c>
      <c r="K13" s="34">
        <f t="shared" si="5"/>
        <v>127.01705922171766</v>
      </c>
      <c r="L13" s="34" t="s">
        <v>70</v>
      </c>
      <c r="M13" s="34" t="s">
        <v>152</v>
      </c>
      <c r="N13" s="34" t="s">
        <v>145</v>
      </c>
      <c r="O13" s="34">
        <v>150</v>
      </c>
      <c r="P13" s="34">
        <v>25</v>
      </c>
      <c r="Q13" s="94">
        <v>1</v>
      </c>
      <c r="R13" s="94">
        <v>0.78</v>
      </c>
      <c r="S13" s="94">
        <v>0.96</v>
      </c>
      <c r="T13" s="94">
        <f t="shared" si="6"/>
        <v>200.32051282051282</v>
      </c>
      <c r="U13" s="34" t="s">
        <v>153</v>
      </c>
      <c r="V13" s="34" t="s">
        <v>147</v>
      </c>
      <c r="W13" s="96"/>
    </row>
    <row r="14" spans="1:23">
      <c r="A14" s="34">
        <v>5</v>
      </c>
      <c r="B14" s="34" t="s">
        <v>164</v>
      </c>
      <c r="C14" s="34">
        <v>200</v>
      </c>
      <c r="D14" s="34">
        <v>3</v>
      </c>
      <c r="E14" s="34">
        <v>35.200000000000003</v>
      </c>
      <c r="F14" s="34">
        <v>0.8</v>
      </c>
      <c r="G14" s="34">
        <v>1</v>
      </c>
      <c r="H14" s="34">
        <f t="shared" si="4"/>
        <v>35.200000000000003</v>
      </c>
      <c r="I14" s="34">
        <f t="shared" si="7"/>
        <v>127.01705922171766</v>
      </c>
      <c r="J14" s="34">
        <v>1</v>
      </c>
      <c r="K14" s="34">
        <f t="shared" si="5"/>
        <v>127.01705922171766</v>
      </c>
      <c r="L14" s="34" t="s">
        <v>70</v>
      </c>
      <c r="M14" s="34" t="s">
        <v>152</v>
      </c>
      <c r="N14" s="34" t="s">
        <v>145</v>
      </c>
      <c r="O14" s="34">
        <v>150</v>
      </c>
      <c r="P14" s="34">
        <v>25</v>
      </c>
      <c r="Q14" s="94">
        <v>1</v>
      </c>
      <c r="R14" s="94">
        <v>0.78</v>
      </c>
      <c r="S14" s="94">
        <v>0.96</v>
      </c>
      <c r="T14" s="94">
        <f t="shared" si="6"/>
        <v>200.32051282051282</v>
      </c>
      <c r="U14" s="34" t="s">
        <v>153</v>
      </c>
      <c r="V14" s="34" t="s">
        <v>147</v>
      </c>
      <c r="W14" s="93"/>
    </row>
    <row r="15" spans="1:23">
      <c r="A15" s="78" t="s">
        <v>186</v>
      </c>
      <c r="B15" s="78"/>
      <c r="C15" s="39">
        <v>200</v>
      </c>
      <c r="D15" s="39">
        <v>3</v>
      </c>
      <c r="E15" s="39">
        <f>SUM(E10:E14)</f>
        <v>176</v>
      </c>
      <c r="F15" s="39">
        <v>0.8</v>
      </c>
      <c r="G15" s="39">
        <v>0.8</v>
      </c>
      <c r="H15" s="39">
        <f>G15*(E15)</f>
        <v>140.80000000000001</v>
      </c>
      <c r="I15" s="39">
        <f>H15*1000/(SQRT(3)*C15*F15)</f>
        <v>508.06823688687064</v>
      </c>
      <c r="J15" s="39">
        <v>1</v>
      </c>
      <c r="K15" s="39">
        <f>I15*J15</f>
        <v>508.06823688687064</v>
      </c>
      <c r="L15" s="39" t="s">
        <v>70</v>
      </c>
      <c r="M15" s="39" t="s">
        <v>148</v>
      </c>
      <c r="N15" s="39" t="s">
        <v>145</v>
      </c>
      <c r="O15" s="39">
        <v>600</v>
      </c>
      <c r="P15" s="39">
        <v>36</v>
      </c>
      <c r="Q15" s="39">
        <v>1</v>
      </c>
      <c r="R15" s="39">
        <v>0.78</v>
      </c>
      <c r="S15" s="39">
        <v>0.96</v>
      </c>
      <c r="T15" s="39">
        <f t="shared" si="6"/>
        <v>801.28205128205127</v>
      </c>
      <c r="U15" s="39" t="s">
        <v>149</v>
      </c>
      <c r="V15" s="39" t="s">
        <v>147</v>
      </c>
      <c r="W15" s="39"/>
    </row>
    <row r="16" spans="1:23">
      <c r="A16" s="39" t="s">
        <v>159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>
      <c r="A17" s="34">
        <v>1</v>
      </c>
      <c r="B17" s="34" t="s">
        <v>166</v>
      </c>
      <c r="C17" s="34">
        <v>200</v>
      </c>
      <c r="D17" s="34">
        <v>3</v>
      </c>
      <c r="E17" s="34">
        <v>35.200000000000003</v>
      </c>
      <c r="F17" s="34">
        <v>0.8</v>
      </c>
      <c r="G17" s="34">
        <v>1</v>
      </c>
      <c r="H17" s="34">
        <f>E17*G17</f>
        <v>35.200000000000003</v>
      </c>
      <c r="I17" s="34">
        <f>H17*1000/(SQRT(3)*C17*F17)</f>
        <v>127.01705922171766</v>
      </c>
      <c r="J17" s="34">
        <v>1</v>
      </c>
      <c r="K17" s="34">
        <f>I17*J17</f>
        <v>127.01705922171766</v>
      </c>
      <c r="L17" s="34" t="s">
        <v>70</v>
      </c>
      <c r="M17" s="34" t="s">
        <v>152</v>
      </c>
      <c r="N17" s="34" t="s">
        <v>145</v>
      </c>
      <c r="O17" s="34">
        <v>150</v>
      </c>
      <c r="P17" s="34">
        <v>25</v>
      </c>
      <c r="Q17" s="94">
        <v>1</v>
      </c>
      <c r="R17" s="94">
        <v>0.78</v>
      </c>
      <c r="S17" s="94">
        <v>0.96</v>
      </c>
      <c r="T17" s="94">
        <f>O17/(S17*R17*Q17)</f>
        <v>200.32051282051282</v>
      </c>
      <c r="U17" s="34" t="s">
        <v>167</v>
      </c>
      <c r="V17" s="34" t="s">
        <v>147</v>
      </c>
      <c r="W17" s="91" t="s">
        <v>154</v>
      </c>
    </row>
    <row r="18" spans="1:23">
      <c r="A18" s="34">
        <v>2</v>
      </c>
      <c r="B18" s="34" t="s">
        <v>168</v>
      </c>
      <c r="C18" s="34">
        <v>200</v>
      </c>
      <c r="D18" s="34">
        <v>3</v>
      </c>
      <c r="E18" s="34">
        <v>35.200000000000003</v>
      </c>
      <c r="F18" s="34">
        <v>0.8</v>
      </c>
      <c r="G18" s="34">
        <v>1</v>
      </c>
      <c r="H18" s="34">
        <f t="shared" ref="H18:H21" si="8">E18*G18</f>
        <v>35.200000000000003</v>
      </c>
      <c r="I18" s="34">
        <f>H18*1000/(SQRT(3)*C18*F18)</f>
        <v>127.01705922171766</v>
      </c>
      <c r="J18" s="34">
        <v>1</v>
      </c>
      <c r="K18" s="34">
        <f t="shared" ref="K18:K21" si="9">I18*J18</f>
        <v>127.01705922171766</v>
      </c>
      <c r="L18" s="34" t="s">
        <v>70</v>
      </c>
      <c r="M18" s="34" t="s">
        <v>152</v>
      </c>
      <c r="N18" s="34" t="s">
        <v>145</v>
      </c>
      <c r="O18" s="34">
        <v>150</v>
      </c>
      <c r="P18" s="34">
        <v>25</v>
      </c>
      <c r="Q18" s="94">
        <v>1</v>
      </c>
      <c r="R18" s="94">
        <v>0.78</v>
      </c>
      <c r="S18" s="94">
        <v>0.96</v>
      </c>
      <c r="T18" s="94">
        <f t="shared" ref="T18:T22" si="10">O18/(S18*R18*Q18)</f>
        <v>200.32051282051282</v>
      </c>
      <c r="U18" s="34" t="s">
        <v>167</v>
      </c>
      <c r="V18" s="34" t="s">
        <v>147</v>
      </c>
      <c r="W18" s="96"/>
    </row>
    <row r="19" spans="1:23">
      <c r="A19" s="34">
        <v>3</v>
      </c>
      <c r="B19" s="34" t="s">
        <v>169</v>
      </c>
      <c r="C19" s="34">
        <v>200</v>
      </c>
      <c r="D19" s="34">
        <v>3</v>
      </c>
      <c r="E19" s="34">
        <v>35.200000000000003</v>
      </c>
      <c r="F19" s="34">
        <v>0.8</v>
      </c>
      <c r="G19" s="34">
        <v>1</v>
      </c>
      <c r="H19" s="34">
        <f t="shared" si="8"/>
        <v>35.200000000000003</v>
      </c>
      <c r="I19" s="34">
        <f t="shared" ref="I19:I21" si="11">H19*1000/(SQRT(3)*C19*F19)</f>
        <v>127.01705922171766</v>
      </c>
      <c r="J19" s="34">
        <v>1</v>
      </c>
      <c r="K19" s="34">
        <f t="shared" si="9"/>
        <v>127.01705922171766</v>
      </c>
      <c r="L19" s="34" t="s">
        <v>70</v>
      </c>
      <c r="M19" s="34" t="s">
        <v>152</v>
      </c>
      <c r="N19" s="34" t="s">
        <v>145</v>
      </c>
      <c r="O19" s="34">
        <v>150</v>
      </c>
      <c r="P19" s="34">
        <v>25</v>
      </c>
      <c r="Q19" s="94">
        <v>1</v>
      </c>
      <c r="R19" s="94">
        <v>0.78</v>
      </c>
      <c r="S19" s="94">
        <v>0.96</v>
      </c>
      <c r="T19" s="94">
        <f t="shared" si="10"/>
        <v>200.32051282051282</v>
      </c>
      <c r="U19" s="34" t="s">
        <v>167</v>
      </c>
      <c r="V19" s="34" t="s">
        <v>147</v>
      </c>
      <c r="W19" s="96"/>
    </row>
    <row r="20" spans="1:23">
      <c r="A20" s="34">
        <v>4</v>
      </c>
      <c r="B20" s="34" t="s">
        <v>170</v>
      </c>
      <c r="C20" s="34">
        <v>200</v>
      </c>
      <c r="D20" s="34">
        <v>3</v>
      </c>
      <c r="E20" s="34">
        <v>35.200000000000003</v>
      </c>
      <c r="F20" s="34">
        <v>0.8</v>
      </c>
      <c r="G20" s="34">
        <v>1</v>
      </c>
      <c r="H20" s="34">
        <f t="shared" si="8"/>
        <v>35.200000000000003</v>
      </c>
      <c r="I20" s="34">
        <f t="shared" si="11"/>
        <v>127.01705922171766</v>
      </c>
      <c r="J20" s="34">
        <v>1</v>
      </c>
      <c r="K20" s="34">
        <f t="shared" si="9"/>
        <v>127.01705922171766</v>
      </c>
      <c r="L20" s="34" t="s">
        <v>70</v>
      </c>
      <c r="M20" s="34" t="s">
        <v>152</v>
      </c>
      <c r="N20" s="34" t="s">
        <v>145</v>
      </c>
      <c r="O20" s="34">
        <v>150</v>
      </c>
      <c r="P20" s="34">
        <v>25</v>
      </c>
      <c r="Q20" s="94">
        <v>1</v>
      </c>
      <c r="R20" s="94">
        <v>0.78</v>
      </c>
      <c r="S20" s="94">
        <v>0.96</v>
      </c>
      <c r="T20" s="94">
        <f t="shared" si="10"/>
        <v>200.32051282051282</v>
      </c>
      <c r="U20" s="34" t="s">
        <v>167</v>
      </c>
      <c r="V20" s="34" t="s">
        <v>147</v>
      </c>
      <c r="W20" s="96"/>
    </row>
    <row r="21" spans="1:23">
      <c r="A21" s="34">
        <v>5</v>
      </c>
      <c r="B21" s="34" t="s">
        <v>171</v>
      </c>
      <c r="C21" s="34">
        <v>200</v>
      </c>
      <c r="D21" s="34">
        <v>3</v>
      </c>
      <c r="E21" s="34">
        <v>35.200000000000003</v>
      </c>
      <c r="F21" s="34">
        <v>0.8</v>
      </c>
      <c r="G21" s="34">
        <v>1</v>
      </c>
      <c r="H21" s="34">
        <f t="shared" si="8"/>
        <v>35.200000000000003</v>
      </c>
      <c r="I21" s="34">
        <f t="shared" si="11"/>
        <v>127.01705922171766</v>
      </c>
      <c r="J21" s="34">
        <v>1</v>
      </c>
      <c r="K21" s="34">
        <f t="shared" si="9"/>
        <v>127.01705922171766</v>
      </c>
      <c r="L21" s="34" t="s">
        <v>70</v>
      </c>
      <c r="M21" s="34" t="s">
        <v>152</v>
      </c>
      <c r="N21" s="34" t="s">
        <v>145</v>
      </c>
      <c r="O21" s="34">
        <v>150</v>
      </c>
      <c r="P21" s="34">
        <v>25</v>
      </c>
      <c r="Q21" s="94">
        <v>1</v>
      </c>
      <c r="R21" s="94">
        <v>0.78</v>
      </c>
      <c r="S21" s="94">
        <v>0.96</v>
      </c>
      <c r="T21" s="94">
        <f t="shared" si="10"/>
        <v>200.32051282051282</v>
      </c>
      <c r="U21" s="34" t="s">
        <v>167</v>
      </c>
      <c r="V21" s="34" t="s">
        <v>147</v>
      </c>
      <c r="W21" s="93"/>
    </row>
    <row r="22" spans="1:23">
      <c r="A22" s="78" t="s">
        <v>186</v>
      </c>
      <c r="B22" s="78"/>
      <c r="C22" s="39">
        <v>200</v>
      </c>
      <c r="D22" s="39">
        <v>3</v>
      </c>
      <c r="E22" s="39">
        <f>SUM(E17:E21)</f>
        <v>176</v>
      </c>
      <c r="F22" s="39">
        <v>0.8</v>
      </c>
      <c r="G22" s="39">
        <v>0.8</v>
      </c>
      <c r="H22" s="39">
        <f>G22*(E22)</f>
        <v>140.80000000000001</v>
      </c>
      <c r="I22" s="39">
        <f>H22*1000/(SQRT(3)*C22*F22)</f>
        <v>508.06823688687064</v>
      </c>
      <c r="J22" s="39">
        <v>1</v>
      </c>
      <c r="K22" s="39">
        <f>I22*J22</f>
        <v>508.06823688687064</v>
      </c>
      <c r="L22" s="39" t="s">
        <v>70</v>
      </c>
      <c r="M22" s="39" t="s">
        <v>148</v>
      </c>
      <c r="N22" s="39" t="s">
        <v>145</v>
      </c>
      <c r="O22" s="39">
        <v>600</v>
      </c>
      <c r="P22" s="39">
        <v>36</v>
      </c>
      <c r="Q22" s="39">
        <v>1</v>
      </c>
      <c r="R22" s="39">
        <v>0.78</v>
      </c>
      <c r="S22" s="39">
        <v>0.96</v>
      </c>
      <c r="T22" s="39">
        <f t="shared" si="10"/>
        <v>801.28205128205127</v>
      </c>
      <c r="U22" s="39" t="s">
        <v>149</v>
      </c>
      <c r="V22" s="39" t="s">
        <v>147</v>
      </c>
      <c r="W22" s="39"/>
    </row>
    <row r="23" spans="1:23">
      <c r="A23" s="39" t="s">
        <v>165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>
      <c r="A24" s="39">
        <v>1</v>
      </c>
      <c r="B24" s="39" t="s">
        <v>173</v>
      </c>
      <c r="C24" s="39">
        <v>200</v>
      </c>
      <c r="D24" s="39">
        <v>3</v>
      </c>
      <c r="E24" s="39">
        <v>57.6</v>
      </c>
      <c r="F24" s="39">
        <v>0.8</v>
      </c>
      <c r="G24" s="39">
        <v>1</v>
      </c>
      <c r="H24" s="39">
        <f>E24*G24</f>
        <v>57.6</v>
      </c>
      <c r="I24" s="39">
        <f>H24*1000/(SQRT(3)*C24*F24)</f>
        <v>207.84609690826525</v>
      </c>
      <c r="J24" s="39">
        <v>1</v>
      </c>
      <c r="K24" s="39">
        <f>I24*J24</f>
        <v>207.84609690826525</v>
      </c>
      <c r="L24" s="39" t="s">
        <v>70</v>
      </c>
      <c r="M24" s="39" t="s">
        <v>174</v>
      </c>
      <c r="N24" s="39" t="s">
        <v>145</v>
      </c>
      <c r="O24" s="39">
        <v>225</v>
      </c>
      <c r="P24" s="39">
        <v>25</v>
      </c>
      <c r="Q24" s="39">
        <v>1</v>
      </c>
      <c r="R24" s="39">
        <v>0.78</v>
      </c>
      <c r="S24" s="39">
        <v>0.96</v>
      </c>
      <c r="T24" s="39">
        <f>O24/(S24*R24*Q24)</f>
        <v>300.48076923076923</v>
      </c>
      <c r="U24" s="39" t="s">
        <v>175</v>
      </c>
      <c r="V24" s="39" t="s">
        <v>147</v>
      </c>
      <c r="W24" s="78" t="s">
        <v>154</v>
      </c>
    </row>
    <row r="25" spans="1:23">
      <c r="A25" s="39">
        <v>2</v>
      </c>
      <c r="B25" s="39" t="s">
        <v>176</v>
      </c>
      <c r="C25" s="39">
        <v>200</v>
      </c>
      <c r="D25" s="39">
        <v>3</v>
      </c>
      <c r="E25" s="39">
        <v>57.6</v>
      </c>
      <c r="F25" s="39">
        <v>0.8</v>
      </c>
      <c r="G25" s="39">
        <v>1</v>
      </c>
      <c r="H25" s="39">
        <f t="shared" ref="H25" si="12">E25*G25</f>
        <v>57.6</v>
      </c>
      <c r="I25" s="39">
        <f>H25*1000/(SQRT(3)*C25*F25)</f>
        <v>207.84609690826525</v>
      </c>
      <c r="J25" s="39">
        <v>1</v>
      </c>
      <c r="K25" s="39">
        <f t="shared" ref="K25:K26" si="13">I25*J25</f>
        <v>207.84609690826525</v>
      </c>
      <c r="L25" s="39" t="s">
        <v>70</v>
      </c>
      <c r="M25" s="39" t="s">
        <v>174</v>
      </c>
      <c r="N25" s="39" t="s">
        <v>145</v>
      </c>
      <c r="O25" s="39">
        <v>225</v>
      </c>
      <c r="P25" s="39">
        <v>25</v>
      </c>
      <c r="Q25" s="39">
        <v>1</v>
      </c>
      <c r="R25" s="39">
        <v>0.78</v>
      </c>
      <c r="S25" s="39">
        <v>0.96</v>
      </c>
      <c r="T25" s="39">
        <f t="shared" ref="T25:T27" si="14">O25/(S25*R25*Q25)</f>
        <v>300.48076923076923</v>
      </c>
      <c r="U25" s="39" t="s">
        <v>175</v>
      </c>
      <c r="V25" s="39" t="s">
        <v>147</v>
      </c>
      <c r="W25" s="78"/>
    </row>
    <row r="26" spans="1:23">
      <c r="A26" s="39">
        <v>3</v>
      </c>
      <c r="B26" s="39" t="s">
        <v>177</v>
      </c>
      <c r="C26" s="39">
        <v>200</v>
      </c>
      <c r="D26" s="39">
        <v>3</v>
      </c>
      <c r="E26" s="39">
        <v>57.6</v>
      </c>
      <c r="F26" s="39">
        <v>0.8</v>
      </c>
      <c r="G26" s="39">
        <v>1</v>
      </c>
      <c r="H26" s="39">
        <f>E26*G26</f>
        <v>57.6</v>
      </c>
      <c r="I26" s="39">
        <f>H26*1000/(SQRT(3)*C26*F26)</f>
        <v>207.84609690826525</v>
      </c>
      <c r="J26" s="39">
        <v>1</v>
      </c>
      <c r="K26" s="39">
        <f t="shared" si="13"/>
        <v>207.84609690826525</v>
      </c>
      <c r="L26" s="39" t="s">
        <v>70</v>
      </c>
      <c r="M26" s="39" t="s">
        <v>174</v>
      </c>
      <c r="N26" s="39" t="s">
        <v>145</v>
      </c>
      <c r="O26" s="39">
        <v>225</v>
      </c>
      <c r="P26" s="39">
        <v>25</v>
      </c>
      <c r="Q26" s="39">
        <v>1</v>
      </c>
      <c r="R26" s="39">
        <v>0.78</v>
      </c>
      <c r="S26" s="39">
        <v>0.96</v>
      </c>
      <c r="T26" s="39">
        <f t="shared" si="14"/>
        <v>300.48076923076923</v>
      </c>
      <c r="U26" s="39" t="s">
        <v>175</v>
      </c>
      <c r="V26" s="39" t="s">
        <v>147</v>
      </c>
      <c r="W26" s="78"/>
    </row>
    <row r="27" spans="1:23">
      <c r="A27" s="78" t="s">
        <v>186</v>
      </c>
      <c r="B27" s="78"/>
      <c r="C27" s="39">
        <v>200</v>
      </c>
      <c r="D27" s="39">
        <v>3</v>
      </c>
      <c r="E27" s="39">
        <f>SUM(E24:E26)</f>
        <v>172.8</v>
      </c>
      <c r="F27" s="39">
        <v>0.8</v>
      </c>
      <c r="G27" s="39">
        <v>0.9</v>
      </c>
      <c r="H27" s="39">
        <f>G27*(E27)</f>
        <v>155.52000000000001</v>
      </c>
      <c r="I27" s="39">
        <f>H27*1000/(SQRT(3)*C27*F27)</f>
        <v>561.18446165231614</v>
      </c>
      <c r="J27" s="39">
        <v>1</v>
      </c>
      <c r="K27" s="39">
        <f>I27*J27</f>
        <v>561.18446165231614</v>
      </c>
      <c r="L27" s="39" t="s">
        <v>70</v>
      </c>
      <c r="M27" s="39" t="s">
        <v>148</v>
      </c>
      <c r="N27" s="39" t="s">
        <v>145</v>
      </c>
      <c r="O27" s="39">
        <v>600</v>
      </c>
      <c r="P27" s="39">
        <v>36</v>
      </c>
      <c r="Q27" s="39">
        <v>1</v>
      </c>
      <c r="R27" s="39">
        <v>0.77</v>
      </c>
      <c r="S27" s="39">
        <v>0.96</v>
      </c>
      <c r="T27" s="39">
        <f t="shared" si="14"/>
        <v>811.68831168831173</v>
      </c>
      <c r="U27" s="39" t="s">
        <v>149</v>
      </c>
      <c r="V27" s="39" t="s">
        <v>147</v>
      </c>
      <c r="W27" s="39"/>
    </row>
    <row r="28" spans="1:23">
      <c r="A28" s="39" t="s">
        <v>172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>
      <c r="A29" s="39">
        <v>1</v>
      </c>
      <c r="B29" s="39" t="s">
        <v>178</v>
      </c>
      <c r="C29" s="39">
        <v>200</v>
      </c>
      <c r="D29" s="39">
        <v>3</v>
      </c>
      <c r="E29" s="39">
        <v>57.6</v>
      </c>
      <c r="F29" s="39">
        <v>0.8</v>
      </c>
      <c r="G29" s="39">
        <v>1</v>
      </c>
      <c r="H29" s="39">
        <f>E29*G29</f>
        <v>57.6</v>
      </c>
      <c r="I29" s="39">
        <f>H29*1000/(SQRT(3)*C29*F29)</f>
        <v>207.84609690826525</v>
      </c>
      <c r="J29" s="39">
        <v>1</v>
      </c>
      <c r="K29" s="39">
        <f>I29*J29</f>
        <v>207.84609690826525</v>
      </c>
      <c r="L29" s="39" t="s">
        <v>70</v>
      </c>
      <c r="M29" s="39" t="s">
        <v>174</v>
      </c>
      <c r="N29" s="39" t="s">
        <v>145</v>
      </c>
      <c r="O29" s="39">
        <v>225</v>
      </c>
      <c r="P29" s="39">
        <v>25</v>
      </c>
      <c r="Q29" s="39">
        <v>1</v>
      </c>
      <c r="R29" s="39">
        <v>0.78</v>
      </c>
      <c r="S29" s="39">
        <v>0.96</v>
      </c>
      <c r="T29" s="39">
        <f t="shared" ref="T29:T32" si="15">O29/(S29*R29*Q29)</f>
        <v>300.48076923076923</v>
      </c>
      <c r="U29" s="39" t="s">
        <v>175</v>
      </c>
      <c r="V29" s="39" t="s">
        <v>147</v>
      </c>
      <c r="W29" s="78" t="s">
        <v>154</v>
      </c>
    </row>
    <row r="30" spans="1:23">
      <c r="A30" s="39">
        <v>2</v>
      </c>
      <c r="B30" s="39" t="s">
        <v>179</v>
      </c>
      <c r="C30" s="39">
        <v>200</v>
      </c>
      <c r="D30" s="39">
        <v>3</v>
      </c>
      <c r="E30" s="39">
        <v>57.6</v>
      </c>
      <c r="F30" s="39">
        <v>0.8</v>
      </c>
      <c r="G30" s="39">
        <v>1</v>
      </c>
      <c r="H30" s="39">
        <f t="shared" ref="H30" si="16">E30*G30</f>
        <v>57.6</v>
      </c>
      <c r="I30" s="39">
        <f>H30*1000/(SQRT(3)*C30*F30)</f>
        <v>207.84609690826525</v>
      </c>
      <c r="J30" s="39">
        <v>1</v>
      </c>
      <c r="K30" s="39">
        <f t="shared" ref="K30:K31" si="17">I30*J30</f>
        <v>207.84609690826525</v>
      </c>
      <c r="L30" s="39" t="s">
        <v>70</v>
      </c>
      <c r="M30" s="39" t="s">
        <v>174</v>
      </c>
      <c r="N30" s="39" t="s">
        <v>145</v>
      </c>
      <c r="O30" s="39">
        <v>225</v>
      </c>
      <c r="P30" s="39">
        <v>25</v>
      </c>
      <c r="Q30" s="39">
        <v>1</v>
      </c>
      <c r="R30" s="39">
        <v>0.78</v>
      </c>
      <c r="S30" s="39">
        <v>0.96</v>
      </c>
      <c r="T30" s="39">
        <f t="shared" si="15"/>
        <v>300.48076923076923</v>
      </c>
      <c r="U30" s="39" t="s">
        <v>175</v>
      </c>
      <c r="V30" s="39" t="s">
        <v>147</v>
      </c>
      <c r="W30" s="78"/>
    </row>
    <row r="31" spans="1:23">
      <c r="A31" s="39">
        <v>3</v>
      </c>
      <c r="B31" s="39" t="s">
        <v>180</v>
      </c>
      <c r="C31" s="39">
        <v>200</v>
      </c>
      <c r="D31" s="39">
        <v>3</v>
      </c>
      <c r="E31" s="39">
        <v>57.6</v>
      </c>
      <c r="F31" s="39">
        <v>0.8</v>
      </c>
      <c r="G31" s="39">
        <v>1</v>
      </c>
      <c r="H31" s="39">
        <f>E31*G31</f>
        <v>57.6</v>
      </c>
      <c r="I31" s="39">
        <f>H31*1000/(SQRT(3)*C31*F31)</f>
        <v>207.84609690826525</v>
      </c>
      <c r="J31" s="39">
        <v>1</v>
      </c>
      <c r="K31" s="39">
        <f t="shared" si="17"/>
        <v>207.84609690826525</v>
      </c>
      <c r="L31" s="39" t="s">
        <v>70</v>
      </c>
      <c r="M31" s="39" t="s">
        <v>174</v>
      </c>
      <c r="N31" s="39" t="s">
        <v>145</v>
      </c>
      <c r="O31" s="39">
        <v>225</v>
      </c>
      <c r="P31" s="39">
        <v>25</v>
      </c>
      <c r="Q31" s="39">
        <v>1</v>
      </c>
      <c r="R31" s="39">
        <v>0.78</v>
      </c>
      <c r="S31" s="39">
        <v>0.96</v>
      </c>
      <c r="T31" s="39">
        <f t="shared" si="15"/>
        <v>300.48076923076923</v>
      </c>
      <c r="U31" s="39" t="s">
        <v>175</v>
      </c>
      <c r="V31" s="39" t="s">
        <v>147</v>
      </c>
      <c r="W31" s="78"/>
    </row>
    <row r="32" spans="1:23">
      <c r="A32" s="78" t="s">
        <v>186</v>
      </c>
      <c r="B32" s="78"/>
      <c r="C32" s="39">
        <v>200</v>
      </c>
      <c r="D32" s="39">
        <v>3</v>
      </c>
      <c r="E32" s="39">
        <f>SUM(E29:E31)</f>
        <v>172.8</v>
      </c>
      <c r="F32" s="39">
        <v>0.8</v>
      </c>
      <c r="G32" s="39">
        <v>0.9</v>
      </c>
      <c r="H32" s="39">
        <f>G32*(E32)</f>
        <v>155.52000000000001</v>
      </c>
      <c r="I32" s="39">
        <f>H32*1000/(SQRT(3)*C32*F32)</f>
        <v>561.18446165231614</v>
      </c>
      <c r="J32" s="39">
        <v>1</v>
      </c>
      <c r="K32" s="39">
        <f>I32*J32</f>
        <v>561.18446165231614</v>
      </c>
      <c r="L32" s="39" t="s">
        <v>70</v>
      </c>
      <c r="M32" s="39" t="s">
        <v>148</v>
      </c>
      <c r="N32" s="39" t="s">
        <v>145</v>
      </c>
      <c r="O32" s="39">
        <v>600</v>
      </c>
      <c r="P32" s="39">
        <v>36</v>
      </c>
      <c r="Q32" s="39">
        <v>1</v>
      </c>
      <c r="R32" s="39">
        <v>0.78</v>
      </c>
      <c r="S32" s="39">
        <v>0.96</v>
      </c>
      <c r="T32" s="39">
        <f t="shared" si="15"/>
        <v>801.28205128205127</v>
      </c>
      <c r="U32" s="39" t="s">
        <v>149</v>
      </c>
      <c r="V32" s="39" t="s">
        <v>147</v>
      </c>
      <c r="W32" s="39"/>
    </row>
    <row r="33" spans="1:23">
      <c r="A33" s="39" t="s">
        <v>181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3">
      <c r="A34" s="39">
        <v>1</v>
      </c>
      <c r="B34" s="39" t="s">
        <v>182</v>
      </c>
      <c r="C34" s="39">
        <v>200</v>
      </c>
      <c r="D34" s="39">
        <v>3</v>
      </c>
      <c r="E34" s="39">
        <v>66</v>
      </c>
      <c r="F34" s="39">
        <v>0.8</v>
      </c>
      <c r="G34" s="39">
        <v>1</v>
      </c>
      <c r="H34" s="39">
        <f>E34*G34</f>
        <v>66</v>
      </c>
      <c r="I34" s="39">
        <f>H34*1000/(SQRT(3)*C34*F34)</f>
        <v>238.1569860407206</v>
      </c>
      <c r="J34" s="39">
        <v>1</v>
      </c>
      <c r="K34" s="39">
        <f>I34*J34</f>
        <v>238.1569860407206</v>
      </c>
      <c r="L34" s="39" t="s">
        <v>70</v>
      </c>
      <c r="M34" s="39" t="s">
        <v>183</v>
      </c>
      <c r="N34" s="39" t="s">
        <v>145</v>
      </c>
      <c r="O34" s="39">
        <v>250</v>
      </c>
      <c r="P34" s="39">
        <v>25</v>
      </c>
      <c r="Q34" s="39">
        <v>1</v>
      </c>
      <c r="R34" s="39">
        <v>0.78</v>
      </c>
      <c r="S34" s="39">
        <v>0.96</v>
      </c>
      <c r="T34" s="39">
        <f>O34/(S34*R34*Q34)</f>
        <v>333.86752136752136</v>
      </c>
      <c r="U34" s="39" t="s">
        <v>175</v>
      </c>
      <c r="V34" s="39" t="s">
        <v>147</v>
      </c>
      <c r="W34" s="78" t="s">
        <v>154</v>
      </c>
    </row>
    <row r="35" spans="1:23">
      <c r="A35" s="39">
        <v>2</v>
      </c>
      <c r="B35" s="39" t="s">
        <v>184</v>
      </c>
      <c r="C35" s="39">
        <v>200</v>
      </c>
      <c r="D35" s="39">
        <v>3</v>
      </c>
      <c r="E35" s="39">
        <v>66</v>
      </c>
      <c r="F35" s="39">
        <v>0.8</v>
      </c>
      <c r="G35" s="39">
        <v>1</v>
      </c>
      <c r="H35" s="39">
        <f t="shared" ref="H35" si="18">E35*G35</f>
        <v>66</v>
      </c>
      <c r="I35" s="39">
        <f>H35*1000/(SQRT(3)*C35*F35)</f>
        <v>238.1569860407206</v>
      </c>
      <c r="J35" s="39">
        <v>1</v>
      </c>
      <c r="K35" s="39">
        <f t="shared" ref="K35" si="19">I35*J35</f>
        <v>238.1569860407206</v>
      </c>
      <c r="L35" s="39" t="s">
        <v>70</v>
      </c>
      <c r="M35" s="39" t="s">
        <v>183</v>
      </c>
      <c r="N35" s="39" t="s">
        <v>145</v>
      </c>
      <c r="O35" s="39">
        <v>250</v>
      </c>
      <c r="P35" s="39">
        <v>25</v>
      </c>
      <c r="Q35" s="39">
        <v>1</v>
      </c>
      <c r="R35" s="39">
        <v>0.78</v>
      </c>
      <c r="S35" s="39">
        <v>0.96</v>
      </c>
      <c r="T35" s="39">
        <f>O35/(S35*R35*Q35)</f>
        <v>333.86752136752136</v>
      </c>
      <c r="U35" s="39" t="s">
        <v>175</v>
      </c>
      <c r="V35" s="39" t="s">
        <v>147</v>
      </c>
      <c r="W35" s="78"/>
    </row>
    <row r="36" spans="1:23">
      <c r="A36" s="78" t="s">
        <v>185</v>
      </c>
      <c r="B36" s="78"/>
      <c r="C36" s="39">
        <v>200</v>
      </c>
      <c r="D36" s="39">
        <v>3</v>
      </c>
      <c r="E36" s="39">
        <f>SUM(E34:E35)</f>
        <v>132</v>
      </c>
      <c r="F36" s="39">
        <v>0.8</v>
      </c>
      <c r="G36" s="39">
        <v>0.9</v>
      </c>
      <c r="H36" s="39">
        <f>G36*(E36)</f>
        <v>118.8</v>
      </c>
      <c r="I36" s="39">
        <f>H36*1000/(SQRT(3)*C36*F36)</f>
        <v>428.68257487329709</v>
      </c>
      <c r="J36" s="39">
        <v>1</v>
      </c>
      <c r="K36" s="39">
        <f>I36*J36</f>
        <v>428.68257487329709</v>
      </c>
      <c r="L36" s="39" t="s">
        <v>70</v>
      </c>
      <c r="M36" s="39" t="s">
        <v>144</v>
      </c>
      <c r="N36" s="39" t="s">
        <v>145</v>
      </c>
      <c r="O36" s="39">
        <v>500</v>
      </c>
      <c r="P36" s="39">
        <v>36</v>
      </c>
      <c r="Q36" s="39">
        <v>1</v>
      </c>
      <c r="R36" s="39">
        <v>0.78</v>
      </c>
      <c r="S36" s="39">
        <v>0.96</v>
      </c>
      <c r="T36" s="39">
        <f t="shared" ref="T36" si="20">O36/(S36*R36*Q36)</f>
        <v>667.73504273504273</v>
      </c>
      <c r="U36" s="39" t="s">
        <v>146</v>
      </c>
      <c r="V36" s="39" t="s">
        <v>147</v>
      </c>
      <c r="W36" s="39"/>
    </row>
    <row r="37" spans="1:23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spans="1:23">
      <c r="A38" s="95"/>
      <c r="B38" s="95" t="s">
        <v>158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</row>
    <row r="39" spans="1:23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</row>
    <row r="40" spans="1:23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2" spans="1:23">
      <c r="W42" s="97"/>
    </row>
    <row r="43" spans="1:23">
      <c r="W43" s="97"/>
    </row>
    <row r="44" spans="1:23">
      <c r="W44" s="97"/>
    </row>
    <row r="45" spans="1:23">
      <c r="W45" s="97"/>
    </row>
    <row r="46" spans="1:23">
      <c r="W46" s="97"/>
    </row>
    <row r="47" spans="1:23">
      <c r="W47" s="97"/>
    </row>
    <row r="48" spans="1:23">
      <c r="W48" s="97"/>
    </row>
    <row r="49" spans="1:23">
      <c r="W49" s="97"/>
    </row>
    <row r="50" spans="1:23">
      <c r="A50" s="97"/>
      <c r="B50" s="97"/>
    </row>
  </sheetData>
  <mergeCells count="37">
    <mergeCell ref="A32:B32"/>
    <mergeCell ref="W34:W35"/>
    <mergeCell ref="A36:B36"/>
    <mergeCell ref="W42:W49"/>
    <mergeCell ref="A50:B50"/>
    <mergeCell ref="A15:B15"/>
    <mergeCell ref="W17:W21"/>
    <mergeCell ref="A22:B22"/>
    <mergeCell ref="W24:W26"/>
    <mergeCell ref="A27:B27"/>
    <mergeCell ref="W29:W31"/>
    <mergeCell ref="W4:W7"/>
    <mergeCell ref="A8:B8"/>
    <mergeCell ref="W10:W14"/>
    <mergeCell ref="S1:S2"/>
    <mergeCell ref="T1:T2"/>
    <mergeCell ref="U1:U2"/>
    <mergeCell ref="V1:V2"/>
    <mergeCell ref="W1:W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Chiếu sáng</vt:lpstr>
      <vt:lpstr>Ổ cắm</vt:lpstr>
      <vt:lpstr>tải đọng cơ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2021-08-05T08:16:06Z</dcterms:created>
  <dcterms:modified xsi:type="dcterms:W3CDTF">2021-09-08T13:44:27Z</dcterms:modified>
</cp:coreProperties>
</file>