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358" documentId="13_ncr:1_{1F6193A1-24F7-47AE-86D6-8C72A9FF5A62}" xr6:coauthVersionLast="47" xr6:coauthVersionMax="47" xr10:uidLastSave="{F09CFCFF-C0CD-47A6-B84C-213A49960458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  <externalReference r:id="rId15"/>
  </externalReferences>
  <definedNames>
    <definedName name="_xlnm._FilterDatabase" localSheetId="2" hidden="1">MOMS!$A$1:$I$59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" i="3" l="1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32" i="3"/>
  <c r="F24" i="3"/>
  <c r="G11" i="3"/>
  <c r="F11" i="3"/>
  <c r="G10" i="3"/>
  <c r="F10" i="3"/>
  <c r="E7" i="3"/>
  <c r="G6" i="3"/>
  <c r="F6" i="3"/>
  <c r="G5" i="3"/>
  <c r="E5" i="3"/>
  <c r="G2" i="3"/>
  <c r="F2" i="3"/>
  <c r="C2" i="3" s="1"/>
  <c r="J5" i="3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9" i="3"/>
  <c r="J20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D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X1" i="10" l="1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V19" i="3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B32" i="3"/>
  <c r="V32" i="3" s="1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U49" i="3"/>
  <c r="O22" i="11"/>
  <c r="U33" i="3"/>
  <c r="O48" i="11"/>
  <c r="U48" i="3"/>
  <c r="D39" i="3"/>
  <c r="D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B2" i="11" s="1"/>
  <c r="C9" i="11"/>
  <c r="D9" i="11"/>
  <c r="V37" i="3"/>
  <c r="T15" i="3"/>
  <c r="V20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<sst xmlns="http://schemas.openxmlformats.org/spreadsheetml/2006/main" count="613" uniqueCount="246">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</sst>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MOMS"/>
      <sheetName val="W"/>
      <sheetName val="W_"/>
      <sheetName val="parskickedout"/>
      <sheetName val="Moments_other"/>
      <sheetName val="Moments_psid"/>
      <sheetName val="OUTSIDE MOMENT"/>
      <sheetName val="W_psid"/>
      <sheetName val="W_other"/>
      <sheetName val="Ns"/>
      <sheetName val="calibration of js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>
            <v>0.70559799999999995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0.24220549857776552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0.47919421139496021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0.7312403997155219</v>
      </c>
      <c r="R4">
        <v>0.6</v>
      </c>
      <c r="S4">
        <f ca="1">RAND()</f>
        <v>7.4105296754909511E-2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0.13259031036488145</v>
      </c>
    </row>
    <row r="6" spans="1:19" x14ac:dyDescent="0.35">
      <c r="A6" t="s">
        <v>108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0.18538006448899258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4.6190964970698967E-2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0.72634168111178699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0.74640669648328994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0.6733369390030135</v>
      </c>
    </row>
    <row r="11" spans="1:19" x14ac:dyDescent="0.35">
      <c r="A11" t="s">
        <v>97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0.66948824923785388</v>
      </c>
    </row>
    <row r="12" spans="1:19" x14ac:dyDescent="0.35">
      <c r="A12" t="s">
        <v>96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0.14734351498674758</v>
      </c>
    </row>
    <row r="13" spans="1:19" x14ac:dyDescent="0.35">
      <c r="A13" t="s">
        <v>99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0.92469837972042923</v>
      </c>
    </row>
    <row r="14" spans="1:19" x14ac:dyDescent="0.35">
      <c r="A14" t="s">
        <v>101</v>
      </c>
      <c r="B14">
        <f>(D14*$R$4+C14*(1-$R$4))*$R$7 +(1-$R$7)*PARS!B14</f>
        <v>0.26578868534175293</v>
      </c>
      <c r="C14">
        <f>PARS!C14</f>
        <v>0.18063308712546314</v>
      </c>
      <c r="D14">
        <f>PARS!D14</f>
        <v>0.33546144751871732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0.20460577150353088</v>
      </c>
    </row>
    <row r="15" spans="1:19" x14ac:dyDescent="0.35">
      <c r="A15" t="s">
        <v>72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6.3398083683409712E-2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0.72791546499423676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0.2638440472044622</v>
      </c>
    </row>
    <row r="18" spans="1:17" x14ac:dyDescent="0.35">
      <c r="A18" t="s">
        <v>73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0.52459286309279141</v>
      </c>
    </row>
    <row r="19" spans="1:17" x14ac:dyDescent="0.35">
      <c r="A19" s="6" t="s">
        <v>74</v>
      </c>
      <c r="B19">
        <f>(D19*$R$4+C19*(1-$R$4))*$R$7 +(1-$R$7)*PARS!B19</f>
        <v>2.9957322735539909</v>
      </c>
      <c r="C19">
        <f>PARS!C19</f>
        <v>2.9957322735539909</v>
      </c>
      <c r="D19">
        <f>PARS!D19</f>
        <v>2.9957322735539909</v>
      </c>
      <c r="E19" t="b">
        <f t="shared" si="0"/>
        <v>1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0.72013808889651287</v>
      </c>
    </row>
    <row r="20" spans="1:17" x14ac:dyDescent="0.35">
      <c r="A20" t="s">
        <v>75</v>
      </c>
      <c r="B20">
        <f>(D20*$R$4+C20*(1-$R$4))*$R$7 +(1-$R$7)*PARS!B20</f>
        <v>0.26423969649504248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0.41386051744825925</v>
      </c>
    </row>
    <row r="21" spans="1:17" x14ac:dyDescent="0.35">
      <c r="A21" t="s">
        <v>70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0.37407856382015592</v>
      </c>
    </row>
    <row r="22" spans="1:17" x14ac:dyDescent="0.35">
      <c r="A22" t="s">
        <v>81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0.51217347698557447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0.17216977576561565</v>
      </c>
    </row>
    <row r="24" spans="1:17" x14ac:dyDescent="0.35">
      <c r="A24" t="s">
        <v>192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0.39902132684464664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0.95271253522213295</v>
      </c>
    </row>
    <row r="26" spans="1:17" x14ac:dyDescent="0.35">
      <c r="A26" t="s">
        <v>84</v>
      </c>
      <c r="B26">
        <f>(D26*$R$4+C26*(1-$R$4))*$R$7 +(1-$R$7)*PARS!B26</f>
        <v>2.8358859296910843E-3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0.19856421513548073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0.15439671928853904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5.8089399549935528E-2</v>
      </c>
    </row>
    <row r="29" spans="1:17" x14ac:dyDescent="0.35">
      <c r="A29" t="s">
        <v>88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0.9876252120146275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0.67675060514609631</v>
      </c>
    </row>
    <row r="31" spans="1:17" x14ac:dyDescent="0.35">
      <c r="A31" t="s">
        <v>86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0.58206864897634836</v>
      </c>
    </row>
    <row r="32" spans="1:17" x14ac:dyDescent="0.35">
      <c r="A32" t="s">
        <v>87</v>
      </c>
      <c r="B32">
        <f>(D32*$R$4+C32*(1-$R$4))*$R$7 +(1-$R$7)*PARS!B32</f>
        <v>2.5563659357799589</v>
      </c>
      <c r="C32">
        <f>PARS!C32</f>
        <v>0.87409948991153752</v>
      </c>
      <c r="D32">
        <f>PARS!D32</f>
        <v>6.9067547786484651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0.96136439587029077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0.29379049651852152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0.72455711254536315</v>
      </c>
    </row>
    <row r="35" spans="1:17" x14ac:dyDescent="0.35">
      <c r="A35" t="s">
        <v>91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0.10927411579174517</v>
      </c>
    </row>
    <row r="36" spans="1:17" x14ac:dyDescent="0.35">
      <c r="A36" t="s">
        <v>104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0.37622993211621336</v>
      </c>
    </row>
    <row r="37" spans="1:17" x14ac:dyDescent="0.35">
      <c r="A37" s="5" t="s">
        <v>71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3.7598201257009412E-2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0.85314881582122581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0.26818128866403779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0.69301169969388843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0.10849969948593685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0.18856549743476403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0.40872297811697578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6.8105741098387296E-2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0.93294306328406307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0.65316023625403452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0.25556184210262611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0.16751199266654182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2.9804649334277289E-2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V49"/>
  <sheetViews>
    <sheetView tabSelected="1" zoomScale="43" zoomScaleNormal="43" workbookViewId="0">
      <selection activeCell="H20" sqref="H20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2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245</v>
      </c>
      <c r="K1" t="s">
        <v>68</v>
      </c>
      <c r="L1" t="s">
        <v>69</v>
      </c>
      <c r="M1" t="s">
        <v>184</v>
      </c>
      <c r="N1" t="s">
        <v>185</v>
      </c>
      <c r="O1" t="s">
        <v>186</v>
      </c>
      <c r="P1" t="s">
        <v>180</v>
      </c>
      <c r="Q1" t="s">
        <v>187</v>
      </c>
      <c r="R1" t="s">
        <v>188</v>
      </c>
      <c r="S1" t="s">
        <v>179</v>
      </c>
      <c r="T1" t="s">
        <v>191</v>
      </c>
      <c r="U1" t="s">
        <v>218</v>
      </c>
      <c r="V1" t="s">
        <v>195</v>
      </c>
    </row>
    <row r="2" spans="1:22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108</v>
      </c>
      <c r="B6">
        <f>LOG(E6)</f>
        <v>0.20836072497837904</v>
      </c>
      <c r="C6">
        <f>B6</f>
        <v>0.20836072497837904</v>
      </c>
      <c r="D6">
        <f>B6</f>
        <v>0.20836072497837904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97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J11">
        <f t="shared" si="5"/>
        <v>6.4997162548868932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0.15385287</v>
      </c>
    </row>
    <row r="12" spans="1:22" x14ac:dyDescent="0.35">
      <c r="A12" t="s">
        <v>96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4.454311654727281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0.65968225000000003</v>
      </c>
    </row>
    <row r="13" spans="1:22" x14ac:dyDescent="0.35">
      <c r="A13" t="s">
        <v>99</v>
      </c>
      <c r="B13">
        <f>LN(E13)</f>
        <v>-8.9025505804146685E-2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101</v>
      </c>
      <c r="B14">
        <f>LN(E14)</f>
        <v>0.25804726732209021</v>
      </c>
      <c r="C14">
        <f>B14*0.7</f>
        <v>0.18063308712546314</v>
      </c>
      <c r="D14">
        <f>B14*1.3</f>
        <v>0.33546144751871732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0.77255871446229918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72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10.636912810502123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9.4012240000000011E-2</v>
      </c>
    </row>
    <row r="16" spans="1:22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2" x14ac:dyDescent="0.35">
      <c r="A17" t="s">
        <v>98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2" x14ac:dyDescent="0.35">
      <c r="A18" t="s">
        <v>73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2" x14ac:dyDescent="0.35">
      <c r="A19" s="6" t="s">
        <v>74</v>
      </c>
      <c r="B19">
        <f>LN(E19/100)</f>
        <v>2.9957322735539909</v>
      </c>
      <c r="C19">
        <f>LN(F19/100)</f>
        <v>2.9957322735539909</v>
      </c>
      <c r="D19">
        <f>LN(G19/100)</f>
        <v>2.9957322735539909</v>
      </c>
      <c r="E19">
        <v>2000</v>
      </c>
      <c r="F19">
        <v>2000</v>
      </c>
      <c r="G19">
        <v>2000</v>
      </c>
      <c r="H19">
        <v>999.5</v>
      </c>
      <c r="I19">
        <v>4.0999999999999996</v>
      </c>
      <c r="J19">
        <f t="shared" si="5"/>
        <v>5.0000000000000001E-4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  <c r="V19">
        <f>EXP(B19)*100</f>
        <v>1999.9999999999995</v>
      </c>
    </row>
    <row r="20" spans="1:22" x14ac:dyDescent="0.35">
      <c r="A20" t="s">
        <v>75</v>
      </c>
      <c r="B20">
        <f>-LN(1/E20 -1)</f>
        <v>2.0100676757762812E-2</v>
      </c>
      <c r="C20">
        <f>-LN(1/F20 -1)</f>
        <v>0</v>
      </c>
      <c r="D20">
        <f>-LN(1/G20 -1)</f>
        <v>0.84729786038720356</v>
      </c>
      <c r="E20">
        <v>0.50502499999999995</v>
      </c>
      <c r="F20">
        <v>0.5</v>
      </c>
      <c r="G20">
        <v>0.7</v>
      </c>
      <c r="H20">
        <v>4.0999999999999996</v>
      </c>
      <c r="I20">
        <v>4.0999999999999996</v>
      </c>
      <c r="J20">
        <f>1/(E20*(1-E20))</f>
        <v>4.0004040508101424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1/(1+EXP(-B20))</f>
        <v>0.50502499999999995</v>
      </c>
    </row>
    <row r="21" spans="1:22" x14ac:dyDescent="0.35">
      <c r="A21" t="s">
        <v>70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2" x14ac:dyDescent="0.35">
      <c r="A22" t="s">
        <v>81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2" x14ac:dyDescent="0.35">
      <c r="A24" t="s">
        <v>192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2" x14ac:dyDescent="0.35">
      <c r="A25" t="s">
        <v>83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2" x14ac:dyDescent="0.35">
      <c r="A26" t="s">
        <v>84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2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2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5.1999999999999998E-2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2" x14ac:dyDescent="0.35">
      <c r="A29" t="s">
        <v>88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2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2" x14ac:dyDescent="0.35">
      <c r="A31" t="s">
        <v>86</v>
      </c>
      <c r="B31">
        <f t="shared" ref="B31:D32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2" x14ac:dyDescent="0.35">
      <c r="A32" t="s">
        <v>87</v>
      </c>
      <c r="B32">
        <f t="shared" si="11"/>
        <v>0.61903920840622373</v>
      </c>
      <c r="C32">
        <f t="shared" si="11"/>
        <v>0.87409948991153752</v>
      </c>
      <c r="D32">
        <f t="shared" si="11"/>
        <v>6.9067547786484651</v>
      </c>
      <c r="E32">
        <v>0.65</v>
      </c>
      <c r="F32">
        <f>'[1]calibration of jseg'!E2</f>
        <v>0.70559799999999995</v>
      </c>
      <c r="G32">
        <v>0.999</v>
      </c>
      <c r="H32">
        <v>999.5</v>
      </c>
      <c r="I32">
        <v>5.04</v>
      </c>
      <c r="J32">
        <f>1/(E32*(1-E32))</f>
        <v>4.395604395604396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0.65</v>
      </c>
    </row>
    <row r="33" spans="1:22" x14ac:dyDescent="0.35">
      <c r="A33" t="s">
        <v>89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90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91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104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71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0.48902146804244701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43.544524276072288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92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93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I59"/>
  <sheetViews>
    <sheetView topLeftCell="A29" workbookViewId="0">
      <selection activeCell="D40" sqref="D40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8" x14ac:dyDescent="0.35">
      <c r="A21" t="s">
        <v>39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8" x14ac:dyDescent="0.35">
      <c r="A22" t="s">
        <v>57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8" hidden="1" x14ac:dyDescent="0.35">
      <c r="A23" t="s">
        <v>58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8" x14ac:dyDescent="0.35">
      <c r="A24" t="s">
        <v>158</v>
      </c>
      <c r="B24" t="s">
        <v>158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H24" t="s">
        <v>231</v>
      </c>
    </row>
    <row r="25" spans="1:8" x14ac:dyDescent="0.35">
      <c r="A25" t="s">
        <v>59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H25" t="s">
        <v>244</v>
      </c>
    </row>
    <row r="26" spans="1:8" x14ac:dyDescent="0.35">
      <c r="A26" t="s">
        <v>60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8" x14ac:dyDescent="0.35">
      <c r="A27" t="s">
        <v>149</v>
      </c>
      <c r="B27" t="s">
        <v>22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8" x14ac:dyDescent="0.35">
      <c r="A28" t="s">
        <v>41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8" x14ac:dyDescent="0.35">
      <c r="A29" t="s">
        <v>40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8" x14ac:dyDescent="0.35">
      <c r="A30" t="s">
        <v>43</v>
      </c>
      <c r="B30" t="s">
        <v>164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8" hidden="1" x14ac:dyDescent="0.35">
      <c r="A31" t="s">
        <v>44</v>
      </c>
      <c r="B31" t="s">
        <v>165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H31" t="s">
        <v>190</v>
      </c>
    </row>
    <row r="32" spans="1:8" x14ac:dyDescent="0.35">
      <c r="A32" t="s">
        <v>61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8" x14ac:dyDescent="0.35">
      <c r="A33" t="s">
        <v>32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8" x14ac:dyDescent="0.35">
      <c r="A34" t="s">
        <v>34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8" x14ac:dyDescent="0.35">
      <c r="A35" t="s">
        <v>38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8" x14ac:dyDescent="0.35">
      <c r="A36" t="s">
        <v>36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8" x14ac:dyDescent="0.35">
      <c r="A37" t="s">
        <v>119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8" x14ac:dyDescent="0.35">
      <c r="A38" t="s">
        <v>31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8" x14ac:dyDescent="0.35">
      <c r="A39" t="s">
        <v>33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8" x14ac:dyDescent="0.35">
      <c r="A40" t="s">
        <v>37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8" x14ac:dyDescent="0.35">
      <c r="A41" t="s">
        <v>35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8" x14ac:dyDescent="0.35">
      <c r="A42" t="s">
        <v>118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8" x14ac:dyDescent="0.35">
      <c r="A43" t="s">
        <v>46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8" hidden="1" x14ac:dyDescent="0.35">
      <c r="A44" t="s">
        <v>45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H44" t="s">
        <v>227</v>
      </c>
    </row>
    <row r="45" spans="1:8" hidden="1" x14ac:dyDescent="0.35">
      <c r="A45" t="s">
        <v>113</v>
      </c>
      <c r="B45" t="s">
        <v>136</v>
      </c>
      <c r="C45">
        <f>VLOOKUP(B45,Moments_psid!A:C,3,0)</f>
        <v>1.8814014327029097E-3</v>
      </c>
      <c r="D45">
        <v>0</v>
      </c>
      <c r="G45">
        <v>51</v>
      </c>
    </row>
    <row r="46" spans="1:8" hidden="1" x14ac:dyDescent="0.35">
      <c r="A46" t="s">
        <v>42</v>
      </c>
      <c r="B46" t="s">
        <v>166</v>
      </c>
      <c r="C46">
        <f>VLOOKUP(B46,Moments_psid!A:C,3,0)</f>
        <v>122.548474987894</v>
      </c>
      <c r="D46">
        <v>0</v>
      </c>
      <c r="G46">
        <v>54</v>
      </c>
      <c r="H46" t="s">
        <v>190</v>
      </c>
    </row>
    <row r="47" spans="1:8" hidden="1" x14ac:dyDescent="0.35">
      <c r="A47" t="s">
        <v>174</v>
      </c>
      <c r="B47" t="s">
        <v>175</v>
      </c>
      <c r="C47">
        <f>VLOOKUP(B47,Moments_psid!A:C,3,0)</f>
        <v>2.905856906222299</v>
      </c>
      <c r="D47">
        <v>0</v>
      </c>
      <c r="G47">
        <v>55</v>
      </c>
      <c r="H47" t="s">
        <v>190</v>
      </c>
    </row>
    <row r="48" spans="1:8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8" x14ac:dyDescent="0.35">
      <c r="A49" t="s">
        <v>62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H49" t="s">
        <v>230</v>
      </c>
    </row>
    <row r="50" spans="1:8" x14ac:dyDescent="0.35">
      <c r="A50" t="s">
        <v>176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8" x14ac:dyDescent="0.35">
      <c r="A51" t="s">
        <v>19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8" x14ac:dyDescent="0.35">
      <c r="A52" t="s">
        <v>15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8" x14ac:dyDescent="0.35">
      <c r="A53" t="s">
        <v>17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8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8" x14ac:dyDescent="0.35">
      <c r="A55" t="s">
        <v>189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8" hidden="1" x14ac:dyDescent="0.35">
      <c r="A56" t="s">
        <v>112</v>
      </c>
      <c r="B56" t="s">
        <v>112</v>
      </c>
      <c r="C56">
        <v>1</v>
      </c>
      <c r="D56">
        <v>0</v>
      </c>
      <c r="E56">
        <v>1</v>
      </c>
      <c r="G56">
        <v>99</v>
      </c>
    </row>
    <row r="57" spans="1:8" hidden="1" x14ac:dyDescent="0.35">
      <c r="A57" t="s">
        <v>217</v>
      </c>
      <c r="B57" t="s">
        <v>217</v>
      </c>
      <c r="C57">
        <v>1</v>
      </c>
      <c r="D57">
        <v>0</v>
      </c>
      <c r="E57">
        <v>1</v>
      </c>
      <c r="G57">
        <v>100</v>
      </c>
    </row>
    <row r="58" spans="1:8" hidden="1" x14ac:dyDescent="0.35">
      <c r="A58" t="s">
        <v>107</v>
      </c>
      <c r="B58" t="s">
        <v>107</v>
      </c>
      <c r="C58">
        <f>9*5*52/(24*365)</f>
        <v>0.26712328767123289</v>
      </c>
      <c r="G58">
        <v>101</v>
      </c>
    </row>
    <row r="59" spans="1:8" hidden="1" x14ac:dyDescent="0.35">
      <c r="A59" t="s">
        <v>232</v>
      </c>
      <c r="B59" t="s">
        <v>232</v>
      </c>
      <c r="C59">
        <v>0.59019820000000001</v>
      </c>
      <c r="G59">
        <v>99</v>
      </c>
    </row>
  </sheetData>
  <autoFilter ref="A1:I59" xr:uid="{A42A002A-BEAD-45BB-A257-D80A19A6BE2C}">
    <filterColumn colId="3">
      <filters>
        <filter val="1"/>
      </filters>
    </filterColumn>
    <sortState xmlns:xlrd2="http://schemas.microsoft.com/office/spreadsheetml/2017/richdata2" ref="A2:I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7" workbookViewId="0">
      <selection activeCell="N14" sqref="N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1-[2]pinc08!$B$14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4" spans="1:6" x14ac:dyDescent="0.35">
      <c r="F14" t="s">
        <v>233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  <c r="J1" t="s">
        <v>232</v>
      </c>
    </row>
    <row r="2" spans="1:10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E3" sqref="E3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234</v>
      </c>
      <c r="C1" t="s">
        <v>235</v>
      </c>
      <c r="D1" t="s">
        <v>236</v>
      </c>
      <c r="E1" t="s">
        <v>87</v>
      </c>
      <c r="F1" t="s">
        <v>24</v>
      </c>
      <c r="G1" t="s">
        <v>237</v>
      </c>
    </row>
    <row r="2" spans="1:7" x14ac:dyDescent="0.35">
      <c r="A2" t="s">
        <v>238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239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240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241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242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243</v>
      </c>
      <c r="B11">
        <f>(B8+B9)/(F2+G2)</f>
        <v>0.59019788715857813</v>
      </c>
    </row>
    <row r="13" spans="1:7" x14ac:dyDescent="0.35">
      <c r="A13" t="s">
        <v>232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2022-07-15T18:24:20Z</dcterms:modified>
</cp:coreProperties>
</file>