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364" documentId="13_ncr:1_{1F6193A1-24F7-47AE-86D6-8C72A9FF5A62}" xr6:coauthVersionLast="47" xr6:coauthVersionMax="47" xr10:uidLastSave="{44399AAA-F88E-498E-ADE5-FF6E5C5A3BF3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  <sheet name="calibration of jseg" sheetId="13" r:id="rId13"/>
  </sheets>
  <externalReferences>
    <externalReference r:id="rId14"/>
    <externalReference r:id="rId15"/>
  </externalReferences>
  <definedNames>
    <definedName name="_xlnm._FilterDatabase" localSheetId="2" hidden="1">MOMS!$A$1:$I$59</definedName>
    <definedName name="_xlnm._FilterDatabase" localSheetId="1" hidden="1">PARS!$A$1:$V$49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" i="3" l="1"/>
  <c r="J22" i="3"/>
  <c r="B12" i="3"/>
  <c r="G49" i="3"/>
  <c r="F49" i="3"/>
  <c r="G48" i="3"/>
  <c r="F48" i="3"/>
  <c r="G47" i="3"/>
  <c r="F47" i="3"/>
  <c r="F44" i="3"/>
  <c r="G44" i="3" s="1"/>
  <c r="F43" i="3"/>
  <c r="G43" i="3" s="1"/>
  <c r="G36" i="3"/>
  <c r="F32" i="3"/>
  <c r="F24" i="3"/>
  <c r="G11" i="3"/>
  <c r="F11" i="3"/>
  <c r="G10" i="3"/>
  <c r="F10" i="3"/>
  <c r="E7" i="3"/>
  <c r="G6" i="3"/>
  <c r="F6" i="3"/>
  <c r="G5" i="3"/>
  <c r="E5" i="3"/>
  <c r="G2" i="3"/>
  <c r="F2" i="3"/>
  <c r="C2" i="3" s="1"/>
  <c r="J5" i="3"/>
  <c r="J7" i="3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19" i="3"/>
  <c r="J20" i="3"/>
  <c r="J18" i="3"/>
  <c r="J17" i="3"/>
  <c r="J16" i="3"/>
  <c r="J15" i="3"/>
  <c r="J14" i="3"/>
  <c r="J13" i="3"/>
  <c r="B14" i="3"/>
  <c r="B13" i="3"/>
  <c r="J6" i="3"/>
  <c r="B6" i="3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7" i="3"/>
  <c r="J48" i="3"/>
  <c r="J49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2" i="11"/>
  <c r="S4" i="11"/>
  <c r="B33" i="2"/>
  <c r="D33" i="3"/>
  <c r="D16" i="3"/>
  <c r="C16" i="3"/>
  <c r="B16" i="3"/>
  <c r="V16" i="3" s="1"/>
  <c r="C45" i="11"/>
  <c r="B2" i="3"/>
  <c r="D2" i="3"/>
  <c r="B22" i="3"/>
  <c r="F21" i="1"/>
  <c r="H21" i="1" s="1"/>
  <c r="H19" i="1"/>
  <c r="F19" i="1"/>
  <c r="C16" i="1"/>
  <c r="B48" i="3"/>
  <c r="B49" i="3"/>
  <c r="B47" i="3"/>
  <c r="B24" i="3"/>
  <c r="F16" i="1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P27" i="3"/>
  <c r="B44" i="3"/>
  <c r="B43" i="3"/>
  <c r="B10" i="3"/>
  <c r="X1" i="10" l="1"/>
  <c r="B5" i="3"/>
  <c r="Z26" i="8" a="1"/>
  <c r="Z26" i="8" s="1"/>
  <c r="X24" i="10" s="1"/>
  <c r="F24" i="1"/>
  <c r="F27" i="1" s="1"/>
  <c r="J21" i="1" s="1"/>
  <c r="B3" i="3"/>
  <c r="J19" i="1" l="1"/>
  <c r="J24" i="1" s="1"/>
  <c r="J27" i="1" s="1"/>
  <c r="C19" i="3" l="1"/>
  <c r="D19" i="3"/>
  <c r="B19" i="3"/>
  <c r="B17" i="2" l="1"/>
  <c r="C17" i="2" s="1"/>
  <c r="D45" i="3"/>
  <c r="D45" i="11" s="1"/>
  <c r="C13" i="3"/>
  <c r="D13" i="3"/>
  <c r="D11" i="3"/>
  <c r="C11" i="3"/>
  <c r="C12" i="3"/>
  <c r="D12" i="3"/>
  <c r="C15" i="3"/>
  <c r="D15" i="3"/>
  <c r="B9" i="3"/>
  <c r="V9" i="3" s="1"/>
  <c r="D44" i="3"/>
  <c r="D44" i="11" s="1"/>
  <c r="D43" i="3"/>
  <c r="D43" i="11" s="1"/>
  <c r="V19" i="3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V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3"/>
  <c r="D32" i="11" s="1"/>
  <c r="C32" i="3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B32" i="3"/>
  <c r="V32" i="3" s="1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V15" i="3" s="1"/>
  <c r="B11" i="3"/>
  <c r="V12" i="3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7" i="3"/>
  <c r="T47" i="3" s="1"/>
  <c r="S48" i="3"/>
  <c r="T48" i="3" s="1"/>
  <c r="S49" i="3"/>
  <c r="T49" i="3" s="1"/>
  <c r="P47" i="3"/>
  <c r="K47" i="11" s="1"/>
  <c r="P48" i="3"/>
  <c r="K48" i="11" s="1"/>
  <c r="P49" i="3"/>
  <c r="K49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D14" i="3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C41" i="3" s="1"/>
  <c r="C41" i="11" s="1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G2" i="13" l="1"/>
  <c r="F2" i="13"/>
  <c r="Z7" i="8" a="1"/>
  <c r="Z7" i="8" s="1"/>
  <c r="X5" i="10" s="1"/>
  <c r="C37" i="11"/>
  <c r="C30" i="11"/>
  <c r="C28" i="11"/>
  <c r="C32" i="11"/>
  <c r="D35" i="11"/>
  <c r="D33" i="11"/>
  <c r="B33" i="11" s="1"/>
  <c r="D24" i="11"/>
  <c r="C22" i="1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E21" i="11" s="1"/>
  <c r="D15" i="11"/>
  <c r="D19" i="11"/>
  <c r="O49" i="11"/>
  <c r="U49" i="3"/>
  <c r="O22" i="11"/>
  <c r="U33" i="3"/>
  <c r="O48" i="11"/>
  <c r="U48" i="3"/>
  <c r="D39" i="3"/>
  <c r="D39" i="11" s="1"/>
  <c r="B39" i="11" s="1"/>
  <c r="E39" i="11" s="1"/>
  <c r="C39" i="11"/>
  <c r="O47" i="11"/>
  <c r="U47" i="3"/>
  <c r="D40" i="3"/>
  <c r="C40" i="11"/>
  <c r="C57" i="8"/>
  <c r="A57" i="8" s="1"/>
  <c r="C56" i="8"/>
  <c r="A56" i="8" s="1"/>
  <c r="C2" i="1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4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K46" i="11"/>
  <c r="O30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D5" i="11"/>
  <c r="D2" i="11"/>
  <c r="B2" i="11" s="1"/>
  <c r="C9" i="11"/>
  <c r="D9" i="11"/>
  <c r="V37" i="3"/>
  <c r="T15" i="3"/>
  <c r="V20" i="3"/>
  <c r="T29" i="3"/>
  <c r="D8" i="11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C54" i="2"/>
  <c r="BB3" i="8"/>
  <c r="BB1" i="8" s="1"/>
  <c r="C55" i="2"/>
  <c r="C4" i="8"/>
  <c r="A4" i="8" s="1"/>
  <c r="Z4" i="8" s="1" a="1"/>
  <c r="Z4" i="8" s="1"/>
  <c r="X2" i="10" s="1"/>
  <c r="C48" i="2"/>
  <c r="Y7" i="8" l="1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B7" i="11"/>
  <c r="E7" i="11" s="1"/>
  <c r="E2" i="11"/>
  <c r="C5" i="11"/>
  <c r="B5" i="11" s="1"/>
  <c r="E5" i="11" s="1"/>
  <c r="D38" i="11"/>
  <c r="B38" i="11" s="1"/>
  <c r="E38" i="11" s="1"/>
  <c r="D37" i="11"/>
  <c r="B37" i="11" s="1"/>
  <c r="E37" i="11" s="1"/>
  <c r="O9" i="11"/>
  <c r="O8" i="11"/>
  <c r="U7" i="3"/>
  <c r="O3" i="11"/>
  <c r="U2" i="3"/>
  <c r="O17" i="11"/>
  <c r="U26" i="3"/>
  <c r="D49" i="11"/>
  <c r="B49" i="11" s="1"/>
  <c r="E49" i="11" s="1"/>
  <c r="D48" i="11"/>
  <c r="B48" i="11" s="1"/>
  <c r="E48" i="11" s="1"/>
  <c r="D47" i="11"/>
  <c r="B47" i="11" s="1"/>
  <c r="E47" i="11" s="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B24" i="11"/>
  <c r="E24" i="11" s="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B13" i="11"/>
  <c r="E13" i="11" s="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B27" i="11"/>
  <c r="E27" i="11" s="1"/>
  <c r="B18" i="11"/>
  <c r="E18" i="11" s="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4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45" i="11"/>
  <c r="E45" i="11" s="1"/>
  <c r="O15" i="1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AW48" i="8" a="1"/>
  <c r="AW48" i="8" s="1"/>
  <c r="AU46" i="10" s="1"/>
  <c r="C10" i="11"/>
  <c r="B10" i="11" s="1"/>
  <c r="E10" i="11" s="1"/>
  <c r="B26" i="11"/>
  <c r="E26" i="11" s="1"/>
  <c r="AX50" i="8" a="1"/>
  <c r="AX50" i="8" s="1"/>
  <c r="AV48" i="10" s="1"/>
  <c r="AY50" i="8" a="1"/>
  <c r="AY50" i="8" s="1"/>
  <c r="AW48" i="10" s="1"/>
  <c r="D3" i="11" l="1"/>
  <c r="B3" i="11" s="1"/>
  <c r="E3" i="11" s="1"/>
  <c r="W25" i="8" a="1"/>
  <c r="W25" i="8" s="1"/>
  <c r="U23" i="10" s="1"/>
  <c r="D40" i="11"/>
  <c r="B40" i="11" s="1"/>
  <c r="E40" i="11" s="1"/>
  <c r="B4" i="11"/>
  <c r="E4" i="11" s="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B44" i="11"/>
  <c r="E44" i="11" s="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B14" i="11"/>
  <c r="E14" i="11" s="1"/>
  <c r="B43" i="11"/>
  <c r="E43" i="11" s="1"/>
  <c r="C12" i="11"/>
  <c r="D12" i="11"/>
  <c r="B12" i="11" l="1"/>
  <c r="E12" i="11" s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<sst xmlns="http://schemas.openxmlformats.org/spreadsheetml/2006/main" count="613" uniqueCount="246">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</sst>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STEST"/>
      <sheetName val="PARS"/>
      <sheetName val="MOMS"/>
      <sheetName val="W"/>
      <sheetName val="W_"/>
      <sheetName val="parskickedout"/>
      <sheetName val="Moments_other"/>
      <sheetName val="Moments_psid"/>
      <sheetName val="OUTSIDE MOMENT"/>
      <sheetName val="W_psid"/>
      <sheetName val="W_other"/>
      <sheetName val="Ns"/>
      <sheetName val="calibration of js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>
            <v>0.70559799999999995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L6" sqref="L6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228</v>
      </c>
      <c r="Q1" t="s">
        <v>229</v>
      </c>
    </row>
    <row r="2" spans="1:19" x14ac:dyDescent="0.35">
      <c r="A2" t="s">
        <v>80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0.77709053975023756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49" ca="1" si="1">RAND()</f>
        <v>0.22195610716792347</v>
      </c>
      <c r="R3" t="s">
        <v>193</v>
      </c>
    </row>
    <row r="4" spans="1:19" x14ac:dyDescent="0.35">
      <c r="A4" t="s">
        <v>77</v>
      </c>
      <c r="B4">
        <f>(D4*$R$4+C4*(1-$R$4))*$R$7 +(1-$R$7)*PARS!B4</f>
        <v>-0.12856167933664459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0.42043065298044247</v>
      </c>
      <c r="R4">
        <v>0.6</v>
      </c>
      <c r="S4">
        <f ca="1">RAND()</f>
        <v>0.48274879792619307</v>
      </c>
    </row>
    <row r="5" spans="1:19" x14ac:dyDescent="0.35">
      <c r="A5" t="s">
        <v>78</v>
      </c>
      <c r="B5">
        <f>(D5*$R$4+C5*(1-$R$4))*$R$7 +(1-$R$7)*PARS!B5</f>
        <v>-0.12856167933664459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0.97276715148628923</v>
      </c>
    </row>
    <row r="6" spans="1:19" x14ac:dyDescent="0.35">
      <c r="A6" t="s">
        <v>108</v>
      </c>
      <c r="B6">
        <f>(D6*$R$4+C6*(1-$R$4))*$R$7 +(1-$R$7)*PARS!B6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0.80852621380225198</v>
      </c>
      <c r="R6" t="s">
        <v>211</v>
      </c>
    </row>
    <row r="7" spans="1:19" x14ac:dyDescent="0.35">
      <c r="A7" t="s">
        <v>76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0.30745059013957943</v>
      </c>
      <c r="R7">
        <v>0.5</v>
      </c>
    </row>
    <row r="8" spans="1:19" x14ac:dyDescent="0.35">
      <c r="A8" t="s">
        <v>94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0.32605739083061669</v>
      </c>
    </row>
    <row r="9" spans="1:19" x14ac:dyDescent="0.35">
      <c r="A9" t="s">
        <v>95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0.58407854775822432</v>
      </c>
    </row>
    <row r="10" spans="1:19" x14ac:dyDescent="0.35">
      <c r="A10" t="s">
        <v>100</v>
      </c>
      <c r="B10">
        <f>(D10*$R$4+C10*(1-$R$4))*$R$7 +(1-$R$7)*PARS!B10</f>
        <v>-1.6989903679539745E-2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0.49727254064843207</v>
      </c>
    </row>
    <row r="11" spans="1:19" x14ac:dyDescent="0.35">
      <c r="A11" t="s">
        <v>97</v>
      </c>
      <c r="B11">
        <f>(D11*$R$4+C11*(1-$R$4))*$R$7 +(1-$R$7)*PARS!B11</f>
        <v>-1.7084430789493015</v>
      </c>
      <c r="C11">
        <f>PARS!C11</f>
        <v>-2.0949020741686528</v>
      </c>
      <c r="D11">
        <f>PARS!D11</f>
        <v>-1.1786113422944979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0.64955871461870973</v>
      </c>
    </row>
    <row r="12" spans="1:19" x14ac:dyDescent="0.35">
      <c r="A12" t="s">
        <v>96</v>
      </c>
      <c r="B12">
        <f>(D12*$R$4+C12*(1-$R$4))*$R$7 +(1-$R$7)*PARS!B12</f>
        <v>0.56591674112182688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0.9929152622233155</v>
      </c>
    </row>
    <row r="13" spans="1:19" x14ac:dyDescent="0.35">
      <c r="A13" t="s">
        <v>99</v>
      </c>
      <c r="B13">
        <f>(D13*$R$4+C13*(1-$R$4))*$R$7 +(1-$R$7)*PARS!B13</f>
        <v>0.43105624709792667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0.67089882854673555</v>
      </c>
    </row>
    <row r="14" spans="1:19" x14ac:dyDescent="0.35">
      <c r="A14" t="s">
        <v>101</v>
      </c>
      <c r="B14">
        <f>(D14*$R$4+C14*(1-$R$4))*$R$7 +(1-$R$7)*PARS!B14</f>
        <v>0.26578868534175293</v>
      </c>
      <c r="C14">
        <f>PARS!C14</f>
        <v>0.18063308712546314</v>
      </c>
      <c r="D14">
        <f>PARS!D14</f>
        <v>0.33546144751871732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0.87103178022927075</v>
      </c>
    </row>
    <row r="15" spans="1:19" x14ac:dyDescent="0.35">
      <c r="A15" t="s">
        <v>72</v>
      </c>
      <c r="B15">
        <f>(D15*$R$4+C15*(1-$R$4))*$R$7 +(1-$R$7)*PARS!B15</f>
        <v>-2.47397645757514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0.34155986551858764</v>
      </c>
    </row>
    <row r="16" spans="1:19" x14ac:dyDescent="0.35">
      <c r="A16" t="s">
        <v>79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0.41241859084164079</v>
      </c>
    </row>
    <row r="17" spans="1:17" x14ac:dyDescent="0.35">
      <c r="A17" t="s">
        <v>98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0.9041856683935463</v>
      </c>
    </row>
    <row r="18" spans="1:17" x14ac:dyDescent="0.35">
      <c r="A18" t="s">
        <v>73</v>
      </c>
      <c r="B18">
        <f>(D18*$R$4+C18*(1-$R$4))*$R$7 +(1-$R$7)*PARS!B18</f>
        <v>1.9203090589450456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6.7327220129324017E-2</v>
      </c>
    </row>
    <row r="19" spans="1:17" x14ac:dyDescent="0.35">
      <c r="A19" s="6" t="s">
        <v>74</v>
      </c>
      <c r="B19">
        <f>(D19*$R$4+C19*(1-$R$4))*$R$7 +(1-$R$7)*PARS!B19</f>
        <v>2.9957322735539909</v>
      </c>
      <c r="C19">
        <f>PARS!C19</f>
        <v>2.9957322735539909</v>
      </c>
      <c r="D19">
        <f>PARS!D19</f>
        <v>2.9957322735539909</v>
      </c>
      <c r="E19" t="b">
        <f t="shared" si="0"/>
        <v>1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0.51941462915815872</v>
      </c>
    </row>
    <row r="20" spans="1:17" x14ac:dyDescent="0.35">
      <c r="A20" t="s">
        <v>75</v>
      </c>
      <c r="B20">
        <f>(D20*$R$4+C20*(1-$R$4))*$R$7 +(1-$R$7)*PARS!B20</f>
        <v>0.26428970157084952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0.72406304531708854</v>
      </c>
    </row>
    <row r="21" spans="1:17" x14ac:dyDescent="0.35">
      <c r="A21" t="s">
        <v>70</v>
      </c>
      <c r="B21">
        <f>(D21*$R$4+C21*(1-$R$4))*$R$7 +(1-$R$7)*PARS!B21</f>
        <v>0.46822357044265916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0.58127985357106093</v>
      </c>
    </row>
    <row r="22" spans="1:17" x14ac:dyDescent="0.35">
      <c r="A22" t="s">
        <v>81</v>
      </c>
      <c r="B22">
        <f>(D22*$R$4+C22*(1-$R$4))*$R$7 +(1-$R$7)*PARS!B22</f>
        <v>4.1706387222627157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0.84602046779504703</v>
      </c>
    </row>
    <row r="23" spans="1:17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0.71116726372515637</v>
      </c>
    </row>
    <row r="24" spans="1:17" x14ac:dyDescent="0.35">
      <c r="A24" t="s">
        <v>192</v>
      </c>
      <c r="B24">
        <f>(D24*$R$4+C24*(1-$R$4))*$R$7 +(1-$R$7)*PARS!B24</f>
        <v>-2.4E-2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0.98830268105322483</v>
      </c>
    </row>
    <row r="25" spans="1:17" x14ac:dyDescent="0.35">
      <c r="A25" t="s">
        <v>83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0.39804318114527182</v>
      </c>
    </row>
    <row r="26" spans="1:17" x14ac:dyDescent="0.35">
      <c r="A26" t="s">
        <v>84</v>
      </c>
      <c r="B26">
        <f>(D26*$R$4+C26*(1-$R$4))*$R$7 +(1-$R$7)*PARS!B26</f>
        <v>2.8358859296910843E-3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0.64504140819926881</v>
      </c>
    </row>
    <row r="27" spans="1:17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0.5448739461922385</v>
      </c>
    </row>
    <row r="28" spans="1:17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0.40778264264787856</v>
      </c>
    </row>
    <row r="29" spans="1:17" x14ac:dyDescent="0.35">
      <c r="A29" t="s">
        <v>88</v>
      </c>
      <c r="B29">
        <f>(D29*$R$4+C29*(1-$R$4))*$R$7 +(1-$R$7)*PARS!B29</f>
        <v>1.1489208938352913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0.88305566266599389</v>
      </c>
    </row>
    <row r="30" spans="1:17" x14ac:dyDescent="0.35">
      <c r="A30" t="s">
        <v>85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0.11679903231391098</v>
      </c>
    </row>
    <row r="31" spans="1:17" x14ac:dyDescent="0.35">
      <c r="A31" t="s">
        <v>86</v>
      </c>
      <c r="B31">
        <f>(D31*$R$4+C31*(1-$R$4))*$R$7 +(1-$R$7)*PARS!B31</f>
        <v>1.2089325879336936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0.44764901629067833</v>
      </c>
    </row>
    <row r="32" spans="1:17" x14ac:dyDescent="0.35">
      <c r="A32" t="s">
        <v>87</v>
      </c>
      <c r="B32">
        <f>(D32*$R$4+C32*(1-$R$4))*$R$7 +(1-$R$7)*PARS!B32</f>
        <v>2.5563659357799589</v>
      </c>
      <c r="C32">
        <f>PARS!C32</f>
        <v>0.87409948991153752</v>
      </c>
      <c r="D32">
        <f>PARS!D32</f>
        <v>6.9067547786484651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0.644684626149016</v>
      </c>
    </row>
    <row r="33" spans="1:17" x14ac:dyDescent="0.35">
      <c r="A33" t="s">
        <v>89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0.63360381569280733</v>
      </c>
    </row>
    <row r="34" spans="1:17" x14ac:dyDescent="0.35">
      <c r="A34" t="s">
        <v>90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0.2037736775981881</v>
      </c>
    </row>
    <row r="35" spans="1:17" x14ac:dyDescent="0.35">
      <c r="A35" t="s">
        <v>91</v>
      </c>
      <c r="B35">
        <f>(D35*$R$4+C35*(1-$R$4))*$R$7 +(1-$R$7)*PARS!B35</f>
        <v>0.69285625485150859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0.17559472925763964</v>
      </c>
    </row>
    <row r="36" spans="1:17" x14ac:dyDescent="0.35">
      <c r="A36" t="s">
        <v>104</v>
      </c>
      <c r="B36">
        <f>(D36*$R$4+C36*(1-$R$4))*$R$7 +(1-$R$7)*PARS!B36</f>
        <v>0.40115232708258031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0.99973922500958701</v>
      </c>
    </row>
    <row r="37" spans="1:17" x14ac:dyDescent="0.35">
      <c r="A37" s="5" t="s">
        <v>71</v>
      </c>
      <c r="B37">
        <f>(D37*$R$4+C37*(1-$R$4))*$R$7 +(1-$R$7)*PARS!B37</f>
        <v>0.31730795701037634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0.12890799752082649</v>
      </c>
    </row>
    <row r="38" spans="1:17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0.45320351397916336</v>
      </c>
    </row>
    <row r="39" spans="1:17" x14ac:dyDescent="0.35">
      <c r="A39" t="s">
        <v>110</v>
      </c>
      <c r="B39">
        <f>(D39*$R$4+C39*(1-$R$4))*$R$7 +(1-$R$7)*PARS!B39</f>
        <v>1.9468494999999999</v>
      </c>
      <c r="C39">
        <f>PARS!C39</f>
        <v>1.9468494999999999</v>
      </c>
      <c r="D39">
        <f>PARS!D39</f>
        <v>1.9468494999999999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0.88023591587168826</v>
      </c>
    </row>
    <row r="40" spans="1:17" x14ac:dyDescent="0.35">
      <c r="A40" t="s">
        <v>111</v>
      </c>
      <c r="B40">
        <f>(D40*$R$4+C40*(1-$R$4))*$R$7 +(1-$R$7)*PARS!B40</f>
        <v>1.8495790000000002E-2</v>
      </c>
      <c r="C40">
        <f>PARS!C40</f>
        <v>1.8495790000000002E-2</v>
      </c>
      <c r="D40">
        <f>PARS!D40</f>
        <v>1.8495790000000002E-2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0.35378442265992149</v>
      </c>
    </row>
    <row r="41" spans="1:17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0.92364735663084463</v>
      </c>
    </row>
    <row r="42" spans="1:17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0.46455976321853021</v>
      </c>
    </row>
    <row r="43" spans="1:17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0.84642760412354501</v>
      </c>
    </row>
    <row r="44" spans="1:17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0.96098381288815449</v>
      </c>
    </row>
    <row r="45" spans="1:17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0.46013556505553899</v>
      </c>
    </row>
    <row r="46" spans="1:17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0.11139395764874382</v>
      </c>
    </row>
    <row r="47" spans="1:17" x14ac:dyDescent="0.35">
      <c r="A47" t="s">
        <v>181</v>
      </c>
      <c r="B47">
        <f>(D47*$R$4+C47*(1-$R$4))*$R$7 +(1-$R$7)*PARS!B47</f>
        <v>1.0547525799999999</v>
      </c>
      <c r="C47">
        <f>PARS!C47</f>
        <v>1.0547525799999999</v>
      </c>
      <c r="D47">
        <f>PARS!D47</f>
        <v>1.0547525799999999</v>
      </c>
      <c r="E47" t="b">
        <f t="shared" si="0"/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1</v>
      </c>
      <c r="K47">
        <f>PARS!P47</f>
        <v>1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0.80782005028098203</v>
      </c>
      <c r="Q47">
        <f t="shared" ca="1" si="1"/>
        <v>0.20799624619643464</v>
      </c>
    </row>
    <row r="48" spans="1:17" x14ac:dyDescent="0.35">
      <c r="A48" t="s">
        <v>182</v>
      </c>
      <c r="B48">
        <f>(D48*$R$4+C48*(1-$R$4))*$R$7 +(1-$R$7)*PARS!B48</f>
        <v>0.99486887999999996</v>
      </c>
      <c r="C48">
        <f>PARS!C48</f>
        <v>0.99486887999999996</v>
      </c>
      <c r="D48">
        <f>PARS!D48</f>
        <v>0.99486887999999996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7.2670121740322058E-2</v>
      </c>
      <c r="Q48">
        <f t="shared" ca="1" si="1"/>
        <v>0.94031189967404771</v>
      </c>
    </row>
    <row r="49" spans="1:17" x14ac:dyDescent="0.35">
      <c r="A49" t="s">
        <v>183</v>
      </c>
      <c r="B49">
        <f>(D49*$R$4+C49*(1-$R$4))*$R$7 +(1-$R$7)*PARS!B49</f>
        <v>0.97058712000000003</v>
      </c>
      <c r="C49">
        <f>PARS!C49</f>
        <v>0.97409999999999997</v>
      </c>
      <c r="D49">
        <f>PARS!D49</f>
        <v>0.96239039999999998</v>
      </c>
      <c r="E49" t="b">
        <f t="shared" si="0"/>
        <v>0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0.14486889267994729</v>
      </c>
      <c r="Q49">
        <f t="shared" ca="1" si="1"/>
        <v>0.78983088970622317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V49"/>
  <sheetViews>
    <sheetView tabSelected="1" topLeftCell="A6" zoomScale="43" zoomScaleNormal="43" workbookViewId="0">
      <selection activeCell="S19" sqref="S19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2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245</v>
      </c>
      <c r="K1" t="s">
        <v>68</v>
      </c>
      <c r="L1" t="s">
        <v>69</v>
      </c>
      <c r="M1" t="s">
        <v>184</v>
      </c>
      <c r="N1" t="s">
        <v>185</v>
      </c>
      <c r="O1" t="s">
        <v>186</v>
      </c>
      <c r="P1" t="s">
        <v>180</v>
      </c>
      <c r="Q1" t="s">
        <v>187</v>
      </c>
      <c r="R1" t="s">
        <v>188</v>
      </c>
      <c r="S1" t="s">
        <v>179</v>
      </c>
      <c r="T1" t="s">
        <v>191</v>
      </c>
      <c r="U1" t="s">
        <v>218</v>
      </c>
      <c r="V1" t="s">
        <v>195</v>
      </c>
    </row>
    <row r="2" spans="1:22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J2">
        <f>1</f>
        <v>1</v>
      </c>
      <c r="N2">
        <v>1</v>
      </c>
      <c r="P2">
        <f t="shared" ref="P2:P49" si="0">SUM(L2:O2)</f>
        <v>1</v>
      </c>
      <c r="S2">
        <f t="shared" ref="S2:S49" si="1">L2-Q2</f>
        <v>0</v>
      </c>
      <c r="T2">
        <f t="shared" ref="T2:T49" si="2">S2+N2+Q2+M2</f>
        <v>1</v>
      </c>
      <c r="U2">
        <f>T2-N2</f>
        <v>0</v>
      </c>
    </row>
    <row r="3" spans="1:22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108</v>
      </c>
      <c r="B6">
        <f>LOG(E6)</f>
        <v>0.20836072497837904</v>
      </c>
      <c r="C6">
        <f>B6</f>
        <v>0.20836072497837904</v>
      </c>
      <c r="D6">
        <f>B6</f>
        <v>0.20836072497837904</v>
      </c>
      <c r="E6">
        <v>1.6156999999999999</v>
      </c>
      <c r="F6">
        <f>E6</f>
        <v>1.6156999999999999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76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J7">
        <f>1/E7</f>
        <v>4.2105263157894735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0.23749999999999999</v>
      </c>
    </row>
    <row r="8" spans="1:22" x14ac:dyDescent="0.35">
      <c r="A8" t="s">
        <v>94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95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97</v>
      </c>
      <c r="B11">
        <f>LN(E11)</f>
        <v>-1.8717585228544431</v>
      </c>
      <c r="C11">
        <f>LN(F11)</f>
        <v>-2.0949020741686528</v>
      </c>
      <c r="D11">
        <f>LN(G11)</f>
        <v>-1.1786113422944979</v>
      </c>
      <c r="E11">
        <v>0.15385287</v>
      </c>
      <c r="F11">
        <f>E11*0.8</f>
        <v>0.12308229600000001</v>
      </c>
      <c r="G11">
        <f>E11*2</f>
        <v>0.30770574000000001</v>
      </c>
      <c r="H11">
        <v>1.2</v>
      </c>
      <c r="I11">
        <v>1.1499999999999999</v>
      </c>
      <c r="J11">
        <f t="shared" si="5"/>
        <v>6.4997162548868932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0.15385287</v>
      </c>
    </row>
    <row r="12" spans="1:22" x14ac:dyDescent="0.35">
      <c r="A12" t="s">
        <v>96</v>
      </c>
      <c r="B12">
        <f>-LN(1/E12 -1)</f>
        <v>0.66187853969184696</v>
      </c>
      <c r="C12">
        <f>-LN(1/F12 -1)</f>
        <v>-0.40790273033909435</v>
      </c>
      <c r="D12">
        <f>-LN(1/G12 -1)</f>
        <v>1.0551933911457412</v>
      </c>
      <c r="E12">
        <v>0.65968225000000003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4.454311654727281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0.65968225000000003</v>
      </c>
    </row>
    <row r="13" spans="1:22" x14ac:dyDescent="0.35">
      <c r="A13" t="s">
        <v>99</v>
      </c>
      <c r="B13">
        <f>LN(E13)</f>
        <v>-8.9025505804146685E-2</v>
      </c>
      <c r="C13">
        <f>F13</f>
        <v>0.62810999999999995</v>
      </c>
      <c r="D13">
        <f>G13</f>
        <v>1.16649</v>
      </c>
      <c r="E13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101</v>
      </c>
      <c r="B14">
        <f>LN(E14)</f>
        <v>0.25804726732209021</v>
      </c>
      <c r="C14">
        <f>B14*0.7</f>
        <v>0.18063308712546314</v>
      </c>
      <c r="D14">
        <f>B14*1.3</f>
        <v>0.33546144751871732</v>
      </c>
      <c r="E14">
        <v>1.2944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0.77255871446229918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72</v>
      </c>
      <c r="B15">
        <f>LN(E15)</f>
        <v>-2.364330292423122</v>
      </c>
      <c r="C15">
        <f>LN(F15)</f>
        <v>-2.5836226227271579</v>
      </c>
      <c r="D15">
        <f>LN(G15)</f>
        <v>-2.5836226227271579</v>
      </c>
      <c r="E15">
        <v>9.4012239999999997E-2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10.636912810502123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9.4012240000000011E-2</v>
      </c>
    </row>
    <row r="16" spans="1:22" x14ac:dyDescent="0.35">
      <c r="A16" t="s">
        <v>79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>
        <v>-0.24199999999999999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-4.1322314049586781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-0.24199999999999997</v>
      </c>
    </row>
    <row r="17" spans="1:22" x14ac:dyDescent="0.35">
      <c r="A17" t="s">
        <v>98</v>
      </c>
      <c r="B17">
        <f t="shared" ref="B17:D18" si="6">LN(E17)</f>
        <v>-0.69314718055994529</v>
      </c>
      <c r="C17">
        <f t="shared" si="6"/>
        <v>-1.0498221244986778</v>
      </c>
      <c r="D17">
        <f t="shared" si="6"/>
        <v>-0.43078291609245423</v>
      </c>
      <c r="E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f t="shared" si="5"/>
        <v>2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0.5</v>
      </c>
    </row>
    <row r="18" spans="1:22" x14ac:dyDescent="0.35">
      <c r="A18" t="s">
        <v>73</v>
      </c>
      <c r="B18">
        <f t="shared" si="6"/>
        <v>1.791759469228055</v>
      </c>
      <c r="C18">
        <f t="shared" si="6"/>
        <v>1.6094379124341003</v>
      </c>
      <c r="D18">
        <f t="shared" si="6"/>
        <v>2.341805806147327</v>
      </c>
      <c r="E18">
        <v>6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0.16666666666666666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6</v>
      </c>
    </row>
    <row r="19" spans="1:22" x14ac:dyDescent="0.35">
      <c r="A19" s="6" t="s">
        <v>74</v>
      </c>
      <c r="B19">
        <f>LN(E19/100)</f>
        <v>2.9957322735539909</v>
      </c>
      <c r="C19">
        <f>LN(F19/100)</f>
        <v>2.9957322735539909</v>
      </c>
      <c r="D19">
        <f>LN(G19/100)</f>
        <v>2.9957322735539909</v>
      </c>
      <c r="E19">
        <v>2000</v>
      </c>
      <c r="F19">
        <v>2000</v>
      </c>
      <c r="G19">
        <v>2000</v>
      </c>
      <c r="H19">
        <v>999.5</v>
      </c>
      <c r="I19">
        <v>4.0999999999999996</v>
      </c>
      <c r="J19">
        <f t="shared" si="5"/>
        <v>5.0000000000000001E-4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  <c r="V19">
        <f>EXP(B19)*100</f>
        <v>1999.9999999999995</v>
      </c>
    </row>
    <row r="20" spans="1:22" x14ac:dyDescent="0.35">
      <c r="A20" t="s">
        <v>75</v>
      </c>
      <c r="B20">
        <f>-LN(1/E20 -1)</f>
        <v>2.0200686909376892E-2</v>
      </c>
      <c r="C20">
        <f>-LN(1/F20 -1)</f>
        <v>0</v>
      </c>
      <c r="D20">
        <f>-LN(1/G20 -1)</f>
        <v>0.84729786038720356</v>
      </c>
      <c r="E20">
        <v>0.50505</v>
      </c>
      <c r="F20">
        <v>0.5</v>
      </c>
      <c r="G20">
        <v>0.7</v>
      </c>
      <c r="H20">
        <v>4.0999999999999996</v>
      </c>
      <c r="I20">
        <v>4.0999999999999996</v>
      </c>
      <c r="J20">
        <f>1/(E20*(1-E20))</f>
        <v>4.0004080816284064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1/(1+EXP(-B20))</f>
        <v>0.50505</v>
      </c>
    </row>
    <row r="21" spans="1:22" x14ac:dyDescent="0.35">
      <c r="A21" t="s">
        <v>70</v>
      </c>
      <c r="B21">
        <f>LN(E21/10)</f>
        <v>0.41871033485818504</v>
      </c>
      <c r="C21">
        <f>LN(F21/10)</f>
        <v>0.37156355643248301</v>
      </c>
      <c r="D21">
        <f>LN(G21/10)</f>
        <v>0.61518563909023349</v>
      </c>
      <c r="E21">
        <v>15.2</v>
      </c>
      <c r="F21">
        <v>14.5</v>
      </c>
      <c r="G21">
        <v>18.5</v>
      </c>
      <c r="H21">
        <v>4</v>
      </c>
      <c r="I21">
        <v>4</v>
      </c>
      <c r="J21">
        <f t="shared" si="5"/>
        <v>6.5789473684210523E-2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15.2</v>
      </c>
    </row>
    <row r="22" spans="1:22" x14ac:dyDescent="0.35">
      <c r="A22" t="s">
        <v>81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2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2" x14ac:dyDescent="0.35">
      <c r="A24" t="s">
        <v>192</v>
      </c>
      <c r="B24">
        <f t="shared" ref="B24:D25" si="7">E24</f>
        <v>-1.7999999999999999E-2</v>
      </c>
      <c r="C24">
        <f t="shared" si="7"/>
        <v>-0.15</v>
      </c>
      <c r="D24">
        <f t="shared" si="7"/>
        <v>0.05</v>
      </c>
      <c r="E24">
        <v>-1.7999999999999999E-2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2" x14ac:dyDescent="0.35">
      <c r="A25" t="s">
        <v>83</v>
      </c>
      <c r="B25">
        <f t="shared" si="7"/>
        <v>0.17499999999999999</v>
      </c>
      <c r="C25">
        <f t="shared" si="7"/>
        <v>0</v>
      </c>
      <c r="D25">
        <f t="shared" si="7"/>
        <v>1</v>
      </c>
      <c r="E25">
        <v>0.17499999999999999</v>
      </c>
      <c r="F25">
        <v>0</v>
      </c>
      <c r="G25">
        <v>1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2" x14ac:dyDescent="0.35">
      <c r="A26" t="s">
        <v>84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2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2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5.1999999999999998E-2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2" x14ac:dyDescent="0.35">
      <c r="A29" t="s">
        <v>88</v>
      </c>
      <c r="B29">
        <f t="shared" ref="B29:D30" si="9">LN(E29)</f>
        <v>0.91629073187415511</v>
      </c>
      <c r="C29">
        <f t="shared" si="9"/>
        <v>0</v>
      </c>
      <c r="D29">
        <f t="shared" si="9"/>
        <v>2.3025850929940459</v>
      </c>
      <c r="E29">
        <v>2.5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2.5</v>
      </c>
    </row>
    <row r="30" spans="1:22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2" x14ac:dyDescent="0.35">
      <c r="A31" t="s">
        <v>86</v>
      </c>
      <c r="B31">
        <f t="shared" ref="B31:D32" si="11">-LN(1/E31 -1)</f>
        <v>-0.84729786038720367</v>
      </c>
      <c r="C31">
        <f t="shared" si="11"/>
        <v>-2.1972245773362196</v>
      </c>
      <c r="D31">
        <f t="shared" si="11"/>
        <v>6.9067547786484651</v>
      </c>
      <c r="E31">
        <v>0.3</v>
      </c>
      <c r="F31">
        <v>0.1</v>
      </c>
      <c r="G31">
        <v>0.999</v>
      </c>
      <c r="H31">
        <v>5.01</v>
      </c>
      <c r="I31">
        <v>5.03</v>
      </c>
      <c r="J31">
        <f>1/(E31*(1-E31))</f>
        <v>4.7619047619047619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0.3</v>
      </c>
    </row>
    <row r="32" spans="1:22" x14ac:dyDescent="0.35">
      <c r="A32" t="s">
        <v>87</v>
      </c>
      <c r="B32">
        <f t="shared" si="11"/>
        <v>0.61903920840622373</v>
      </c>
      <c r="C32">
        <f t="shared" si="11"/>
        <v>0.87409948991153752</v>
      </c>
      <c r="D32">
        <f t="shared" si="11"/>
        <v>6.9067547786484651</v>
      </c>
      <c r="E32">
        <v>0.65</v>
      </c>
      <c r="F32">
        <f>'[1]calibration of jseg'!E2</f>
        <v>0.70559799999999995</v>
      </c>
      <c r="G32">
        <v>0.999</v>
      </c>
      <c r="H32">
        <v>999.5</v>
      </c>
      <c r="I32">
        <v>5.04</v>
      </c>
      <c r="J32">
        <f>1/(E32*(1-E32))</f>
        <v>4.395604395604396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0.65</v>
      </c>
    </row>
    <row r="33" spans="1:22" x14ac:dyDescent="0.35">
      <c r="A33" t="s">
        <v>89</v>
      </c>
      <c r="B33">
        <f t="shared" ref="B33:D36" si="12">LN(E33)</f>
        <v>-0.3047604139865322</v>
      </c>
      <c r="C33">
        <f t="shared" si="12"/>
        <v>-2.3025850929940455</v>
      </c>
      <c r="D33">
        <f t="shared" si="12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1.3563000135630001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0.73729999999999996</v>
      </c>
    </row>
    <row r="34" spans="1:22" x14ac:dyDescent="0.35">
      <c r="A34" t="s">
        <v>90</v>
      </c>
      <c r="B34">
        <f t="shared" si="12"/>
        <v>-0.35667494393873245</v>
      </c>
      <c r="C34">
        <f t="shared" si="12"/>
        <v>-0.71334988787746489</v>
      </c>
      <c r="D34">
        <f t="shared" si="12"/>
        <v>-9.4310679471241415E-2</v>
      </c>
      <c r="E34">
        <v>0.7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1.4285714285714286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</v>
      </c>
    </row>
    <row r="35" spans="1:22" x14ac:dyDescent="0.35">
      <c r="A35" t="s">
        <v>91</v>
      </c>
      <c r="B35">
        <f t="shared" si="12"/>
        <v>2.3513752571634776</v>
      </c>
      <c r="C35">
        <f t="shared" si="12"/>
        <v>-6.9077552789821368</v>
      </c>
      <c r="D35">
        <f t="shared" si="12"/>
        <v>2.9957322735539909</v>
      </c>
      <c r="E35">
        <v>10.5</v>
      </c>
      <c r="F35">
        <v>1E-3</v>
      </c>
      <c r="G35">
        <v>20</v>
      </c>
      <c r="H35">
        <v>6.02</v>
      </c>
      <c r="I35">
        <v>6</v>
      </c>
      <c r="J35">
        <f t="shared" si="13"/>
        <v>9.5238095238095233E-2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10.5</v>
      </c>
    </row>
    <row r="36" spans="1:22" x14ac:dyDescent="0.35">
      <c r="A36" t="s">
        <v>104</v>
      </c>
      <c r="B36">
        <f t="shared" si="12"/>
        <v>1.7047480922384253</v>
      </c>
      <c r="C36">
        <f t="shared" si="12"/>
        <v>-6.9077552789821368</v>
      </c>
      <c r="D36">
        <f t="shared" si="12"/>
        <v>3.1010977891993172</v>
      </c>
      <c r="E36">
        <v>5.5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0.18181818181818182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5.5</v>
      </c>
    </row>
    <row r="37" spans="1:22" x14ac:dyDescent="0.35">
      <c r="A37" s="5" t="s">
        <v>71</v>
      </c>
      <c r="B37">
        <f>-LN(1/E37 -1)</f>
        <v>0.14223933163391023</v>
      </c>
      <c r="C37">
        <f>-LN(1/F37 -1)</f>
        <v>-4.0005334613699206E-2</v>
      </c>
      <c r="D37">
        <f>-LN(1/G37 -1)</f>
        <v>0.84729786038720356</v>
      </c>
      <c r="E37">
        <v>0.53549999999999998</v>
      </c>
      <c r="F37">
        <v>0.49</v>
      </c>
      <c r="G37">
        <v>0.7</v>
      </c>
      <c r="H37">
        <v>87</v>
      </c>
      <c r="I37">
        <v>87</v>
      </c>
      <c r="J37">
        <f>1/(E37*(1-E37))</f>
        <v>4.0202661617212367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0.53549999999999998</v>
      </c>
    </row>
    <row r="38" spans="1:22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110</v>
      </c>
      <c r="B39">
        <f>E39</f>
        <v>1.9468494999999999</v>
      </c>
      <c r="C39">
        <f>B39</f>
        <v>1.9468494999999999</v>
      </c>
      <c r="D39">
        <f>C39</f>
        <v>1.9468494999999999</v>
      </c>
      <c r="E39">
        <v>1.9468494999999999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0.51365038745932856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111</v>
      </c>
      <c r="B40">
        <f>E40</f>
        <v>1.8495790000000002E-2</v>
      </c>
      <c r="C40">
        <f>B40</f>
        <v>1.8495790000000002E-2</v>
      </c>
      <c r="D40">
        <f>C40</f>
        <v>1.8495790000000002E-2</v>
      </c>
      <c r="E40">
        <v>1.8495790000000002E-2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54.066357803586648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49" si="15">T42</f>
        <v>0</v>
      </c>
      <c r="V42"/>
    </row>
    <row r="43" spans="1:22" x14ac:dyDescent="0.35">
      <c r="A43" t="s">
        <v>92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93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181</v>
      </c>
      <c r="B47">
        <f>E47</f>
        <v>1.0547525799999999</v>
      </c>
      <c r="C47">
        <f>B47</f>
        <v>1.0547525799999999</v>
      </c>
      <c r="D47">
        <f>C47</f>
        <v>1.0547525799999999</v>
      </c>
      <c r="E47">
        <v>1.0547525799999999</v>
      </c>
      <c r="F47">
        <f>E47</f>
        <v>1.0547525799999999</v>
      </c>
      <c r="G47">
        <f>E47</f>
        <v>1.0547525799999999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5"/>
        <v>0</v>
      </c>
    </row>
    <row r="48" spans="1:22" x14ac:dyDescent="0.35">
      <c r="A48" t="s">
        <v>182</v>
      </c>
      <c r="B48">
        <f>E48</f>
        <v>0.99486887999999996</v>
      </c>
      <c r="C48">
        <f>B48</f>
        <v>0.99486887999999996</v>
      </c>
      <c r="D48">
        <f>C48</f>
        <v>0.99486887999999996</v>
      </c>
      <c r="E48">
        <v>0.99486887999999996</v>
      </c>
      <c r="F48">
        <f>E48</f>
        <v>0.99486887999999996</v>
      </c>
      <c r="G48">
        <f>E48</f>
        <v>0.99486887999999996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5"/>
        <v>0</v>
      </c>
    </row>
    <row r="49" spans="1:21" x14ac:dyDescent="0.35">
      <c r="A49" t="s">
        <v>183</v>
      </c>
      <c r="B49">
        <f>E49</f>
        <v>0.97409999999999997</v>
      </c>
      <c r="C49">
        <f>B49</f>
        <v>0.97409999999999997</v>
      </c>
      <c r="D49">
        <v>0.96239039999999998</v>
      </c>
      <c r="E49">
        <v>0.97409999999999997</v>
      </c>
      <c r="F49">
        <f>E49</f>
        <v>0.97409999999999997</v>
      </c>
      <c r="G49">
        <f>E49</f>
        <v>0.97409999999999997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</sheetData>
  <autoFilter ref="A1:V49" xr:uid="{D6333A1E-4CCC-47DA-98C3-E7945B8628B8}">
    <sortState xmlns:xlrd2="http://schemas.microsoft.com/office/spreadsheetml/2017/richdata2" ref="A2:V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I59"/>
  <sheetViews>
    <sheetView topLeftCell="A29" workbookViewId="0">
      <selection activeCell="D40" sqref="D40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8" x14ac:dyDescent="0.35">
      <c r="A21" t="s">
        <v>39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8" x14ac:dyDescent="0.35">
      <c r="A22" t="s">
        <v>57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8" hidden="1" x14ac:dyDescent="0.35">
      <c r="A23" t="s">
        <v>58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8" x14ac:dyDescent="0.35">
      <c r="A24" t="s">
        <v>158</v>
      </c>
      <c r="B24" t="s">
        <v>158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H24" t="s">
        <v>231</v>
      </c>
    </row>
    <row r="25" spans="1:8" x14ac:dyDescent="0.35">
      <c r="A25" t="s">
        <v>59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H25" t="s">
        <v>244</v>
      </c>
    </row>
    <row r="26" spans="1:8" x14ac:dyDescent="0.35">
      <c r="A26" t="s">
        <v>60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8" x14ac:dyDescent="0.35">
      <c r="A27" t="s">
        <v>149</v>
      </c>
      <c r="B27" t="s">
        <v>22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8" x14ac:dyDescent="0.35">
      <c r="A28" t="s">
        <v>41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8" x14ac:dyDescent="0.35">
      <c r="A29" t="s">
        <v>40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8" x14ac:dyDescent="0.35">
      <c r="A30" t="s">
        <v>43</v>
      </c>
      <c r="B30" t="s">
        <v>164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8" hidden="1" x14ac:dyDescent="0.35">
      <c r="A31" t="s">
        <v>44</v>
      </c>
      <c r="B31" t="s">
        <v>165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H31" t="s">
        <v>190</v>
      </c>
    </row>
    <row r="32" spans="1:8" x14ac:dyDescent="0.35">
      <c r="A32" t="s">
        <v>61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8" x14ac:dyDescent="0.35">
      <c r="A33" t="s">
        <v>32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8" x14ac:dyDescent="0.35">
      <c r="A34" t="s">
        <v>34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8" x14ac:dyDescent="0.35">
      <c r="A35" t="s">
        <v>38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8" x14ac:dyDescent="0.35">
      <c r="A36" t="s">
        <v>36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8" x14ac:dyDescent="0.35">
      <c r="A37" t="s">
        <v>119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8" x14ac:dyDescent="0.35">
      <c r="A38" t="s">
        <v>31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8" x14ac:dyDescent="0.35">
      <c r="A39" t="s">
        <v>33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8" x14ac:dyDescent="0.35">
      <c r="A40" t="s">
        <v>37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8" x14ac:dyDescent="0.35">
      <c r="A41" t="s">
        <v>35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8" x14ac:dyDescent="0.35">
      <c r="A42" t="s">
        <v>118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8" x14ac:dyDescent="0.35">
      <c r="A43" t="s">
        <v>46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8" hidden="1" x14ac:dyDescent="0.35">
      <c r="A44" t="s">
        <v>45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H44" t="s">
        <v>227</v>
      </c>
    </row>
    <row r="45" spans="1:8" hidden="1" x14ac:dyDescent="0.35">
      <c r="A45" t="s">
        <v>113</v>
      </c>
      <c r="B45" t="s">
        <v>136</v>
      </c>
      <c r="C45">
        <f>VLOOKUP(B45,Moments_psid!A:C,3,0)</f>
        <v>1.8814014327029097E-3</v>
      </c>
      <c r="D45">
        <v>0</v>
      </c>
      <c r="G45">
        <v>51</v>
      </c>
    </row>
    <row r="46" spans="1:8" hidden="1" x14ac:dyDescent="0.35">
      <c r="A46" t="s">
        <v>42</v>
      </c>
      <c r="B46" t="s">
        <v>166</v>
      </c>
      <c r="C46">
        <f>VLOOKUP(B46,Moments_psid!A:C,3,0)</f>
        <v>122.548474987894</v>
      </c>
      <c r="D46">
        <v>0</v>
      </c>
      <c r="G46">
        <v>54</v>
      </c>
      <c r="H46" t="s">
        <v>190</v>
      </c>
    </row>
    <row r="47" spans="1:8" hidden="1" x14ac:dyDescent="0.35">
      <c r="A47" t="s">
        <v>174</v>
      </c>
      <c r="B47" t="s">
        <v>175</v>
      </c>
      <c r="C47">
        <f>VLOOKUP(B47,Moments_psid!A:C,3,0)</f>
        <v>2.905856906222299</v>
      </c>
      <c r="D47">
        <v>0</v>
      </c>
      <c r="G47">
        <v>55</v>
      </c>
      <c r="H47" t="s">
        <v>190</v>
      </c>
    </row>
    <row r="48" spans="1:8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8" x14ac:dyDescent="0.35">
      <c r="A49" t="s">
        <v>62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H49" t="s">
        <v>230</v>
      </c>
    </row>
    <row r="50" spans="1:8" x14ac:dyDescent="0.35">
      <c r="A50" t="s">
        <v>176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8" x14ac:dyDescent="0.35">
      <c r="A51" t="s">
        <v>19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8" x14ac:dyDescent="0.35">
      <c r="A52" t="s">
        <v>15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8" x14ac:dyDescent="0.35">
      <c r="A53" t="s">
        <v>17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8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8" x14ac:dyDescent="0.35">
      <c r="A55" t="s">
        <v>189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8" hidden="1" x14ac:dyDescent="0.35">
      <c r="A56" t="s">
        <v>112</v>
      </c>
      <c r="B56" t="s">
        <v>112</v>
      </c>
      <c r="C56">
        <v>1</v>
      </c>
      <c r="D56">
        <v>0</v>
      </c>
      <c r="E56">
        <v>1</v>
      </c>
      <c r="G56">
        <v>99</v>
      </c>
    </row>
    <row r="57" spans="1:8" hidden="1" x14ac:dyDescent="0.35">
      <c r="A57" t="s">
        <v>217</v>
      </c>
      <c r="B57" t="s">
        <v>217</v>
      </c>
      <c r="C57">
        <v>1</v>
      </c>
      <c r="D57">
        <v>0</v>
      </c>
      <c r="E57">
        <v>1</v>
      </c>
      <c r="G57">
        <v>100</v>
      </c>
    </row>
    <row r="58" spans="1:8" hidden="1" x14ac:dyDescent="0.35">
      <c r="A58" t="s">
        <v>107</v>
      </c>
      <c r="B58" t="s">
        <v>107</v>
      </c>
      <c r="C58">
        <f>9*5*52/(24*365)</f>
        <v>0.26712328767123289</v>
      </c>
      <c r="G58">
        <v>101</v>
      </c>
    </row>
    <row r="59" spans="1:8" hidden="1" x14ac:dyDescent="0.35">
      <c r="A59" t="s">
        <v>232</v>
      </c>
      <c r="B59" t="s">
        <v>232</v>
      </c>
      <c r="C59">
        <v>0.59019820000000001</v>
      </c>
      <c r="G59">
        <v>99</v>
      </c>
    </row>
  </sheetData>
  <autoFilter ref="A1:I59" xr:uid="{A42A002A-BEAD-45BB-A257-D80A19A6BE2C}">
    <filterColumn colId="3">
      <filters>
        <filter val="1"/>
      </filters>
    </filterColumn>
    <sortState xmlns:xlrd2="http://schemas.microsoft.com/office/spreadsheetml/2017/richdata2" ref="A2:I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4" workbookViewId="0">
      <selection activeCell="A65" sqref="A65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7" workbookViewId="0">
      <selection activeCell="N14" sqref="N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1-[2]pinc08!$B$14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4" spans="1:6" x14ac:dyDescent="0.35">
      <c r="F14" t="s">
        <v>233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  <c r="J1" t="s">
        <v>232</v>
      </c>
    </row>
    <row r="2" spans="1:10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E3" sqref="E3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234</v>
      </c>
      <c r="C1" t="s">
        <v>235</v>
      </c>
      <c r="D1" t="s">
        <v>236</v>
      </c>
      <c r="E1" t="s">
        <v>87</v>
      </c>
      <c r="F1" t="s">
        <v>24</v>
      </c>
      <c r="G1" t="s">
        <v>237</v>
      </c>
    </row>
    <row r="2" spans="1:7" x14ac:dyDescent="0.35">
      <c r="A2" t="s">
        <v>238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239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240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241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242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243</v>
      </c>
      <c r="B11">
        <f>(B8+B9)/(F2+G2)</f>
        <v>0.59019788715857813</v>
      </c>
    </row>
    <row r="13" spans="1:7" x14ac:dyDescent="0.35">
      <c r="A13" t="s">
        <v>232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2022-07-15T21:39:59Z</dcterms:modified>
</cp:coreProperties>
</file>