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290" documentId="8_{1257A13C-7CDD-45B3-91A9-B5EE2763487A}" xr6:coauthVersionLast="47" xr6:coauthVersionMax="47" xr10:uidLastSave="{C29CD474-C0AD-4908-A014-D9B2CCD55DD3}"/>
  <bookViews>
    <workbookView xWindow="-108" yWindow="-108" windowWidth="23256" windowHeight="12576" firstSheet="1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mom groups" sheetId="19" r:id="rId5"/>
    <sheet name="Sheet2" sheetId="18" r:id="rId6"/>
    <sheet name="W" sheetId="10" r:id="rId7"/>
    <sheet name="W_" sheetId="8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MOMS!$A$1:$M$60</definedName>
    <definedName name="_xlnm._FilterDatabase" localSheetId="1" hidden="1">PARS!$A$1:$Y$61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D19" i="3" l="1"/>
  <c r="D18" i="3"/>
  <c r="D17" i="3"/>
  <c r="D16" i="3"/>
  <c r="D15" i="3"/>
  <c r="D14" i="3"/>
  <c r="D5" i="3"/>
  <c r="D6" i="3"/>
  <c r="D2" i="3"/>
  <c r="D10" i="3"/>
  <c r="D9" i="3"/>
  <c r="D8" i="3"/>
  <c r="D7" i="3"/>
  <c r="D4" i="3"/>
  <c r="D3" i="3"/>
  <c r="D13" i="3"/>
  <c r="D12" i="3"/>
  <c r="D11" i="3"/>
  <c r="D20" i="3"/>
  <c r="B37" i="3" l="1"/>
  <c r="B28" i="3"/>
  <c r="E37" i="3"/>
  <c r="E38" i="3"/>
  <c r="E21" i="3"/>
  <c r="E15" i="3"/>
  <c r="E34" i="3"/>
  <c r="E36" i="3"/>
  <c r="E50" i="3"/>
  <c r="E51" i="3"/>
  <c r="E52" i="3"/>
  <c r="E53" i="3"/>
  <c r="P54" i="3"/>
  <c r="S54" i="3"/>
  <c r="U54" i="3" s="1"/>
  <c r="W54" i="3" s="1"/>
  <c r="P55" i="3"/>
  <c r="S55" i="3"/>
  <c r="U55" i="3" s="1"/>
  <c r="W55" i="3" s="1"/>
  <c r="P56" i="3"/>
  <c r="S56" i="3"/>
  <c r="U56" i="3" s="1"/>
  <c r="W56" i="3" s="1"/>
  <c r="P57" i="3"/>
  <c r="S57" i="3"/>
  <c r="U57" i="3" s="1"/>
  <c r="V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W60" i="3" s="1"/>
  <c r="P39" i="3"/>
  <c r="S39" i="3"/>
  <c r="U39" i="3" s="1"/>
  <c r="V39" i="3" s="1"/>
  <c r="X2" i="3"/>
  <c r="E2" i="3" s="1"/>
  <c r="X27" i="3"/>
  <c r="X13" i="3"/>
  <c r="E13" i="3" s="1"/>
  <c r="X25" i="3"/>
  <c r="E25" i="3" s="1"/>
  <c r="E35" i="3" s="1"/>
  <c r="X3" i="3"/>
  <c r="E3" i="3" s="1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G50" i="3"/>
  <c r="F50" i="3"/>
  <c r="F7" i="3"/>
  <c r="X16" i="3"/>
  <c r="E16" i="3" s="1"/>
  <c r="X15" i="3"/>
  <c r="J15" i="3"/>
  <c r="S41" i="3"/>
  <c r="F4" i="11" s="1"/>
  <c r="P49" i="3"/>
  <c r="P19" i="3"/>
  <c r="W57" i="3" l="1"/>
  <c r="W39" i="3"/>
  <c r="V56" i="3"/>
  <c r="V60" i="3"/>
  <c r="V59" i="3"/>
  <c r="V54" i="3"/>
  <c r="V55" i="3"/>
  <c r="V58" i="3"/>
  <c r="J21" i="3"/>
  <c r="AX3" i="8"/>
  <c r="AX1" i="8" s="1"/>
  <c r="AX50" i="8" s="1" a="1"/>
  <c r="AX50" i="8" s="1"/>
  <c r="AV48" i="10" s="1"/>
  <c r="S49" i="3"/>
  <c r="F48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X20" i="3"/>
  <c r="E20" i="3" s="1"/>
  <c r="X11" i="3"/>
  <c r="E11" i="3" s="1"/>
  <c r="X12" i="3"/>
  <c r="E12" i="3" s="1"/>
  <c r="X10" i="3"/>
  <c r="E10" i="3" s="1"/>
  <c r="X4" i="3"/>
  <c r="E4" i="3" s="1"/>
  <c r="X7" i="3"/>
  <c r="E7" i="3" s="1"/>
  <c r="X8" i="3"/>
  <c r="E8" i="3" s="1"/>
  <c r="X9" i="3"/>
  <c r="E9" i="3" s="1"/>
  <c r="X24" i="3"/>
  <c r="E24" i="3" s="1"/>
  <c r="X6" i="3"/>
  <c r="E6" i="3" s="1"/>
  <c r="X5" i="3"/>
  <c r="E5" i="3" s="1"/>
  <c r="X14" i="3"/>
  <c r="E14" i="3" s="1"/>
  <c r="X17" i="3"/>
  <c r="E17" i="3" s="1"/>
  <c r="X18" i="3"/>
  <c r="X19" i="3"/>
  <c r="E19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F16" i="1"/>
  <c r="D6" i="11"/>
  <c r="S50" i="3"/>
  <c r="P50" i="3"/>
  <c r="E18" i="3" l="1"/>
  <c r="H16" i="1" s="1"/>
  <c r="C29" i="11"/>
  <c r="D29" i="11"/>
  <c r="U50" i="3"/>
  <c r="W50" i="3" s="1"/>
  <c r="F49" i="11"/>
  <c r="B24" i="11"/>
  <c r="U49" i="3"/>
  <c r="W49" i="3" s="1"/>
  <c r="C28" i="11"/>
  <c r="C6" i="11"/>
  <c r="B6" i="11" s="1"/>
  <c r="E49" i="14"/>
  <c r="B49" i="14" s="1"/>
  <c r="C49" i="14" s="1"/>
  <c r="I16" i="1"/>
  <c r="P27" i="3"/>
  <c r="S27" i="3"/>
  <c r="U27" i="3" s="1"/>
  <c r="W27" i="3" s="1"/>
  <c r="G49" i="3"/>
  <c r="F49" i="3"/>
  <c r="D48" i="11"/>
  <c r="C48" i="1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9" i="14"/>
  <c r="B19" i="14" s="1"/>
  <c r="V19" i="14" s="1"/>
  <c r="E20" i="14"/>
  <c r="B20" i="14" s="1"/>
  <c r="E22" i="14"/>
  <c r="J22" i="14" s="1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20" i="3"/>
  <c r="F28" i="3"/>
  <c r="F42" i="3"/>
  <c r="J43" i="3"/>
  <c r="J4" i="3"/>
  <c r="F46" i="3"/>
  <c r="F45" i="3"/>
  <c r="G29" i="3"/>
  <c r="F29" i="3"/>
  <c r="G21" i="3"/>
  <c r="G28" i="3" s="1"/>
  <c r="G37" i="3"/>
  <c r="F37" i="3"/>
  <c r="J36" i="3"/>
  <c r="J34" i="3"/>
  <c r="J19" i="3"/>
  <c r="J18" i="3"/>
  <c r="J17" i="3"/>
  <c r="J16" i="3"/>
  <c r="J42" i="3"/>
  <c r="J14" i="3"/>
  <c r="J5" i="3"/>
  <c r="J6" i="3"/>
  <c r="J9" i="3"/>
  <c r="J3" i="3"/>
  <c r="J2" i="3"/>
  <c r="J10" i="3"/>
  <c r="J13" i="3"/>
  <c r="J33" i="3"/>
  <c r="J32" i="3"/>
  <c r="J31" i="3"/>
  <c r="J30" i="3"/>
  <c r="J29" i="3"/>
  <c r="J11" i="3"/>
  <c r="J12" i="3"/>
  <c r="J38" i="3"/>
  <c r="J23" i="3"/>
  <c r="J7" i="3"/>
  <c r="J8" i="3"/>
  <c r="J22" i="3"/>
  <c r="J24" i="3"/>
  <c r="J35" i="3"/>
  <c r="J40" i="3"/>
  <c r="J44" i="3"/>
  <c r="J45" i="3"/>
  <c r="J46" i="3"/>
  <c r="J47" i="3"/>
  <c r="J48" i="3"/>
  <c r="J51" i="3"/>
  <c r="J52" i="3"/>
  <c r="J53" i="3"/>
  <c r="J37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2" i="3"/>
  <c r="F19" i="1" l="1"/>
  <c r="H19" i="1" s="1"/>
  <c r="J19" i="1" s="1"/>
  <c r="D2" i="11"/>
  <c r="G45" i="3"/>
  <c r="G42" i="3"/>
  <c r="C2" i="11"/>
  <c r="G46" i="3"/>
  <c r="V27" i="3"/>
  <c r="B29" i="11"/>
  <c r="V49" i="3"/>
  <c r="V50" i="3"/>
  <c r="AX26" i="8" a="1"/>
  <c r="AX26" i="8" s="1"/>
  <c r="AV24" i="10" s="1"/>
  <c r="B17" i="11"/>
  <c r="F52" i="3"/>
  <c r="E52" i="14"/>
  <c r="F52" i="14" s="1"/>
  <c r="G53" i="3"/>
  <c r="F6" i="11"/>
  <c r="B48" i="11"/>
  <c r="E48" i="11" s="1"/>
  <c r="J9" i="14"/>
  <c r="F21" i="1"/>
  <c r="J36" i="14"/>
  <c r="B35" i="14"/>
  <c r="V35" i="14" s="1"/>
  <c r="J7" i="14"/>
  <c r="J12" i="14"/>
  <c r="F45" i="14"/>
  <c r="G45" i="14" s="1"/>
  <c r="D45" i="14" s="1"/>
  <c r="D49" i="14"/>
  <c r="J31" i="14"/>
  <c r="C20" i="1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F53" i="3"/>
  <c r="D48" i="14"/>
  <c r="C48" i="14"/>
  <c r="G50" i="14"/>
  <c r="F50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2" i="3"/>
  <c r="J10" i="14"/>
  <c r="J30" i="14"/>
  <c r="J38" i="14"/>
  <c r="B34" i="14"/>
  <c r="V34" i="14" s="1"/>
  <c r="B40" i="14"/>
  <c r="C40" i="14" s="1"/>
  <c r="D40" i="14" s="1"/>
  <c r="G51" i="14"/>
  <c r="F51" i="14"/>
  <c r="B51" i="14"/>
  <c r="C51" i="14" s="1"/>
  <c r="D51" i="14" s="1"/>
  <c r="F51" i="3"/>
  <c r="G51" i="3"/>
  <c r="C33" i="14"/>
  <c r="D11" i="14"/>
  <c r="G44" i="14"/>
  <c r="D44" i="14" s="1"/>
  <c r="C5" i="14"/>
  <c r="C33" i="11"/>
  <c r="X1" i="10"/>
  <c r="Z26" i="8" a="1"/>
  <c r="Z26" i="8" s="1"/>
  <c r="X24" i="10" s="1"/>
  <c r="F24" i="1" l="1"/>
  <c r="D33" i="11"/>
  <c r="B33" i="11" s="1"/>
  <c r="B2" i="1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11"/>
  <c r="B49" i="11" s="1"/>
  <c r="F49" i="14"/>
  <c r="C15" i="14"/>
  <c r="D7" i="14"/>
  <c r="J24" i="1" l="1"/>
  <c r="J27" i="1" s="1"/>
  <c r="B17" i="2"/>
  <c r="C17" i="2" s="1"/>
  <c r="D46" i="11"/>
  <c r="B46" i="11" s="1"/>
  <c r="C14" i="11"/>
  <c r="D14" i="11"/>
  <c r="D12" i="11"/>
  <c r="C12" i="11"/>
  <c r="C13" i="1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D37" i="11"/>
  <c r="C37" i="11"/>
  <c r="D18" i="11"/>
  <c r="C18" i="11"/>
  <c r="D10" i="11"/>
  <c r="C10" i="11"/>
  <c r="D9" i="11"/>
  <c r="C9" i="11"/>
  <c r="D36" i="11"/>
  <c r="C36" i="11"/>
  <c r="D35" i="11"/>
  <c r="C35" i="11"/>
  <c r="C34" i="11"/>
  <c r="B34" i="11" s="1"/>
  <c r="D30" i="11"/>
  <c r="C30" i="11"/>
  <c r="D32" i="11"/>
  <c r="C32" i="11"/>
  <c r="D31" i="11"/>
  <c r="C31" i="11"/>
  <c r="C23" i="11"/>
  <c r="D4" i="11"/>
  <c r="C4" i="11"/>
  <c r="D8" i="11"/>
  <c r="C8" i="11"/>
  <c r="D19" i="11"/>
  <c r="C19" i="11"/>
  <c r="D38" i="11"/>
  <c r="C38" i="11"/>
  <c r="X42" i="3"/>
  <c r="X30" i="3"/>
  <c r="C43" i="11"/>
  <c r="C50" i="11"/>
  <c r="C51" i="11"/>
  <c r="C52" i="11"/>
  <c r="C7" i="11"/>
  <c r="D7" i="11"/>
  <c r="D47" i="11"/>
  <c r="C47" i="11"/>
  <c r="S7" i="3"/>
  <c r="P7" i="3"/>
  <c r="B55" i="2"/>
  <c r="B10" i="7"/>
  <c r="S51" i="3"/>
  <c r="S52" i="3"/>
  <c r="S53" i="3"/>
  <c r="U53" i="3" s="1"/>
  <c r="P51" i="3"/>
  <c r="P52" i="3"/>
  <c r="P53" i="3"/>
  <c r="P3" i="3"/>
  <c r="S3" i="3"/>
  <c r="S19" i="3"/>
  <c r="P33" i="3"/>
  <c r="S33" i="3"/>
  <c r="F16" i="11" s="1"/>
  <c r="P2" i="3"/>
  <c r="S2" i="3"/>
  <c r="P43" i="3"/>
  <c r="S43" i="3"/>
  <c r="P25" i="3"/>
  <c r="S25" i="3"/>
  <c r="P20" i="3"/>
  <c r="S20" i="3"/>
  <c r="F8" i="11" s="1"/>
  <c r="P41" i="3"/>
  <c r="U41" i="3"/>
  <c r="P26" i="3"/>
  <c r="S26" i="3"/>
  <c r="P13" i="3"/>
  <c r="S13" i="3"/>
  <c r="P37" i="3"/>
  <c r="S37" i="3"/>
  <c r="F2" i="11" s="1"/>
  <c r="P4" i="3"/>
  <c r="S4" i="3"/>
  <c r="P23" i="3"/>
  <c r="S23" i="3"/>
  <c r="P8" i="3"/>
  <c r="S8" i="3"/>
  <c r="P9" i="3"/>
  <c r="S9" i="3"/>
  <c r="F27" i="11" s="1"/>
  <c r="P5" i="3"/>
  <c r="S5" i="3"/>
  <c r="P14" i="3"/>
  <c r="S14" i="3"/>
  <c r="P42" i="3"/>
  <c r="S42" i="3"/>
  <c r="P6" i="3"/>
  <c r="S6" i="3"/>
  <c r="F30" i="11" s="1"/>
  <c r="P15" i="3"/>
  <c r="S15" i="3"/>
  <c r="P16" i="3"/>
  <c r="S16" i="3"/>
  <c r="P17" i="3"/>
  <c r="S17" i="3"/>
  <c r="P45" i="3"/>
  <c r="S45" i="3"/>
  <c r="F44" i="11" s="1"/>
  <c r="P46" i="3"/>
  <c r="S46" i="3"/>
  <c r="P11" i="3"/>
  <c r="S11" i="3"/>
  <c r="P12" i="3"/>
  <c r="S12" i="3"/>
  <c r="P30" i="3"/>
  <c r="S30" i="3"/>
  <c r="F13" i="11" s="1"/>
  <c r="P29" i="3"/>
  <c r="S29" i="3"/>
  <c r="P10" i="3"/>
  <c r="S10" i="3"/>
  <c r="P31" i="3"/>
  <c r="S31" i="3"/>
  <c r="P28" i="3"/>
  <c r="S28" i="3"/>
  <c r="F11" i="11" s="1"/>
  <c r="C15" i="11"/>
  <c r="D15" i="11"/>
  <c r="P32" i="3"/>
  <c r="S32" i="3"/>
  <c r="S22" i="3"/>
  <c r="P47" i="3"/>
  <c r="S47" i="3"/>
  <c r="P18" i="3"/>
  <c r="S18" i="3"/>
  <c r="F37" i="11" s="1"/>
  <c r="P24" i="3"/>
  <c r="S24" i="3"/>
  <c r="P48" i="3"/>
  <c r="S48" i="3"/>
  <c r="F47" i="11" s="1"/>
  <c r="P40" i="3"/>
  <c r="S40" i="3"/>
  <c r="P21" i="3"/>
  <c r="S21" i="3"/>
  <c r="F7" i="11" s="1"/>
  <c r="P35" i="3"/>
  <c r="S35" i="3"/>
  <c r="P34" i="3"/>
  <c r="S34" i="3"/>
  <c r="P36" i="3"/>
  <c r="S36" i="3"/>
  <c r="P44" i="3"/>
  <c r="S44" i="3"/>
  <c r="F43" i="11" s="1"/>
  <c r="P38" i="3"/>
  <c r="S38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V53" i="3" l="1"/>
  <c r="W53" i="3"/>
  <c r="D27" i="11"/>
  <c r="D26" i="11"/>
  <c r="B35" i="11"/>
  <c r="B9" i="11"/>
  <c r="B18" i="11"/>
  <c r="B19" i="11"/>
  <c r="C26" i="11"/>
  <c r="D23" i="11"/>
  <c r="B23" i="11" s="1"/>
  <c r="W41" i="3"/>
  <c r="V41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32" i="3"/>
  <c r="F15" i="11"/>
  <c r="U10" i="3"/>
  <c r="F18" i="11"/>
  <c r="U11" i="3"/>
  <c r="F9" i="11"/>
  <c r="U16" i="3"/>
  <c r="F35" i="11"/>
  <c r="U14" i="3"/>
  <c r="F32" i="11"/>
  <c r="U23" i="3"/>
  <c r="F24" i="11"/>
  <c r="U26" i="3"/>
  <c r="F5" i="11"/>
  <c r="U43" i="3"/>
  <c r="F20" i="11"/>
  <c r="U38" i="3"/>
  <c r="F3" i="11"/>
  <c r="U36" i="3"/>
  <c r="V36" i="3" s="1"/>
  <c r="F41" i="11"/>
  <c r="U35" i="3"/>
  <c r="W35" i="3" s="1"/>
  <c r="F39" i="11"/>
  <c r="U40" i="3"/>
  <c r="W40" i="3" s="1"/>
  <c r="F42" i="11"/>
  <c r="U24" i="3"/>
  <c r="F29" i="11"/>
  <c r="U47" i="3"/>
  <c r="W47" i="3" s="1"/>
  <c r="F46" i="11"/>
  <c r="U52" i="3"/>
  <c r="W52" i="3" s="1"/>
  <c r="F51" i="11"/>
  <c r="U31" i="3"/>
  <c r="F14" i="11"/>
  <c r="U29" i="3"/>
  <c r="F12" i="11"/>
  <c r="U12" i="3"/>
  <c r="F10" i="11"/>
  <c r="U46" i="3"/>
  <c r="W46" i="3" s="1"/>
  <c r="F45" i="11"/>
  <c r="U17" i="3"/>
  <c r="F36" i="11"/>
  <c r="U15" i="3"/>
  <c r="F34" i="11"/>
  <c r="U42" i="3"/>
  <c r="F33" i="11"/>
  <c r="U5" i="3"/>
  <c r="F31" i="11"/>
  <c r="U8" i="3"/>
  <c r="F26" i="11"/>
  <c r="U4" i="3"/>
  <c r="F23" i="11"/>
  <c r="U13" i="3"/>
  <c r="F17" i="11"/>
  <c r="U25" i="3"/>
  <c r="F21" i="11"/>
  <c r="U2" i="3"/>
  <c r="F19" i="11"/>
  <c r="U19" i="3"/>
  <c r="F38" i="11"/>
  <c r="U51" i="3"/>
  <c r="W51" i="3" s="1"/>
  <c r="F50" i="11"/>
  <c r="U7" i="3"/>
  <c r="F25" i="11"/>
  <c r="B36" i="11"/>
  <c r="E36" i="11" s="1"/>
  <c r="B10" i="11"/>
  <c r="B37" i="11"/>
  <c r="B12" i="11"/>
  <c r="U34" i="3"/>
  <c r="F40" i="11"/>
  <c r="U22" i="3"/>
  <c r="F28" i="11"/>
  <c r="U3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1" i="3"/>
  <c r="E41" i="3" s="1"/>
  <c r="E46" i="11"/>
  <c r="U48" i="3"/>
  <c r="C5" i="11"/>
  <c r="D5" i="11"/>
  <c r="C42" i="11"/>
  <c r="X33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1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11"/>
  <c r="C45" i="11"/>
  <c r="B45" i="11" s="1"/>
  <c r="C44" i="1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33" i="3"/>
  <c r="V33" i="3" s="1"/>
  <c r="U6" i="3"/>
  <c r="V6" i="3" s="1"/>
  <c r="U44" i="3"/>
  <c r="U9" i="3"/>
  <c r="V9" i="3" s="1"/>
  <c r="U30" i="3"/>
  <c r="U18" i="3"/>
  <c r="V18" i="3" s="1"/>
  <c r="U37" i="3"/>
  <c r="V37" i="3" s="1"/>
  <c r="X29" i="3"/>
  <c r="U21" i="3"/>
  <c r="V21" i="3" s="1"/>
  <c r="U45" i="3"/>
  <c r="U20" i="3"/>
  <c r="V20" i="3" s="1"/>
  <c r="D50" i="11"/>
  <c r="B50" i="11" s="1"/>
  <c r="D43" i="11"/>
  <c r="B43" i="11" s="1"/>
  <c r="D42" i="11"/>
  <c r="U28" i="3"/>
  <c r="V28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E26" i="3" l="1"/>
  <c r="E23" i="14"/>
  <c r="E8" i="14"/>
  <c r="V45" i="3"/>
  <c r="W45" i="3"/>
  <c r="B27" i="11"/>
  <c r="E27" i="11" s="1"/>
  <c r="V48" i="3"/>
  <c r="W48" i="3"/>
  <c r="V44" i="3"/>
  <c r="W44" i="3"/>
  <c r="B25" i="11"/>
  <c r="E25" i="11" s="1"/>
  <c r="J41" i="3"/>
  <c r="B22" i="11"/>
  <c r="E22" i="11" s="1"/>
  <c r="B21" i="11"/>
  <c r="D40" i="11"/>
  <c r="B40" i="11" s="1"/>
  <c r="D39" i="11"/>
  <c r="B39" i="11" s="1"/>
  <c r="W30" i="3"/>
  <c r="V30" i="3"/>
  <c r="W3" i="3"/>
  <c r="V3" i="3"/>
  <c r="W34" i="3"/>
  <c r="V34" i="3"/>
  <c r="V51" i="3"/>
  <c r="W2" i="3"/>
  <c r="V2" i="3"/>
  <c r="W13" i="3"/>
  <c r="V13" i="3"/>
  <c r="W8" i="3"/>
  <c r="V8" i="3"/>
  <c r="W42" i="3"/>
  <c r="V42" i="3"/>
  <c r="W17" i="3"/>
  <c r="V17" i="3"/>
  <c r="W12" i="3"/>
  <c r="V12" i="3"/>
  <c r="W31" i="3"/>
  <c r="V31" i="3"/>
  <c r="V47" i="3"/>
  <c r="V40" i="3"/>
  <c r="W43" i="3"/>
  <c r="V43" i="3"/>
  <c r="W23" i="3"/>
  <c r="V23" i="3"/>
  <c r="W16" i="3"/>
  <c r="V16" i="3"/>
  <c r="W10" i="3"/>
  <c r="V10" i="3"/>
  <c r="W22" i="3"/>
  <c r="V22" i="3"/>
  <c r="W7" i="3"/>
  <c r="V7" i="3"/>
  <c r="W19" i="3"/>
  <c r="V19" i="3"/>
  <c r="W25" i="3"/>
  <c r="V25" i="3"/>
  <c r="W4" i="3"/>
  <c r="V4" i="3"/>
  <c r="W5" i="3"/>
  <c r="V5" i="3"/>
  <c r="W15" i="3"/>
  <c r="V15" i="3"/>
  <c r="V46" i="3"/>
  <c r="W29" i="3"/>
  <c r="V29" i="3"/>
  <c r="V52" i="3"/>
  <c r="W24" i="3"/>
  <c r="V24" i="3"/>
  <c r="V35" i="3"/>
  <c r="W38" i="3"/>
  <c r="V38" i="3"/>
  <c r="W26" i="3"/>
  <c r="V26" i="3"/>
  <c r="W14" i="3"/>
  <c r="V14" i="3"/>
  <c r="W11" i="3"/>
  <c r="V11" i="3"/>
  <c r="W32" i="3"/>
  <c r="V32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N47" i="10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D47" i="10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T47" i="10" s="1"/>
  <c r="AZ47" i="10"/>
  <c r="BC47" i="10"/>
  <c r="J49" i="8" a="1"/>
  <c r="J49" i="8" s="1"/>
  <c r="H47" i="10" s="1"/>
  <c r="Z49" i="8" a="1"/>
  <c r="Z49" i="8" s="1"/>
  <c r="X47" i="10" s="1"/>
  <c r="AH49" i="8" a="1"/>
  <c r="AH49" i="8" s="1"/>
  <c r="AF47" i="10" s="1"/>
  <c r="F49" i="8" a="1"/>
  <c r="F49" i="8" s="1"/>
  <c r="D47" i="10" s="1"/>
  <c r="K49" i="8" a="1"/>
  <c r="K49" i="8" s="1"/>
  <c r="I47" i="10" s="1"/>
  <c r="N49" i="8" a="1"/>
  <c r="N49" i="8" s="1"/>
  <c r="L47" i="10" s="1"/>
  <c r="S49" i="8" a="1"/>
  <c r="S49" i="8" s="1"/>
  <c r="Q47" i="10" s="1"/>
  <c r="V49" i="8" a="1"/>
  <c r="V49" i="8" s="1"/>
  <c r="T47" i="10" s="1"/>
  <c r="AA49" i="8" a="1"/>
  <c r="AA49" i="8" s="1"/>
  <c r="Y47" i="10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O47" i="10" s="1"/>
  <c r="AT49" i="8" a="1"/>
  <c r="AT49" i="8" s="1"/>
  <c r="AR47" i="10" s="1"/>
  <c r="AX47" i="10"/>
  <c r="BA47" i="10"/>
  <c r="G49" i="8" a="1"/>
  <c r="G49" i="8" s="1"/>
  <c r="E47" i="10" s="1"/>
  <c r="R49" i="8" a="1"/>
  <c r="R49" i="8" s="1"/>
  <c r="P47" i="10" s="1"/>
  <c r="AM49" i="8" a="1"/>
  <c r="AM49" i="8" s="1"/>
  <c r="AK47" i="10" s="1"/>
  <c r="AW47" i="10"/>
  <c r="I49" i="8" a="1"/>
  <c r="I49" i="8" s="1"/>
  <c r="G47" i="10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W47" i="10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M47" i="10" s="1"/>
  <c r="AR49" i="8" a="1"/>
  <c r="AR49" i="8" s="1"/>
  <c r="AP47" i="10" s="1"/>
  <c r="AY47" i="10"/>
  <c r="O49" i="8" a="1"/>
  <c r="O49" i="8" s="1"/>
  <c r="M47" i="10" s="1"/>
  <c r="AE49" i="8" a="1"/>
  <c r="AE49" i="8" s="1"/>
  <c r="AC47" i="10" s="1"/>
  <c r="AU49" i="8" a="1"/>
  <c r="AU49" i="8" s="1"/>
  <c r="AS47" i="10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AP36" i="8" s="1" a="1"/>
  <c r="AP36" i="8" s="1"/>
  <c r="AN34" i="10" s="1"/>
  <c r="B42" i="11"/>
  <c r="E42" i="11" s="1"/>
  <c r="B11" i="11"/>
  <c r="E11" i="11" s="1"/>
  <c r="B5" i="11"/>
  <c r="E5" i="11" s="1"/>
  <c r="D1" i="8"/>
  <c r="D48" i="8" s="1" a="1"/>
  <c r="D48" i="8" s="1"/>
  <c r="B46" i="10" s="1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20" i="3"/>
  <c r="W37" i="3"/>
  <c r="W9" i="3"/>
  <c r="E51" i="11"/>
  <c r="E50" i="11"/>
  <c r="E49" i="11"/>
  <c r="W18" i="3"/>
  <c r="W33" i="3"/>
  <c r="W28" i="3"/>
  <c r="W6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N24" i="8" a="1"/>
  <c r="N24" i="8" s="1"/>
  <c r="L22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6" i="8" a="1"/>
  <c r="I46" i="8" s="1"/>
  <c r="G44" i="10" s="1"/>
  <c r="AE11" i="8" a="1"/>
  <c r="AE11" i="8" s="1"/>
  <c r="AC9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G47" i="8" a="1"/>
  <c r="G47" i="8" s="1"/>
  <c r="E45" i="10" s="1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AI11" i="8" a="1"/>
  <c r="AI11" i="8" s="1"/>
  <c r="AG9" i="10" s="1"/>
  <c r="AA28" i="8" a="1"/>
  <c r="AA28" i="8" s="1"/>
  <c r="Y26" i="10" s="1"/>
  <c r="J11" i="8" a="1"/>
  <c r="J11" i="8" s="1"/>
  <c r="H9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E16" i="14" l="1"/>
  <c r="E26" i="14"/>
  <c r="B26" i="14" s="1"/>
  <c r="B16" i="14"/>
  <c r="V16" i="14" s="1"/>
  <c r="J16" i="14"/>
  <c r="B23" i="14"/>
  <c r="V23" i="14" s="1"/>
  <c r="J23" i="14"/>
  <c r="E27" i="3"/>
  <c r="E17" i="14" s="1"/>
  <c r="E24" i="14"/>
  <c r="J8" i="14"/>
  <c r="B8" i="14"/>
  <c r="V8" i="14" s="1"/>
  <c r="AP24" i="8" a="1"/>
  <c r="AP24" i="8" s="1"/>
  <c r="AN22" i="10" s="1"/>
  <c r="D25" i="8" a="1"/>
  <c r="D25" i="8" s="1"/>
  <c r="B23" i="10" s="1"/>
  <c r="D46" i="8" a="1"/>
  <c r="D46" i="8" s="1"/>
  <c r="B44" i="10" s="1"/>
  <c r="D5" i="8" a="1"/>
  <c r="D5" i="8" s="1"/>
  <c r="B3" i="10" s="1"/>
  <c r="AP16" i="8" a="1"/>
  <c r="AP16" i="8" s="1"/>
  <c r="AN14" i="10" s="1"/>
  <c r="AP45" i="8" a="1"/>
  <c r="AP45" i="8" s="1"/>
  <c r="AN43" i="10" s="1"/>
  <c r="D10" i="8" a="1"/>
  <c r="D10" i="8" s="1"/>
  <c r="B8" i="10" s="1"/>
  <c r="D11" i="8" a="1"/>
  <c r="D11" i="8" s="1"/>
  <c r="B9" i="10" s="1"/>
  <c r="AP38" i="8" a="1"/>
  <c r="AP38" i="8" s="1"/>
  <c r="AN36" i="10" s="1"/>
  <c r="AP4" i="8" a="1"/>
  <c r="AP4" i="8" s="1"/>
  <c r="AN2" i="10" s="1"/>
  <c r="AP28" i="8" a="1"/>
  <c r="AP28" i="8" s="1"/>
  <c r="AN26" i="10" s="1"/>
  <c r="D9" i="8" a="1"/>
  <c r="D9" i="8" s="1"/>
  <c r="B7" i="10" s="1"/>
  <c r="D29" i="8" a="1"/>
  <c r="D29" i="8" s="1"/>
  <c r="B27" i="10" s="1"/>
  <c r="AP21" i="8" a="1"/>
  <c r="AP21" i="8" s="1"/>
  <c r="AN19" i="10" s="1"/>
  <c r="D30" i="8" a="1"/>
  <c r="D30" i="8" s="1"/>
  <c r="B28" i="10" s="1"/>
  <c r="AP33" i="8" a="1"/>
  <c r="AP33" i="8" s="1"/>
  <c r="AN31" i="10" s="1"/>
  <c r="D33" i="8" a="1"/>
  <c r="D33" i="8" s="1"/>
  <c r="B31" i="10" s="1"/>
  <c r="D43" i="8" a="1"/>
  <c r="D43" i="8" s="1"/>
  <c r="B41" i="10" s="1"/>
  <c r="D34" i="8" a="1"/>
  <c r="D34" i="8" s="1"/>
  <c r="B32" i="10" s="1"/>
  <c r="D14" i="8" a="1"/>
  <c r="D14" i="8" s="1"/>
  <c r="B12" i="10" s="1"/>
  <c r="D40" i="8" a="1"/>
  <c r="D40" i="8" s="1"/>
  <c r="B38" i="10" s="1"/>
  <c r="AP49" i="8" a="1"/>
  <c r="AP49" i="8" s="1"/>
  <c r="AN47" i="10" s="1"/>
  <c r="AP11" i="8" a="1"/>
  <c r="AP11" i="8" s="1"/>
  <c r="AN9" i="10" s="1"/>
  <c r="AP20" i="8" a="1"/>
  <c r="AP20" i="8" s="1"/>
  <c r="AN18" i="10" s="1"/>
  <c r="D23" i="8" a="1"/>
  <c r="D23" i="8" s="1"/>
  <c r="B21" i="10" s="1"/>
  <c r="AP9" i="8" a="1"/>
  <c r="AP9" i="8" s="1"/>
  <c r="AN7" i="10" s="1"/>
  <c r="AP27" i="8" a="1"/>
  <c r="AP27" i="8" s="1"/>
  <c r="AN25" i="10" s="1"/>
  <c r="D22" i="8" a="1"/>
  <c r="D22" i="8" s="1"/>
  <c r="B20" i="10" s="1"/>
  <c r="AP48" i="8" a="1"/>
  <c r="AP48" i="8" s="1"/>
  <c r="AN46" i="10" s="1"/>
  <c r="D38" i="8" a="1"/>
  <c r="D38" i="8" s="1"/>
  <c r="B36" i="10" s="1"/>
  <c r="D44" i="8" a="1"/>
  <c r="D44" i="8" s="1"/>
  <c r="B42" i="10" s="1"/>
  <c r="D32" i="8" a="1"/>
  <c r="D32" i="8" s="1"/>
  <c r="B30" i="10" s="1"/>
  <c r="AP10" i="8" a="1"/>
  <c r="AP10" i="8" s="1"/>
  <c r="AN8" i="10" s="1"/>
  <c r="D18" i="8" a="1"/>
  <c r="D18" i="8" s="1"/>
  <c r="B16" i="10" s="1"/>
  <c r="AP17" i="8" a="1"/>
  <c r="AP17" i="8" s="1"/>
  <c r="AN15" i="10" s="1"/>
  <c r="D6" i="8" a="1"/>
  <c r="D6" i="8" s="1"/>
  <c r="B4" i="10" s="1"/>
  <c r="D13" i="8" a="1"/>
  <c r="D13" i="8" s="1"/>
  <c r="B11" i="10" s="1"/>
  <c r="AP15" i="8" a="1"/>
  <c r="AP15" i="8" s="1"/>
  <c r="AN13" i="10" s="1"/>
  <c r="D36" i="8" a="1"/>
  <c r="D36" i="8" s="1"/>
  <c r="B34" i="10" s="1"/>
  <c r="D28" i="8" a="1"/>
  <c r="D28" i="8" s="1"/>
  <c r="B26" i="10" s="1"/>
  <c r="E6" i="14"/>
  <c r="J27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26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J17" i="14" l="1"/>
  <c r="B17" i="14"/>
  <c r="V17" i="14" s="1"/>
  <c r="E28" i="3"/>
  <c r="E25" i="14"/>
  <c r="B25" i="14" s="1"/>
  <c r="B6" i="14"/>
  <c r="J6" i="14"/>
  <c r="B5" i="14"/>
  <c r="J5" i="14"/>
  <c r="E12" i="11"/>
  <c r="E18" i="14" l="1"/>
  <c r="E28" i="14"/>
  <c r="J18" i="14"/>
  <c r="B18" i="14"/>
  <c r="V18" i="14" s="1"/>
  <c r="E27" i="14"/>
  <c r="J28" i="3"/>
  <c r="C3" i="13"/>
  <c r="C2" i="13"/>
  <c r="B3" i="13"/>
  <c r="D3" i="13" s="1"/>
  <c r="B2" i="13"/>
  <c r="D2" i="13" s="1"/>
  <c r="J27" i="14" l="1"/>
  <c r="B27" i="14"/>
  <c r="V27" i="14" s="1"/>
  <c r="C4" i="13"/>
  <c r="C5" i="13" s="1"/>
  <c r="B4" i="13"/>
  <c r="B5" i="13" s="1"/>
  <c r="B9" i="13" l="1"/>
  <c r="C9" i="13" s="1"/>
  <c r="B8" i="13"/>
  <c r="C8" i="13" l="1"/>
  <c r="B11" i="13"/>
  <c r="E21" i="11"/>
  <c r="J25" i="3"/>
  <c r="E21" i="14" l="1"/>
  <c r="J21" i="14" l="1"/>
  <c r="B21" i="14"/>
  <c r="V21" i="14" s="1"/>
  <c r="D41" i="11" l="1"/>
  <c r="C41" i="1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tc={480D9738-859B-4D1E-99A3-2546056B0838}</author>
    <author>tc={E09672DE-5D99-42E0-85B5-774E4D56A82E}</author>
    <author>tc={CD29267E-7138-4EAA-BBB5-87680250F53F}</author>
    <author>tc={FBD26380-D70F-41DA-A64B-AAADC68BAE3E}</author>
    <author>tc={B0A55D4B-53D8-43EF-BA32-9BB09124DD6C}</author>
    <author>tc={767204F0-6A68-45A9-81A4-37CA98FC0DF2}</author>
  </authors>
  <commentList>
    <comment ref="B6" authorId="0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12" authorId="1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17" authorId="2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18" authorId="3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36" authorId="4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  <comment ref="E37" authorId="5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<sst xmlns="http://schemas.openxmlformats.org/spreadsheetml/2006/main" count="842" uniqueCount="283">
  <si>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</si>
  <si>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</si>
  <si>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</si>
  <si>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</si>
  <si>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</si>
  <si>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</si>
  <si>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</si>
  <si>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</si>
  <si>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</si>
  <si>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</si>
  <si>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</si>
  <si>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</si>
  <si>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</si>
  <si>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</si>
  <si>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</si>
  <si>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</si>
  <si>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</si>
  <si>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</si>
  <si>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</si>
  <si>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</si>
  <si>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</si>
  <si>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</si>
  <si>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</si>
  <si>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</si>
  <si>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</si>
  <si>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</si>
  <si>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</si>
  <si>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</si>
  <si>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</si>
  <si>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</si>
  <si>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</si>
  <si>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</si>
  <si>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</si>
  <si>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</si>
  <si>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</si>
  <si>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</si>
  <si>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</si>
  <si>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</si>
  <si>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</si>
  <si>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</si>
  <si>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</si>
  <si>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</si>
  <si>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</si>
  <si>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</si>
  <si>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</si>
  <si>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</si>
  <si>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</si>
  <si>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</si>
  <si>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</si>
  <si>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</si>
  <si>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</si>
  <si>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</si>
  <si>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</si>
  <si>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</si>
  <si>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</si>
  <si>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</si>
  <si>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</si>
  <si>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</si>
  <si>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</si>
  <si>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</si>
  <si>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</si>
  <si>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</si>
  <si>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</si>
  <si>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</si>
  <si>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</si>
  <si>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</si>
  <si>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</si>
  <si>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</si>
  <si>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</si>
  <si>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</si>
  <si>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</si>
  <si>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</si>
  <si>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</si>
  <si>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</si>
  <si>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</si>
  <si>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</si>
  <si>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</si>
  <si>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</si>
  <si>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</si>
  <si>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</si>
  <si>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</si>
  <si>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</si>
  <si>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</si>
  <si>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</si>
  <si>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</si>
  <si>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</si>
  <si>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</si>
  <si>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</si>
  <si>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</si>
  <si>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</si>
  <si>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</si>
  <si>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</si>
  <si>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</si>
  <si>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</si>
  <si>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</si>
  <si>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</si>
  <si>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</si>
  <si>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</si>
  <si>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</si>
  <si>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</si>
  <si>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</si>
  <si>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</si>
  <si>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</si>
  <si>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</si>
  <si>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</si>
  <si>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</si>
  <si>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</si>
  <si>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</si>
  <si>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</si>
  <si>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</si>
  <si>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</si>
  <si>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</si>
  <si>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</si>
  <si>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</si>
  <si>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</si>
  <si>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</si>
  <si>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</si>
  <si>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</si>
  <si>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</si>
  <si>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</si>
  <si>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</si>
  <si>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</si>
  <si>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</si>
  <si>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</si>
  <si>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</si>
  <si>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</si>
  <si>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</si>
  <si>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</si>
  <si>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</si>
  <si>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</si>
  <si>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</si>
  <si>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</si>
  <si>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</si>
  <si>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</si>
  <si>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</si>
  <si>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</si>
  <si>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</si>
  <si>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</si>
  <si>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</si>
  <si>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</si>
  <si>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</si>
  <si>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</si>
  <si>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</si>
  <si>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</si>
  <si>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</si>
  <si>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</si>
  <si>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</si>
  <si>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</si>
  <si>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</si>
  <si>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</si>
  <si>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</si>
  <si>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</si>
  <si>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</si>
  <si>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</si>
  <si>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</si>
  <si>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</si>
  <si>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</si>
  <si>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</si>
  <si>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</si>
  <si>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</si>
  <si>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</si>
  <si>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</si>
  <si>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</si>
  <si>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</si>
  <si>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</si>
  <si>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</si>
  <si>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</si>
  <si>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</si>
  <si>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</si>
  <si>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</si>
  <si>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</si>
  <si>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</si>
  <si>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</si>
  <si>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</si>
  <si>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</si>
  <si>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</si>
  <si>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</si>
  <si>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</si>
  <si>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</si>
  <si>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</si>
  <si>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</si>
  <si>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</si>
  <si>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</si>
  <si>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</si>
  <si>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</si>
  <si>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</si>
  <si>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</si>
  <si>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</si>
  <si>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</si>
  <si>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</si>
  <si>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</si>
  <si>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</si>
  <si>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</si>
  <si>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</si>
  <si>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</si>
  <si>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</si>
  <si>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</si>
  <si>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</si>
  <si>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</si>
  <si>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</si>
  <si>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</si>
  <si>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</si>
  <si>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</si>
  <si>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</si>
  <si>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</si>
  <si>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</si>
  <si>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</si>
  <si>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</si>
  <si>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</si>
  <si>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</si>
  <si>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</si>
  <si>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</si>
  <si>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</si>
  <si>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</si>
  <si>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</si>
  <si>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</si>
  <si>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</si>
  <si>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</si>
  <si>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</si>
  <si>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</si>
  <si>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</si>
  <si>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</si>
  <si>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</si>
  <si>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</si>
  <si>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</si>
  <si>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</si>
  <si>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</si>
  <si>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</si>
  <si>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</si>
  <si>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</si>
  <si>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</si>
  <si>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</si>
  <si>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</si>
  <si>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</si>
  <si>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</si>
  <si>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</si>
  <si>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</si>
  <si>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</si>
  <si>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</si>
  <si>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</si>
  <si>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</si>
  <si>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</si>
  <si>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</si>
  <si>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</si>
  <si>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</si>
  <si>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</si>
  <si>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</si>
  <si>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</si>
  <si>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</si>
  <si>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</si>
  <si>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</si>
  <si>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</si>
  <si>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</si>
  <si>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</si>
  <si>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</si>
  <si>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</si>
  <si>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</si>
  <si>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</si>
  <si>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</si>
  <si>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</si>
  <si>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</si>
  <si>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</si>
  <si>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</si>
  <si>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</si>
  <si>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</si>
  <si>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</si>
  <si>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</si>
  <si>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</si>
  <si>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</si>
  <si>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</si>
  <si>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</si>
  <si>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</si>
  <si>
    <t>recalibrate</t>
  </si>
  <si>
    <t>GROUPS</t>
  </si>
  <si>
    <t>BLOW</t>
  </si>
  <si>
    <t>Other</t>
  </si>
  <si>
    <t>Commuting</t>
  </si>
  <si>
    <t>Home and marriage</t>
  </si>
  <si>
    <t>Space</t>
  </si>
  <si>
    <t>Sorting in space</t>
  </si>
  <si>
    <t>Sensitivity to job access</t>
  </si>
  <si>
    <t>NEVER APPEARS! Even with 10% threshold. Baffling. Move to 2</t>
  </si>
  <si>
    <t>Work, Home and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</si>
</sst>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3-01-01T23:16:35.36" personId="{282253FD-0990-4D6B-9257-377F5C70CA0B}" id="{480D9738-859B-4D1E-99A3-2546056B0838}">
    <text xml:space="preserve">0.877
</text>
  </threadedComment>
  <threadedComment ref="B12" dT="2022-12-30T23:38:58.74" personId="{282253FD-0990-4D6B-9257-377F5C70CA0B}" id="{E09672DE-5D99-42E0-85B5-774E4D56A82E}">
    <text>1.644730731</text>
  </threadedComment>
  <threadedComment ref="B17" dT="2022-12-31T23:08:59.63" personId="{282253FD-0990-4D6B-9257-377F5C70CA0B}" id="{CD29267E-7138-4EAA-BBB5-87680250F53F}">
    <text>2.31</text>
  </threadedComment>
  <threadedComment ref="B18" dT="2022-12-29T21:31:42.12" personId="{282253FD-0990-4D6B-9257-377F5C70CA0B}" id="{FBD26380-D70F-41DA-A64B-AAADC68BAE3E}">
    <text>1.5</text>
  </threadedComment>
  <threadedComment ref="W36" dT="2022-07-11T19:37:37.39" personId="{8C1B3605-3BBC-4A56-9DEA-CD9622C706EB}" id="{B0A55D4B-53D8-43EF-BA32-9BB09124DD6C}">
    <text>cannot do comparative statics both for THETAHW and for LAMBDA</text>
  </threadedComment>
  <threadedComment ref="E37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37" dT="2022-07-12T00:27:50.56" personId="{8C1B3605-3BBC-4A56-9DEA-CD9622C706EB}" id="{9781E3DA-46F9-48AE-84BE-37948A9B465D}" parentId="{767204F0-6A68-45A9-81A4-37CA98FC0DF2}">
    <text>made it so it would take singles into account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D2" sqref="D2"/>
    </sheetView>
  </sheetViews>
  <sheetFormatPr defaultRowHeight="14.4" x14ac:dyDescent="0.3"/>
  <cols>
    <col min="3" max="4" width="12.44140625" bestFit="1" customWidth="1"/>
  </cols>
  <sheetData>
    <row r="1" spans="1:9" s="16" customFormat="1" ht="13.8" x14ac:dyDescent="0.3">
      <c r="A1" s="4" t="s">
        <v>62</v>
      </c>
      <c r="B1" s="16" t="s">
        <v>1</v>
      </c>
      <c r="C1" s="16" t="s">
        <v>63</v>
      </c>
      <c r="D1" s="16" t="s">
        <v>64</v>
      </c>
      <c r="E1" s="16" t="s">
        <v>177</v>
      </c>
      <c r="F1" s="16" t="s">
        <v>176</v>
      </c>
      <c r="G1" s="16" t="s">
        <v>221</v>
      </c>
      <c r="H1" s="16" t="s">
        <v>221</v>
      </c>
      <c r="I1" s="16" t="s">
        <v>249</v>
      </c>
    </row>
    <row r="2" spans="1:9" x14ac:dyDescent="0.3">
      <c r="A2" t="s">
        <v>77</v>
      </c>
      <c r="B2">
        <f>PARS!B2*$I$7+G2*(1-$I$7)*C2+(1-G2)*(1-$I$7)*D2</f>
        <v>0.65818116919391834</v>
      </c>
      <c r="C2">
        <f>PARS!C2</f>
        <v>-6.9077552789821368</v>
      </c>
      <c r="D2">
        <f>PARS!D2</f>
        <v>2.341805806147327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0.65325659470415864</v>
      </c>
    </row>
    <row r="3" spans="1:9" x14ac:dyDescent="0.3">
      <c r="A3" t="s">
        <v>110</v>
      </c>
      <c r="B3">
        <f>PARS!B3*$I$7+G3*(1-$I$7)*C3+(1-G3)*(1-$I$7)*D3</f>
        <v>0.91056480566465459</v>
      </c>
      <c r="C3">
        <f>PARS!C3</f>
        <v>0.74193734472937733</v>
      </c>
      <c r="D3">
        <f>PARS!D3</f>
        <v>0.99325177301028345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8.3325903955791869E-2</v>
      </c>
    </row>
    <row r="4" spans="1:9" x14ac:dyDescent="0.3">
      <c r="A4" t="s">
        <v>74</v>
      </c>
      <c r="B4">
        <f>PARS!B4*$I$7+G4*(1-$I$7)*C4+(1-G4)*(1-$I$7)*D4</f>
        <v>4.3273902510214111</v>
      </c>
      <c r="C4">
        <f>PARS!C4</f>
        <v>-1.1972245773362182</v>
      </c>
      <c r="D4">
        <f>PARS!D4</f>
        <v>7.9067547786486871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0.70113932131913592</v>
      </c>
    </row>
    <row r="5" spans="1:9" x14ac:dyDescent="0.3">
      <c r="A5" t="s">
        <v>75</v>
      </c>
      <c r="B5">
        <f>PARS!B5*$I$7+G5*(1-$I$7)*C5+(1-G5)*(1-$I$7)*D5</f>
        <v>1.5743414394171964</v>
      </c>
      <c r="C5">
        <f>PARS!C5</f>
        <v>0.58778666490211906</v>
      </c>
      <c r="D5">
        <f>PARS!D5</f>
        <v>2.3025850929940459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0.70805467777388265</v>
      </c>
    </row>
    <row r="6" spans="1:9" x14ac:dyDescent="0.3">
      <c r="A6" t="s">
        <v>246</v>
      </c>
      <c r="B6">
        <f>PARS!B6*$I$7+G6*(1-$I$7)*C6+(1-G6)*(1-$I$7)*D6</f>
        <v>1.0460927207048274</v>
      </c>
      <c r="C6">
        <f>PARS!C6</f>
        <v>0</v>
      </c>
      <c r="D6">
        <f>PARS!D6</f>
        <v>2.3025850929940459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6.6550625492104554E-2</v>
      </c>
      <c r="I6" t="s">
        <v>251</v>
      </c>
    </row>
    <row r="7" spans="1:9" x14ac:dyDescent="0.3">
      <c r="A7" t="s">
        <v>105</v>
      </c>
      <c r="B7">
        <f>PARS!B7*$I$7+G7*(1-$I$7)*C7+(1-G7)*(1-$I$7)*D7</f>
        <v>-0.1761504878299191</v>
      </c>
      <c r="C7">
        <f>PARS!C7</f>
        <v>-0.35</v>
      </c>
      <c r="D7">
        <f>PARS!D7</f>
        <v>0.05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6.4900419259828035E-2</v>
      </c>
      <c r="I7">
        <v>0.8</v>
      </c>
    </row>
    <row r="8" spans="1:9" x14ac:dyDescent="0.3">
      <c r="A8" t="s">
        <v>73</v>
      </c>
      <c r="B8">
        <f>PARS!B8*$I$7+G8*(1-$I$7)*C8+(1-G8)*(1-$I$7)*D8</f>
        <v>0.17766684893169996</v>
      </c>
      <c r="C8">
        <f>PARS!C8</f>
        <v>0</v>
      </c>
      <c r="D8">
        <f>PARS!D8</f>
        <v>0.5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0.35816630223139712</v>
      </c>
    </row>
    <row r="9" spans="1:9" x14ac:dyDescent="0.3">
      <c r="A9" t="s">
        <v>91</v>
      </c>
      <c r="B9">
        <f>PARS!B9*$I$7+G9*(1-$I$7)*C9+(1-G9)*(1-$I$7)*D9</f>
        <v>-1.1193297626580958</v>
      </c>
      <c r="C9">
        <f>PARS!C9</f>
        <v>-1.6094379124341003</v>
      </c>
      <c r="D9">
        <f>PARS!D9</f>
        <v>0.69314718055994529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0.5548122765772413</v>
      </c>
    </row>
    <row r="10" spans="1:9" x14ac:dyDescent="0.3">
      <c r="A10" t="s">
        <v>92</v>
      </c>
      <c r="B10">
        <f>PARS!B10*$I$7+G10*(1-$I$7)*C10+(1-G10)*(1-$I$7)*D10</f>
        <v>-0.88602652414088634</v>
      </c>
      <c r="C10">
        <f>PARS!C10</f>
        <v>-2.9957322735539909</v>
      </c>
      <c r="D10">
        <f>PARS!D10</f>
        <v>0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0.44828915755700871</v>
      </c>
    </row>
    <row r="11" spans="1:9" x14ac:dyDescent="0.3">
      <c r="A11" t="s">
        <v>97</v>
      </c>
      <c r="B11">
        <f>PARS!B11*$I$7+G11*(1-$I$7)*C11+(1-G11)*(1-$I$7)*D11</f>
        <v>0.1463470836517779</v>
      </c>
      <c r="C11">
        <f>PARS!C11</f>
        <v>-0.16251892949777494</v>
      </c>
      <c r="D11">
        <f>PARS!D11</f>
        <v>0.40546510810816438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1.6415466138782753E-3</v>
      </c>
    </row>
    <row r="12" spans="1:9" x14ac:dyDescent="0.3">
      <c r="A12" t="s">
        <v>94</v>
      </c>
      <c r="B12">
        <f>PARS!B12*$I$7+G12*(1-$I$7)*C12+(1-G12)*(1-$I$7)*D12</f>
        <v>0.76539143249725972</v>
      </c>
      <c r="C12">
        <f>PARS!C12</f>
        <v>0.40546510810816438</v>
      </c>
      <c r="D12">
        <f>PARS!D12</f>
        <v>1.2527629684953681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7.7773834209072468E-2</v>
      </c>
    </row>
    <row r="13" spans="1:9" x14ac:dyDescent="0.3">
      <c r="A13" t="s">
        <v>93</v>
      </c>
      <c r="B13">
        <f>PARS!B13*$I$7+G13*(1-$I$7)*C13+(1-G13)*(1-$I$7)*D13</f>
        <v>-1.4656771449344956</v>
      </c>
      <c r="C13">
        <f>PARS!C13</f>
        <v>-1.6094379124341003</v>
      </c>
      <c r="D13">
        <f>PARS!D13</f>
        <v>-1.3862943611198906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7.6051785426306528E-2</v>
      </c>
    </row>
    <row r="14" spans="1:9" x14ac:dyDescent="0.3">
      <c r="A14" t="s">
        <v>96</v>
      </c>
      <c r="B14">
        <f>PARS!B14*$I$7+G14*(1-$I$7)*C14+(1-G14)*(1-$I$7)*D14</f>
        <v>1.187509396816778</v>
      </c>
      <c r="C14">
        <f>PARS!C14</f>
        <v>-1.3862943611198906</v>
      </c>
      <c r="D14">
        <f>PARS!D14</f>
        <v>6.9067547786484651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0.79233135378323127</v>
      </c>
    </row>
    <row r="15" spans="1:9" x14ac:dyDescent="0.3">
      <c r="A15" t="s">
        <v>98</v>
      </c>
      <c r="B15">
        <f>PARS!B15*$I$7+G15*(1-$I$7)*C15+(1-G15)*(1-$I$7)*D15</f>
        <v>0.45026706164094987</v>
      </c>
      <c r="C15">
        <f>PARS!C15</f>
        <v>0</v>
      </c>
      <c r="D15">
        <f>PARS!D15</f>
        <v>2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0.33623838844418685</v>
      </c>
    </row>
    <row r="16" spans="1:9" x14ac:dyDescent="0.3">
      <c r="A16" t="s">
        <v>69</v>
      </c>
      <c r="B16">
        <f>PARS!B16*$I$7+G16*(1-$I$7)*C16+(1-G16)*(1-$I$7)*D16</f>
        <v>-1.026034039395749</v>
      </c>
      <c r="C16">
        <f>PARS!C16</f>
        <v>-2.3025850929940455</v>
      </c>
      <c r="D16">
        <f>PARS!D16</f>
        <v>0.40546510810816438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0.88709066428701988</v>
      </c>
    </row>
    <row r="17" spans="1:8" x14ac:dyDescent="0.3">
      <c r="A17" t="s">
        <v>76</v>
      </c>
      <c r="B17">
        <f>PARS!B17*$I$7+G17*(1-$I$7)*C17+(1-G17)*(1-$I$7)*D17</f>
        <v>0.91315503720790847</v>
      </c>
      <c r="C17">
        <f>PARS!C17</f>
        <v>-6.9077552789821368</v>
      </c>
      <c r="D17">
        <f>PARS!D17</f>
        <v>4.6051701859880918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0.58949723052032421</v>
      </c>
    </row>
    <row r="18" spans="1:8" x14ac:dyDescent="0.3">
      <c r="A18" t="s">
        <v>95</v>
      </c>
      <c r="B18">
        <f>PARS!B18*$I$7+G18*(1-$I$7)*C18+(1-G18)*(1-$I$7)*D18</f>
        <v>2.1941483245229199</v>
      </c>
      <c r="C18">
        <f>PARS!C18</f>
        <v>-6.9077552789821368</v>
      </c>
      <c r="D18">
        <f>PARS!D18</f>
        <v>4.6051701859880918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0.27263322388493716</v>
      </c>
    </row>
    <row r="19" spans="1:8" x14ac:dyDescent="0.3">
      <c r="A19" t="s">
        <v>70</v>
      </c>
      <c r="B19">
        <f>PARS!B19*$I$7+G19*(1-$I$7)*C19+(1-G19)*(1-$I$7)*D19</f>
        <v>0.16459206411776389</v>
      </c>
      <c r="C19">
        <f>PARS!C19</f>
        <v>-4.0005334613699206E-2</v>
      </c>
      <c r="D19">
        <f>PARS!D19</f>
        <v>0.24116205681688824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0.37274197854681923</v>
      </c>
    </row>
    <row r="20" spans="1:8" x14ac:dyDescent="0.3">
      <c r="A20" s="6" t="s">
        <v>71</v>
      </c>
      <c r="B20">
        <f>PARS!B20*$I$7+G20*(1-$I$7)*C20+(1-G20)*(1-$I$7)*D20</f>
        <v>-1.6287128563424762</v>
      </c>
      <c r="C20">
        <f>PARS!C20</f>
        <v>-1.8971199848858813</v>
      </c>
      <c r="D20">
        <f>PARS!D20</f>
        <v>-1.0498221244986778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0.87579182469226247</v>
      </c>
    </row>
    <row r="21" spans="1:8" x14ac:dyDescent="0.3">
      <c r="A21" t="s">
        <v>72</v>
      </c>
      <c r="B21">
        <f>PARS!B21*$I$7+G21*(1-$I$7)*C21+(1-G21)*(1-$I$7)*D21</f>
        <v>0</v>
      </c>
      <c r="C21">
        <f>PARS!C21</f>
        <v>0</v>
      </c>
      <c r="D21">
        <f>PARS!D21</f>
        <v>0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0.46778719606824304</v>
      </c>
    </row>
    <row r="22" spans="1:8" x14ac:dyDescent="0.3">
      <c r="A22" t="s">
        <v>67</v>
      </c>
      <c r="B22">
        <f>PARS!B22*$I$7+G22*(1-$I$7)*C22+(1-G22)*(1-$I$7)*D22</f>
        <v>0</v>
      </c>
      <c r="C22">
        <f>PARS!C22</f>
        <v>0</v>
      </c>
      <c r="D22">
        <f>PARS!D22</f>
        <v>0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6.1634915026693826E-2</v>
      </c>
    </row>
    <row r="23" spans="1:8" x14ac:dyDescent="0.3">
      <c r="A23" t="s">
        <v>78</v>
      </c>
      <c r="B23">
        <f>PARS!B23*$I$7+G23*(1-$I$7)*C23+(1-G23)*(1-$I$7)*D23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0.15562492088138313</v>
      </c>
    </row>
    <row r="24" spans="1:8" x14ac:dyDescent="0.3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0.74007775979787338</v>
      </c>
    </row>
    <row r="25" spans="1:8" x14ac:dyDescent="0.3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4.9411564445793754E-2</v>
      </c>
    </row>
    <row r="26" spans="1:8" x14ac:dyDescent="0.3">
      <c r="A26" t="s">
        <v>80</v>
      </c>
      <c r="B26">
        <f>PARS!B26*$I$7+G26*(1-$I$7)*C26+(1-G26)*(1-$I$7)*D26</f>
        <v>0</v>
      </c>
      <c r="C26">
        <f>PARS!C26</f>
        <v>0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0.84603954428131456</v>
      </c>
    </row>
    <row r="27" spans="1:8" x14ac:dyDescent="0.3">
      <c r="A27" t="s">
        <v>81</v>
      </c>
      <c r="B27">
        <f>PARS!B27*$I$7+G27*(1-$I$7)*C27+(1-G27)*(1-$I$7)*D27</f>
        <v>79.2</v>
      </c>
      <c r="C27">
        <f>PARS!C27</f>
        <v>0</v>
      </c>
      <c r="D27">
        <f>PARS!D27</f>
        <v>0</v>
      </c>
      <c r="E27" t="b">
        <f t="shared" si="0"/>
        <v>0</v>
      </c>
      <c r="F27">
        <f>VLOOKUP(A27,PARS!A:X,19,0)</f>
        <v>1</v>
      </c>
      <c r="G27">
        <v>4.1196096346803213E-2</v>
      </c>
      <c r="H27">
        <f t="shared" ca="1" si="1"/>
        <v>0.89167767630858841</v>
      </c>
    </row>
    <row r="28" spans="1:8" x14ac:dyDescent="0.3">
      <c r="A28" t="s">
        <v>99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0.49132453768226747</v>
      </c>
    </row>
    <row r="29" spans="1:8" x14ac:dyDescent="0.3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0.10674614774262958</v>
      </c>
    </row>
    <row r="30" spans="1:8" x14ac:dyDescent="0.3">
      <c r="A30" t="s">
        <v>85</v>
      </c>
      <c r="B30">
        <f>PARS!B30*$I$7+G30*(1-$I$7)*C30+(1-G30)*(1-$I$7)*D30</f>
        <v>-2.1428685049847535E-2</v>
      </c>
      <c r="C30">
        <f>PARS!C30</f>
        <v>-0.40790273033909435</v>
      </c>
      <c r="D30">
        <f>PARS!D30</f>
        <v>0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0.96723272187100529</v>
      </c>
    </row>
    <row r="31" spans="1:8" x14ac:dyDescent="0.3">
      <c r="A31" t="s">
        <v>82</v>
      </c>
      <c r="B31">
        <f>PARS!B31*$I$7+G31*(1-$I$7)*C31+(1-G31)*(1-$I$7)*D31</f>
        <v>0</v>
      </c>
      <c r="C31">
        <f>PARS!C31</f>
        <v>0</v>
      </c>
      <c r="D31">
        <f>PARS!D31</f>
        <v>0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0.37011306161925661</v>
      </c>
    </row>
    <row r="32" spans="1:8" x14ac:dyDescent="0.3">
      <c r="A32" t="s">
        <v>83</v>
      </c>
      <c r="B32">
        <f>PARS!B32*$I$7+G32*(1-$I$7)*C32+(1-G32)*(1-$I$7)*D32</f>
        <v>0</v>
      </c>
      <c r="C32">
        <f>PARS!C32</f>
        <v>0</v>
      </c>
      <c r="D32">
        <f>PARS!D32</f>
        <v>0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0.34559211836866011</v>
      </c>
    </row>
    <row r="33" spans="1:8" x14ac:dyDescent="0.3">
      <c r="A33" t="s">
        <v>84</v>
      </c>
      <c r="B33">
        <f>PARS!B33*$I$7+G33*(1-$I$7)*C33+(1-G33)*(1-$I$7)*D33</f>
        <v>0</v>
      </c>
      <c r="C33">
        <f>PARS!C33</f>
        <v>0</v>
      </c>
      <c r="D33">
        <f>PARS!D33</f>
        <v>0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0.72991112950097692</v>
      </c>
    </row>
    <row r="34" spans="1:8" x14ac:dyDescent="0.3">
      <c r="A34" t="s">
        <v>86</v>
      </c>
      <c r="B34">
        <f>PARS!B34*$I$7+G34*(1-$I$7)*C34+(1-G34)*(1-$I$7)*D34</f>
        <v>1.3096000000000001</v>
      </c>
      <c r="C34">
        <f>PARS!C34</f>
        <v>0</v>
      </c>
      <c r="D34">
        <f>PARS!D34</f>
        <v>0</v>
      </c>
      <c r="E34" t="b">
        <f t="shared" si="0"/>
        <v>0</v>
      </c>
      <c r="F34">
        <f>VLOOKUP(A34,PARS!A:X,19,0)</f>
        <v>1</v>
      </c>
      <c r="G34">
        <v>0.74613453988410883</v>
      </c>
      <c r="H34">
        <f t="shared" ca="1" si="1"/>
        <v>0.17552068351536221</v>
      </c>
    </row>
    <row r="35" spans="1:8" x14ac:dyDescent="0.3">
      <c r="A35" t="s">
        <v>87</v>
      </c>
      <c r="B35">
        <f>PARS!B35*$I$7+G35*(1-$I$7)*C35+(1-G35)*(1-$I$7)*D35</f>
        <v>0.8</v>
      </c>
      <c r="C35">
        <f>PARS!C35</f>
        <v>0</v>
      </c>
      <c r="D35">
        <f>PARS!D35</f>
        <v>0</v>
      </c>
      <c r="E35" t="b">
        <f t="shared" si="0"/>
        <v>0</v>
      </c>
      <c r="F35">
        <f>VLOOKUP(A35,PARS!A:X,19,0)</f>
        <v>1</v>
      </c>
      <c r="G35">
        <v>0.33397176596030087</v>
      </c>
      <c r="H35">
        <f t="shared" ca="1" si="1"/>
        <v>0.28250350310478844</v>
      </c>
    </row>
    <row r="36" spans="1:8" x14ac:dyDescent="0.3">
      <c r="A36" t="s">
        <v>88</v>
      </c>
      <c r="B36">
        <f>PARS!B36*$I$7+G36*(1-$I$7)*C36+(1-G36)*(1-$I$7)*D36</f>
        <v>0</v>
      </c>
      <c r="C36">
        <f>PARS!C36</f>
        <v>0</v>
      </c>
      <c r="D36">
        <f>PARS!D36</f>
        <v>0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0.74543786100094833</v>
      </c>
    </row>
    <row r="37" spans="1:8" x14ac:dyDescent="0.3">
      <c r="A37" t="s">
        <v>101</v>
      </c>
      <c r="B37">
        <f>PARS!B37*$I$7+G37*(1-$I$7)*C37+(1-G37)*(1-$I$7)*D37</f>
        <v>19.506200863224791</v>
      </c>
      <c r="C37">
        <f>PARS!C37</f>
        <v>0</v>
      </c>
      <c r="D37">
        <f>PARS!D37</f>
        <v>0</v>
      </c>
      <c r="E37" t="b">
        <f t="shared" si="0"/>
        <v>0</v>
      </c>
      <c r="F37">
        <f>VLOOKUP(A37,PARS!A:X,19,0)</f>
        <v>1</v>
      </c>
      <c r="G37">
        <v>8.9813489768021837E-2</v>
      </c>
      <c r="H37">
        <f t="shared" ca="1" si="1"/>
        <v>0.41826978105260293</v>
      </c>
    </row>
    <row r="38" spans="1:8" x14ac:dyDescent="0.3">
      <c r="A38" s="5" t="s">
        <v>68</v>
      </c>
      <c r="B38">
        <f>PARS!B38*$I$7+G38*(1-$I$7)*C38+(1-G38)*(1-$I$7)*D38</f>
        <v>1.5051211461623278E-3</v>
      </c>
      <c r="C38">
        <f>PARS!C38</f>
        <v>0</v>
      </c>
      <c r="D38">
        <f>PARS!D38</f>
        <v>0</v>
      </c>
      <c r="E38" t="b">
        <f t="shared" si="0"/>
        <v>0</v>
      </c>
      <c r="F38">
        <f>VLOOKUP(A38,PARS!A:X,19,0)</f>
        <v>1</v>
      </c>
      <c r="G38">
        <v>0.21887278647004649</v>
      </c>
      <c r="H38">
        <f t="shared" ca="1" si="1"/>
        <v>0.32513770835161204</v>
      </c>
    </row>
    <row r="39" spans="1:8" x14ac:dyDescent="0.3">
      <c r="A39" s="3" t="s">
        <v>106</v>
      </c>
      <c r="B39">
        <f>PARS!B39*$I$7+G39*(1-$I$7)*C39+(1-G39)*(1-$I$7)*D39</f>
        <v>5.0604629515870743</v>
      </c>
      <c r="C39">
        <f>PARS!C39</f>
        <v>0</v>
      </c>
      <c r="D39">
        <f>PARS!D39</f>
        <v>5.1813471502590662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0.87971517830714085</v>
      </c>
    </row>
    <row r="40" spans="1:8" x14ac:dyDescent="0.3">
      <c r="A40" t="s">
        <v>107</v>
      </c>
      <c r="B40">
        <f>PARS!B40*$I$7+G40*(1-$I$7)*C40+(1-G40)*(1-$I$7)*D40</f>
        <v>0.21369863013698631</v>
      </c>
      <c r="C40">
        <f>PARS!C40</f>
        <v>0</v>
      </c>
      <c r="D40">
        <f>PARS!D40</f>
        <v>0</v>
      </c>
      <c r="E40" t="b">
        <f t="shared" si="0"/>
        <v>0</v>
      </c>
      <c r="F40">
        <f>VLOOKUP(A40,PARS!A:X,19,0)</f>
        <v>0</v>
      </c>
      <c r="G40">
        <v>0.97820706309520367</v>
      </c>
      <c r="H40">
        <f t="shared" ca="1" si="1"/>
        <v>0.38506104699436927</v>
      </c>
    </row>
    <row r="41" spans="1:8" x14ac:dyDescent="0.3">
      <c r="A41" t="s">
        <v>108</v>
      </c>
      <c r="B41">
        <f>PARS!B41*$I$7+G41*(1-$I$7)*C41+(1-G41)*(1-$I$7)*D41</f>
        <v>0</v>
      </c>
      <c r="C41">
        <f>PARS!C41</f>
        <v>0</v>
      </c>
      <c r="D41">
        <f>PARS!D41</f>
        <v>0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0.37713472046379937</v>
      </c>
    </row>
    <row r="42" spans="1:8" s="3" customFormat="1" x14ac:dyDescent="0.3">
      <c r="A42" t="s">
        <v>104</v>
      </c>
      <c r="B42">
        <f>PARS!B42*$I$7+G42*(1-$I$7)*C42+(1-G42)*(1-$I$7)*D42</f>
        <v>0.56447839999999994</v>
      </c>
      <c r="C42">
        <f>PARS!C42</f>
        <v>0</v>
      </c>
      <c r="D42">
        <f>PARS!D42</f>
        <v>0</v>
      </c>
      <c r="E42" t="b">
        <f t="shared" si="0"/>
        <v>0</v>
      </c>
      <c r="F42">
        <f>VLOOKUP(A42,PARS!A:X,19,0)</f>
        <v>0</v>
      </c>
      <c r="G42">
        <v>0.1834403536406547</v>
      </c>
      <c r="H42">
        <f t="shared" ca="1" si="1"/>
        <v>0.12827283126188604</v>
      </c>
    </row>
    <row r="43" spans="1:8" x14ac:dyDescent="0.3">
      <c r="A43" t="s">
        <v>109</v>
      </c>
      <c r="B43">
        <f>PARS!B43*$I$7+G43*(1-$I$7)*C43+(1-G43)*(1-$I$7)*D43</f>
        <v>1600</v>
      </c>
      <c r="C43">
        <f>PARS!C43</f>
        <v>0</v>
      </c>
      <c r="D43">
        <f>PARS!D43</f>
        <v>0</v>
      </c>
      <c r="E43" t="b">
        <f t="shared" si="0"/>
        <v>0</v>
      </c>
      <c r="F43">
        <f>VLOOKUP(A43,PARS!A:X,19,0)</f>
        <v>0</v>
      </c>
      <c r="G43">
        <v>0.78294488432759923</v>
      </c>
      <c r="H43">
        <f t="shared" ca="1" si="1"/>
        <v>0.2617489326689495</v>
      </c>
    </row>
    <row r="44" spans="1:8" x14ac:dyDescent="0.3">
      <c r="A44" t="s">
        <v>89</v>
      </c>
      <c r="B44">
        <f>PARS!B44*$I$7+G44*(1-$I$7)*C44+(1-G44)*(1-$I$7)*D44</f>
        <v>0.8</v>
      </c>
      <c r="C44">
        <f>PARS!C44</f>
        <v>0</v>
      </c>
      <c r="D44">
        <f>PARS!D44</f>
        <v>0</v>
      </c>
      <c r="E44" t="b">
        <f t="shared" si="0"/>
        <v>0</v>
      </c>
      <c r="F44">
        <f>VLOOKUP(A44,PARS!A:X,19,0)</f>
        <v>0</v>
      </c>
      <c r="G44">
        <v>0.87463241858760121</v>
      </c>
      <c r="H44">
        <f t="shared" ca="1" si="1"/>
        <v>0.79975568988654022</v>
      </c>
    </row>
    <row r="45" spans="1:8" x14ac:dyDescent="0.3">
      <c r="A45" t="s">
        <v>90</v>
      </c>
      <c r="B45">
        <f>PARS!B45*$I$7+G45*(1-$I$7)*C45+(1-G45)*(1-$I$7)*D45</f>
        <v>0.11592000000000001</v>
      </c>
      <c r="C45">
        <f>PARS!C45</f>
        <v>0</v>
      </c>
      <c r="D45">
        <f>PARS!D45</f>
        <v>0</v>
      </c>
      <c r="E45" t="b">
        <f t="shared" si="0"/>
        <v>0</v>
      </c>
      <c r="F45">
        <f>VLOOKUP(A45,PARS!A:X,19,0)</f>
        <v>0</v>
      </c>
      <c r="G45">
        <v>0.21688465275193025</v>
      </c>
      <c r="H45">
        <f t="shared" ca="1" si="1"/>
        <v>0.19249436799568664</v>
      </c>
    </row>
    <row r="46" spans="1:8" x14ac:dyDescent="0.3">
      <c r="A46" t="s">
        <v>100</v>
      </c>
      <c r="B46">
        <f>PARS!B46*$I$7+G46*(1-$I$7)*C46+(1-G46)*(1-$I$7)*D46</f>
        <v>0.11592000000000001</v>
      </c>
      <c r="C46">
        <f>PARS!C46</f>
        <v>0</v>
      </c>
      <c r="D46">
        <f>PARS!D46</f>
        <v>0</v>
      </c>
      <c r="E46" t="b">
        <f t="shared" si="0"/>
        <v>0</v>
      </c>
      <c r="F46">
        <f>VLOOKUP(A46,PARS!A:X,19,0)</f>
        <v>0</v>
      </c>
      <c r="G46">
        <v>3.2051223423599673E-2</v>
      </c>
      <c r="H46">
        <f t="shared" ca="1" si="1"/>
        <v>0.29519117616666823</v>
      </c>
    </row>
    <row r="47" spans="1:8" x14ac:dyDescent="0.3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0.69617774212200978</v>
      </c>
    </row>
    <row r="48" spans="1:8" x14ac:dyDescent="0.3">
      <c r="A48" t="s">
        <v>245</v>
      </c>
      <c r="B48">
        <f>PARS!B48*$I$7+G48*(1-$I$7)*C48+(1-G48)*(1-$I$7)*D48</f>
        <v>0</v>
      </c>
      <c r="C48">
        <f>PARS!C48</f>
        <v>0</v>
      </c>
      <c r="D48">
        <f>PARS!D48</f>
        <v>0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2.8551785527216489E-2</v>
      </c>
    </row>
    <row r="49" spans="1:8" x14ac:dyDescent="0.3">
      <c r="A49" t="s">
        <v>247</v>
      </c>
      <c r="B49">
        <f>PARS!B49*$I$7+G49*(1-$I$7)*C49+(1-G49)*(1-$I$7)*D49</f>
        <v>2.9600000000000004</v>
      </c>
      <c r="C49">
        <f>PARS!C49</f>
        <v>0</v>
      </c>
      <c r="D49">
        <f>PARS!D49</f>
        <v>0</v>
      </c>
      <c r="E49" t="b">
        <f t="shared" si="0"/>
        <v>0</v>
      </c>
      <c r="F49">
        <f>VLOOKUP(A49,PARS!A:X,19,0)</f>
        <v>0</v>
      </c>
      <c r="G49">
        <v>0.53305550257061785</v>
      </c>
      <c r="H49">
        <f t="shared" ca="1" si="1"/>
        <v>0.54217033062510667</v>
      </c>
    </row>
    <row r="50" spans="1:8" x14ac:dyDescent="0.3">
      <c r="A50" t="s">
        <v>178</v>
      </c>
      <c r="B50">
        <f>PARS!B50*$I$7+G50*(1-$I$7)*C50+(1-G50)*(1-$I$7)*D50</f>
        <v>0</v>
      </c>
      <c r="C50">
        <f>PARS!C50</f>
        <v>0</v>
      </c>
      <c r="D50">
        <f>PARS!D50</f>
        <v>0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0.80926087293860027</v>
      </c>
    </row>
    <row r="51" spans="1:8" x14ac:dyDescent="0.3">
      <c r="A51" t="s">
        <v>179</v>
      </c>
      <c r="B51">
        <f>PARS!B51*$I$7+G51*(1-$I$7)*C51+(1-G51)*(1-$I$7)*D51</f>
        <v>0.8188936</v>
      </c>
      <c r="C51">
        <f>PARS!C51</f>
        <v>0</v>
      </c>
      <c r="D51">
        <f>PARS!D51</f>
        <v>0</v>
      </c>
      <c r="E51" t="b">
        <f t="shared" si="0"/>
        <v>0</v>
      </c>
      <c r="F51">
        <f>VLOOKUP(A51,PARS!A:X,19,0)</f>
        <v>0</v>
      </c>
      <c r="G51">
        <v>0.72199519468706974</v>
      </c>
      <c r="H51">
        <f t="shared" ca="1" si="1"/>
        <v>3.7393373126555107E-2</v>
      </c>
    </row>
    <row r="52" spans="1:8" x14ac:dyDescent="0.3">
      <c r="A52" t="s">
        <v>180</v>
      </c>
      <c r="B52">
        <f>PARS!B52*$I$7+G52*(1-$I$7)*C52+(1-G52)*(1-$I$7)*D52</f>
        <v>0.7435944000000001</v>
      </c>
      <c r="C52">
        <f>PARS!C52</f>
        <v>0</v>
      </c>
      <c r="D52">
        <f>PARS!D52</f>
        <v>0</v>
      </c>
      <c r="E52" t="b">
        <f t="shared" ref="E52" si="4">AND(D52&gt;=B52,B52&gt;=C52,D52&gt;=C52)</f>
        <v>0</v>
      </c>
      <c r="F52">
        <v>0</v>
      </c>
      <c r="G52">
        <v>0.44541917682181709</v>
      </c>
      <c r="H52">
        <f t="shared" ca="1" si="1"/>
        <v>0.16380565576186856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AB61"/>
  <sheetViews>
    <sheetView tabSelected="1" zoomScale="96" zoomScaleNormal="96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13" sqref="F13"/>
    </sheetView>
  </sheetViews>
  <sheetFormatPr defaultRowHeight="14.4" x14ac:dyDescent="0.3"/>
  <cols>
    <col min="2" max="4" width="21.88671875" bestFit="1" customWidth="1"/>
    <col min="5" max="5" width="25.44140625" style="15" customWidth="1"/>
    <col min="6" max="6" width="7.77734375" customWidth="1"/>
    <col min="7" max="7" width="7.33203125" customWidth="1"/>
    <col min="24" max="24" width="19.5546875" customWidth="1"/>
    <col min="27" max="27" width="12.21875" bestFit="1" customWidth="1"/>
    <col min="28" max="28" width="18.44140625" bestFit="1" customWidth="1"/>
  </cols>
  <sheetData>
    <row r="1" spans="1:27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">
      <c r="A2" t="s">
        <v>70</v>
      </c>
      <c r="B2">
        <v>0.99764673942462401</v>
      </c>
      <c r="C2">
        <f>LN(F2)</f>
        <v>-6.9077552789821368</v>
      </c>
      <c r="D2">
        <f>LN(G2)</f>
        <v>2.341805806147327</v>
      </c>
      <c r="E2" s="15">
        <f t="shared" ref="E2:E14" si="0">X2</f>
        <v>2.7118925237973301</v>
      </c>
      <c r="F2">
        <v>1E-3</v>
      </c>
      <c r="G2">
        <v>10.4</v>
      </c>
      <c r="H2">
        <v>0.1</v>
      </c>
      <c r="I2">
        <v>4.0999999999999996</v>
      </c>
      <c r="J2">
        <f>1/E2</f>
        <v>0.36874617678422927</v>
      </c>
      <c r="K2">
        <v>1</v>
      </c>
      <c r="L2">
        <v>1</v>
      </c>
      <c r="P2">
        <f t="shared" ref="P2:P33" si="1">SUM(L2:O2)</f>
        <v>1</v>
      </c>
      <c r="S2">
        <f t="shared" ref="S2:S48" si="2">L2-Q2</f>
        <v>1</v>
      </c>
      <c r="T2">
        <v>0</v>
      </c>
      <c r="U2">
        <f t="shared" ref="U2:U48" si="3">S2+N2+Q2+M2</f>
        <v>1</v>
      </c>
      <c r="V2">
        <f t="shared" ref="V2:V33" si="4">U2-N2</f>
        <v>1</v>
      </c>
      <c r="W2">
        <f t="shared" ref="W2:W20" si="5">U2-N2</f>
        <v>1</v>
      </c>
      <c r="X2">
        <f>EXP(B2)</f>
        <v>2.7118925237973301</v>
      </c>
    </row>
    <row r="3" spans="1:27" x14ac:dyDescent="0.3">
      <c r="A3" t="s">
        <v>67</v>
      </c>
      <c r="B3">
        <v>0.89480390637532103</v>
      </c>
      <c r="C3">
        <f>LN(F3/10)</f>
        <v>0.74193734472937733</v>
      </c>
      <c r="D3">
        <f>LN(G3/10)</f>
        <v>0.99325177301028345</v>
      </c>
      <c r="E3" s="15">
        <f t="shared" si="0"/>
        <v>24.468559295668197</v>
      </c>
      <c r="F3">
        <v>21</v>
      </c>
      <c r="G3">
        <v>27</v>
      </c>
      <c r="H3">
        <v>4</v>
      </c>
      <c r="I3">
        <v>4</v>
      </c>
      <c r="J3">
        <f>1/E3</f>
        <v>4.0868773184248551E-2</v>
      </c>
      <c r="K3">
        <v>1</v>
      </c>
      <c r="L3">
        <v>1</v>
      </c>
      <c r="P3">
        <f t="shared" si="1"/>
        <v>1</v>
      </c>
      <c r="S3">
        <f t="shared" si="2"/>
        <v>1</v>
      </c>
      <c r="T3">
        <v>0</v>
      </c>
      <c r="U3">
        <f t="shared" si="3"/>
        <v>1</v>
      </c>
      <c r="V3">
        <f t="shared" si="4"/>
        <v>1</v>
      </c>
      <c r="W3">
        <f t="shared" si="5"/>
        <v>1</v>
      </c>
      <c r="X3">
        <f>EXP(B3)*10</f>
        <v>24.468559295668197</v>
      </c>
    </row>
    <row r="4" spans="1:27" x14ac:dyDescent="0.3">
      <c r="A4" t="s">
        <v>78</v>
      </c>
      <c r="B4">
        <v>3.9884274379650999</v>
      </c>
      <c r="C4">
        <f>1-LN(1/(F4-1) -1)</f>
        <v>-1.1972245773362182</v>
      </c>
      <c r="D4">
        <f>1-LN(1/(G4-1) -1)</f>
        <v>7.9067547786486871</v>
      </c>
      <c r="E4" s="15">
        <f t="shared" si="0"/>
        <v>1.9520485704192854</v>
      </c>
      <c r="F4">
        <v>1.1000000000000001</v>
      </c>
      <c r="G4">
        <v>1.9990000000000001</v>
      </c>
      <c r="H4">
        <v>4</v>
      </c>
      <c r="I4">
        <v>4</v>
      </c>
      <c r="J4">
        <f>1/((2-E4)*(E4-1))</f>
        <v>21.904802176568616</v>
      </c>
      <c r="L4">
        <v>1</v>
      </c>
      <c r="P4">
        <f t="shared" si="1"/>
        <v>1</v>
      </c>
      <c r="S4">
        <f t="shared" si="2"/>
        <v>1</v>
      </c>
      <c r="T4">
        <v>0</v>
      </c>
      <c r="U4">
        <f t="shared" si="3"/>
        <v>1</v>
      </c>
      <c r="V4">
        <f t="shared" si="4"/>
        <v>1</v>
      </c>
      <c r="W4">
        <f t="shared" si="5"/>
        <v>1</v>
      </c>
      <c r="X4">
        <f>1+1/(1+EXP(-(B4-1)))</f>
        <v>1.9520485704192854</v>
      </c>
    </row>
    <row r="5" spans="1:27" x14ac:dyDescent="0.3">
      <c r="A5" t="s">
        <v>82</v>
      </c>
      <c r="B5">
        <v>1.5924995553218699</v>
      </c>
      <c r="C5">
        <f>LN(F5)</f>
        <v>0.58778666490211906</v>
      </c>
      <c r="D5">
        <f>LN(G5)</f>
        <v>2.3025850929940459</v>
      </c>
      <c r="E5" s="15">
        <f t="shared" si="0"/>
        <v>4.9160214515932923</v>
      </c>
      <c r="F5">
        <v>1.8</v>
      </c>
      <c r="G5">
        <v>10</v>
      </c>
      <c r="H5">
        <v>4.01</v>
      </c>
      <c r="I5">
        <v>5.0199999999999996</v>
      </c>
      <c r="J5">
        <f>1/E5</f>
        <v>0.20341652489654982</v>
      </c>
      <c r="K5">
        <v>1</v>
      </c>
      <c r="L5">
        <v>1</v>
      </c>
      <c r="P5">
        <f t="shared" si="1"/>
        <v>1</v>
      </c>
      <c r="R5">
        <v>1</v>
      </c>
      <c r="S5">
        <f t="shared" si="2"/>
        <v>1</v>
      </c>
      <c r="T5">
        <v>0</v>
      </c>
      <c r="U5">
        <f t="shared" si="3"/>
        <v>1</v>
      </c>
      <c r="V5">
        <f t="shared" si="4"/>
        <v>1</v>
      </c>
      <c r="W5">
        <f t="shared" si="5"/>
        <v>1</v>
      </c>
      <c r="X5">
        <f>EXP(B5)</f>
        <v>4.9160214515932923</v>
      </c>
    </row>
    <row r="6" spans="1:27" x14ac:dyDescent="0.3">
      <c r="A6" t="s">
        <v>85</v>
      </c>
      <c r="B6">
        <v>0.88460225834958095</v>
      </c>
      <c r="C6">
        <f>LN(F6)</f>
        <v>0</v>
      </c>
      <c r="D6">
        <f>LN(G6)</f>
        <v>2.3025850929940459</v>
      </c>
      <c r="E6" s="15">
        <f t="shared" si="0"/>
        <v>2.4220208613054854</v>
      </c>
      <c r="F6">
        <v>1</v>
      </c>
      <c r="G6">
        <v>10</v>
      </c>
      <c r="H6">
        <v>4.0199999999999996</v>
      </c>
      <c r="I6">
        <v>5.01</v>
      </c>
      <c r="J6">
        <f>1/E6</f>
        <v>0.41287835954517471</v>
      </c>
      <c r="K6">
        <v>1</v>
      </c>
      <c r="L6">
        <v>1</v>
      </c>
      <c r="P6">
        <f t="shared" si="1"/>
        <v>1</v>
      </c>
      <c r="S6">
        <f t="shared" si="2"/>
        <v>1</v>
      </c>
      <c r="T6">
        <v>0</v>
      </c>
      <c r="U6">
        <f t="shared" si="3"/>
        <v>1</v>
      </c>
      <c r="V6">
        <f t="shared" si="4"/>
        <v>1</v>
      </c>
      <c r="W6">
        <f t="shared" si="5"/>
        <v>1</v>
      </c>
      <c r="X6">
        <f>EXP(B6)</f>
        <v>2.4220208613054854</v>
      </c>
    </row>
    <row r="7" spans="1:27" x14ac:dyDescent="0.3">
      <c r="A7" t="s">
        <v>189</v>
      </c>
      <c r="B7">
        <v>-0.18050373460861199</v>
      </c>
      <c r="C7">
        <f>F7</f>
        <v>-0.35</v>
      </c>
      <c r="D7">
        <f>G7</f>
        <v>0.05</v>
      </c>
      <c r="E7" s="15">
        <f t="shared" si="0"/>
        <v>-0.18050373460861199</v>
      </c>
      <c r="F7">
        <f>-0.35</f>
        <v>-0.35</v>
      </c>
      <c r="G7">
        <v>0.05</v>
      </c>
      <c r="H7">
        <v>4.0510000000000002</v>
      </c>
      <c r="I7">
        <v>4</v>
      </c>
      <c r="J7">
        <f>1</f>
        <v>1</v>
      </c>
      <c r="L7">
        <v>1</v>
      </c>
      <c r="P7">
        <f t="shared" si="1"/>
        <v>1</v>
      </c>
      <c r="S7">
        <f t="shared" si="2"/>
        <v>1</v>
      </c>
      <c r="T7">
        <v>1</v>
      </c>
      <c r="U7">
        <f t="shared" si="3"/>
        <v>1</v>
      </c>
      <c r="V7">
        <f t="shared" si="4"/>
        <v>1</v>
      </c>
      <c r="W7">
        <f t="shared" si="5"/>
        <v>1</v>
      </c>
      <c r="X7">
        <f>B7</f>
        <v>-0.18050373460861199</v>
      </c>
    </row>
    <row r="8" spans="1:27" x14ac:dyDescent="0.3">
      <c r="A8" t="s">
        <v>80</v>
      </c>
      <c r="B8">
        <v>0.10465686243403</v>
      </c>
      <c r="C8">
        <f>F8</f>
        <v>0</v>
      </c>
      <c r="D8">
        <f>G8</f>
        <v>0.5</v>
      </c>
      <c r="E8" s="15">
        <f t="shared" si="0"/>
        <v>0.10465686243403</v>
      </c>
      <c r="F8">
        <v>0</v>
      </c>
      <c r="G8">
        <v>0.5</v>
      </c>
      <c r="H8">
        <v>4.0529999999999999</v>
      </c>
      <c r="I8">
        <v>4</v>
      </c>
      <c r="J8">
        <f>1</f>
        <v>1</v>
      </c>
      <c r="L8">
        <v>1</v>
      </c>
      <c r="P8">
        <f t="shared" si="1"/>
        <v>1</v>
      </c>
      <c r="S8">
        <f t="shared" si="2"/>
        <v>1</v>
      </c>
      <c r="T8">
        <v>1</v>
      </c>
      <c r="U8">
        <f t="shared" si="3"/>
        <v>1</v>
      </c>
      <c r="V8">
        <f t="shared" si="4"/>
        <v>1</v>
      </c>
      <c r="W8">
        <f t="shared" si="5"/>
        <v>1</v>
      </c>
      <c r="X8">
        <f>B8</f>
        <v>0.10465686243403</v>
      </c>
    </row>
    <row r="9" spans="1:27" x14ac:dyDescent="0.3">
      <c r="A9" t="s">
        <v>81</v>
      </c>
      <c r="B9">
        <v>-1.0885052113448099</v>
      </c>
      <c r="C9">
        <f t="shared" ref="C9:D12" si="6">LN(F9)</f>
        <v>-1.6094379124341003</v>
      </c>
      <c r="D9">
        <f t="shared" si="6"/>
        <v>0.69314718055994529</v>
      </c>
      <c r="E9" s="15">
        <f t="shared" si="0"/>
        <v>0.33671944211435217</v>
      </c>
      <c r="F9">
        <v>0.2</v>
      </c>
      <c r="G9">
        <v>2</v>
      </c>
      <c r="H9">
        <v>4.0549999999999997</v>
      </c>
      <c r="I9">
        <v>4</v>
      </c>
      <c r="J9">
        <f>1/E9</f>
        <v>2.9698314826157062</v>
      </c>
      <c r="K9">
        <v>1</v>
      </c>
      <c r="L9">
        <v>1</v>
      </c>
      <c r="P9">
        <f t="shared" si="1"/>
        <v>1</v>
      </c>
      <c r="S9">
        <f t="shared" si="2"/>
        <v>1</v>
      </c>
      <c r="T9">
        <v>0</v>
      </c>
      <c r="U9">
        <f t="shared" si="3"/>
        <v>1</v>
      </c>
      <c r="V9">
        <f t="shared" si="4"/>
        <v>1</v>
      </c>
      <c r="W9">
        <f t="shared" si="5"/>
        <v>1</v>
      </c>
      <c r="X9">
        <f>EXP(B9)</f>
        <v>0.33671944211435217</v>
      </c>
    </row>
    <row r="10" spans="1:27" x14ac:dyDescent="0.3">
      <c r="A10" t="s">
        <v>95</v>
      </c>
      <c r="B10">
        <v>-0.99547769679109299</v>
      </c>
      <c r="C10">
        <f t="shared" si="6"/>
        <v>-2.9957322735539909</v>
      </c>
      <c r="D10">
        <f t="shared" si="6"/>
        <v>0</v>
      </c>
      <c r="E10" s="15">
        <f t="shared" si="0"/>
        <v>0.36954687101866945</v>
      </c>
      <c r="F10">
        <v>0.05</v>
      </c>
      <c r="G10">
        <v>1</v>
      </c>
      <c r="H10">
        <v>4.0999999999999996</v>
      </c>
      <c r="I10">
        <v>4.0999999999999996</v>
      </c>
      <c r="J10">
        <f>1/E10</f>
        <v>2.7060166880684537</v>
      </c>
      <c r="K10">
        <v>1</v>
      </c>
      <c r="L10">
        <v>1</v>
      </c>
      <c r="P10">
        <f t="shared" si="1"/>
        <v>1</v>
      </c>
      <c r="S10">
        <f t="shared" si="2"/>
        <v>1</v>
      </c>
      <c r="T10">
        <v>0</v>
      </c>
      <c r="U10">
        <f t="shared" si="3"/>
        <v>1</v>
      </c>
      <c r="V10">
        <f t="shared" si="4"/>
        <v>1</v>
      </c>
      <c r="W10">
        <f t="shared" si="5"/>
        <v>1</v>
      </c>
      <c r="X10">
        <f>EXP(B10)</f>
        <v>0.36954687101866945</v>
      </c>
    </row>
    <row r="11" spans="1:27" x14ac:dyDescent="0.3">
      <c r="A11" t="s">
        <v>91</v>
      </c>
      <c r="B11">
        <v>0.19344349934520899</v>
      </c>
      <c r="C11">
        <f t="shared" si="6"/>
        <v>-0.16251892949777494</v>
      </c>
      <c r="D11">
        <f t="shared" si="6"/>
        <v>0.40546510810816438</v>
      </c>
      <c r="E11" s="15">
        <f t="shared" si="0"/>
        <v>1.2134208255434669</v>
      </c>
      <c r="F11">
        <v>0.85</v>
      </c>
      <c r="G11">
        <v>1.5</v>
      </c>
      <c r="H11">
        <v>5.1100000000000003</v>
      </c>
      <c r="I11">
        <v>1.1000000000000001</v>
      </c>
      <c r="J11">
        <f>1/E11</f>
        <v>0.82411639799582315</v>
      </c>
      <c r="K11">
        <v>1</v>
      </c>
      <c r="L11">
        <v>1</v>
      </c>
      <c r="P11">
        <f t="shared" si="1"/>
        <v>1</v>
      </c>
      <c r="S11">
        <f t="shared" si="2"/>
        <v>1</v>
      </c>
      <c r="T11">
        <v>0</v>
      </c>
      <c r="U11">
        <f t="shared" si="3"/>
        <v>1</v>
      </c>
      <c r="V11">
        <f t="shared" si="4"/>
        <v>1</v>
      </c>
      <c r="W11">
        <f t="shared" si="5"/>
        <v>1</v>
      </c>
      <c r="X11">
        <f>EXP(B11)</f>
        <v>1.2134208255434669</v>
      </c>
    </row>
    <row r="12" spans="1:27" x14ac:dyDescent="0.3">
      <c r="A12" t="s">
        <v>92</v>
      </c>
      <c r="B12" s="22">
        <v>0.72858791149304403</v>
      </c>
      <c r="C12">
        <f t="shared" si="6"/>
        <v>0.40546510810816438</v>
      </c>
      <c r="D12">
        <f t="shared" si="6"/>
        <v>1.2527629684953681</v>
      </c>
      <c r="E12" s="15">
        <f t="shared" si="0"/>
        <v>2.0721524780726535</v>
      </c>
      <c r="F12">
        <v>1.5</v>
      </c>
      <c r="G12">
        <v>3.5</v>
      </c>
      <c r="H12">
        <v>5.12</v>
      </c>
      <c r="I12">
        <v>1.1000000000000001</v>
      </c>
      <c r="J12">
        <f>1/E12</f>
        <v>0.48258996892454464</v>
      </c>
      <c r="L12">
        <v>1</v>
      </c>
      <c r="P12">
        <f t="shared" si="1"/>
        <v>1</v>
      </c>
      <c r="R12">
        <v>1</v>
      </c>
      <c r="S12">
        <f t="shared" si="2"/>
        <v>1</v>
      </c>
      <c r="T12">
        <v>0</v>
      </c>
      <c r="U12">
        <f t="shared" si="3"/>
        <v>1</v>
      </c>
      <c r="V12">
        <f t="shared" si="4"/>
        <v>1</v>
      </c>
      <c r="W12">
        <f t="shared" si="5"/>
        <v>1</v>
      </c>
      <c r="X12">
        <f>EXP(B12)</f>
        <v>2.0721524780726535</v>
      </c>
    </row>
    <row r="13" spans="1:27" x14ac:dyDescent="0.3">
      <c r="A13" t="s">
        <v>76</v>
      </c>
      <c r="B13">
        <v>-1.4605138180998201</v>
      </c>
      <c r="C13">
        <f>LN(-F13)</f>
        <v>-1.6094379124341003</v>
      </c>
      <c r="D13">
        <f>LN(-G13)</f>
        <v>-1.3862943611198906</v>
      </c>
      <c r="E13" s="15">
        <f t="shared" si="0"/>
        <v>-0.23211697817935592</v>
      </c>
      <c r="F13">
        <v>-0.2</v>
      </c>
      <c r="G13">
        <v>-0.25</v>
      </c>
      <c r="H13">
        <v>5.4</v>
      </c>
      <c r="I13">
        <v>1.4</v>
      </c>
      <c r="J13">
        <f>1/E13</f>
        <v>-4.3081725767914474</v>
      </c>
      <c r="L13">
        <v>1</v>
      </c>
      <c r="P13">
        <f t="shared" si="1"/>
        <v>1</v>
      </c>
      <c r="R13">
        <v>1</v>
      </c>
      <c r="S13">
        <f t="shared" si="2"/>
        <v>1</v>
      </c>
      <c r="T13">
        <v>0</v>
      </c>
      <c r="U13">
        <f t="shared" si="3"/>
        <v>1</v>
      </c>
      <c r="V13">
        <f t="shared" si="4"/>
        <v>1</v>
      </c>
      <c r="W13">
        <f t="shared" si="5"/>
        <v>1</v>
      </c>
      <c r="X13">
        <f>-EXP(B13)</f>
        <v>-0.23211697817935592</v>
      </c>
    </row>
    <row r="14" spans="1:27" x14ac:dyDescent="0.3">
      <c r="A14" t="s">
        <v>83</v>
      </c>
      <c r="B14">
        <v>0.50501025734424898</v>
      </c>
      <c r="C14">
        <f>-LN(1/F14 -1)</f>
        <v>-1.3862943611198906</v>
      </c>
      <c r="D14">
        <f>-LN(1/G14 -1)</f>
        <v>6.9067547786484651</v>
      </c>
      <c r="E14" s="15">
        <f t="shared" si="0"/>
        <v>0.62363603584491722</v>
      </c>
      <c r="F14">
        <v>0.2</v>
      </c>
      <c r="G14">
        <v>0.999</v>
      </c>
      <c r="H14">
        <v>6</v>
      </c>
      <c r="I14">
        <v>5.03</v>
      </c>
      <c r="J14">
        <f>1/(E14*(1-E14))</f>
        <v>4.2605019019132637</v>
      </c>
      <c r="L14">
        <v>1</v>
      </c>
      <c r="P14">
        <f t="shared" si="1"/>
        <v>1</v>
      </c>
      <c r="S14">
        <f t="shared" si="2"/>
        <v>1</v>
      </c>
      <c r="T14">
        <v>1</v>
      </c>
      <c r="U14">
        <f t="shared" si="3"/>
        <v>1</v>
      </c>
      <c r="V14">
        <f t="shared" si="4"/>
        <v>1</v>
      </c>
      <c r="W14">
        <f t="shared" si="5"/>
        <v>1</v>
      </c>
      <c r="X14">
        <f>1/(1+EXP(-B14))</f>
        <v>0.62363603584491722</v>
      </c>
    </row>
    <row r="15" spans="1:27" x14ac:dyDescent="0.3">
      <c r="A15" t="s">
        <v>86</v>
      </c>
      <c r="B15" s="3">
        <v>0.24085606632549</v>
      </c>
      <c r="C15">
        <f>F15</f>
        <v>0</v>
      </c>
      <c r="D15">
        <f>G15</f>
        <v>2</v>
      </c>
      <c r="E15" s="15">
        <f>B15</f>
        <v>0.24085606632549</v>
      </c>
      <c r="F15">
        <v>0</v>
      </c>
      <c r="G15">
        <v>2</v>
      </c>
      <c r="H15">
        <v>6.0049999999999999</v>
      </c>
      <c r="I15">
        <v>6</v>
      </c>
      <c r="J15">
        <f>1</f>
        <v>1</v>
      </c>
      <c r="K15">
        <v>1</v>
      </c>
      <c r="L15">
        <v>1</v>
      </c>
      <c r="P15">
        <f t="shared" si="1"/>
        <v>1</v>
      </c>
      <c r="S15">
        <f t="shared" si="2"/>
        <v>1</v>
      </c>
      <c r="T15">
        <v>1</v>
      </c>
      <c r="U15">
        <f t="shared" si="3"/>
        <v>1</v>
      </c>
      <c r="V15">
        <f t="shared" si="4"/>
        <v>1</v>
      </c>
      <c r="W15">
        <f t="shared" si="5"/>
        <v>1</v>
      </c>
      <c r="X15">
        <f>B15</f>
        <v>0.24085606632549</v>
      </c>
    </row>
    <row r="16" spans="1:27" x14ac:dyDescent="0.3">
      <c r="A16" t="s">
        <v>87</v>
      </c>
      <c r="B16">
        <v>-0.99677828313049399</v>
      </c>
      <c r="C16">
        <f t="shared" ref="C16:D18" si="7">LN(F16)</f>
        <v>-2.3025850929940455</v>
      </c>
      <c r="D16">
        <f t="shared" si="7"/>
        <v>0.40546510810816438</v>
      </c>
      <c r="E16" s="15">
        <f>X16</f>
        <v>0.3690665558198527</v>
      </c>
      <c r="F16">
        <v>0.1</v>
      </c>
      <c r="G16">
        <v>1.5</v>
      </c>
      <c r="H16">
        <v>6.01</v>
      </c>
      <c r="I16">
        <v>6</v>
      </c>
      <c r="J16">
        <f>1/E16</f>
        <v>2.709538386046868</v>
      </c>
      <c r="K16">
        <v>1</v>
      </c>
      <c r="L16">
        <v>1</v>
      </c>
      <c r="P16">
        <f t="shared" si="1"/>
        <v>1</v>
      </c>
      <c r="S16">
        <f t="shared" si="2"/>
        <v>1</v>
      </c>
      <c r="T16">
        <v>1</v>
      </c>
      <c r="U16">
        <f t="shared" si="3"/>
        <v>1</v>
      </c>
      <c r="V16">
        <f t="shared" si="4"/>
        <v>1</v>
      </c>
      <c r="W16">
        <f t="shared" si="5"/>
        <v>1</v>
      </c>
      <c r="X16">
        <f>EXP(B16)</f>
        <v>0.3690665558198527</v>
      </c>
    </row>
    <row r="17" spans="1:28" x14ac:dyDescent="0.3">
      <c r="A17" t="s">
        <v>88</v>
      </c>
      <c r="B17">
        <v>1.71227865973578</v>
      </c>
      <c r="C17">
        <f t="shared" si="7"/>
        <v>-6.9077552789821368</v>
      </c>
      <c r="D17">
        <f t="shared" si="7"/>
        <v>4.6051701859880918</v>
      </c>
      <c r="E17" s="15">
        <f>X17</f>
        <v>5.5415744644187992</v>
      </c>
      <c r="F17">
        <v>1E-3</v>
      </c>
      <c r="G17">
        <v>100</v>
      </c>
      <c r="H17">
        <v>6.02</v>
      </c>
      <c r="I17">
        <v>6</v>
      </c>
      <c r="J17">
        <f>1/E17</f>
        <v>0.18045413021529796</v>
      </c>
      <c r="K17">
        <v>1</v>
      </c>
      <c r="L17">
        <v>1</v>
      </c>
      <c r="P17">
        <f t="shared" si="1"/>
        <v>1</v>
      </c>
      <c r="S17">
        <f t="shared" si="2"/>
        <v>1</v>
      </c>
      <c r="T17">
        <v>0</v>
      </c>
      <c r="U17">
        <f t="shared" si="3"/>
        <v>1</v>
      </c>
      <c r="V17">
        <f t="shared" si="4"/>
        <v>1</v>
      </c>
      <c r="W17">
        <f t="shared" si="5"/>
        <v>1</v>
      </c>
      <c r="X17">
        <f>EXP(B17)</f>
        <v>5.5415744644187992</v>
      </c>
    </row>
    <row r="18" spans="1:28" x14ac:dyDescent="0.3">
      <c r="A18" t="s">
        <v>101</v>
      </c>
      <c r="B18">
        <v>2.0039828232760502</v>
      </c>
      <c r="C18">
        <f t="shared" si="7"/>
        <v>-6.9077552789821368</v>
      </c>
      <c r="D18">
        <f t="shared" si="7"/>
        <v>4.6051701859880918</v>
      </c>
      <c r="E18" s="15">
        <f>X18</f>
        <v>7.4185440872923563</v>
      </c>
      <c r="F18">
        <v>1E-3</v>
      </c>
      <c r="G18">
        <v>100</v>
      </c>
      <c r="H18">
        <v>6.03</v>
      </c>
      <c r="I18">
        <v>6</v>
      </c>
      <c r="J18">
        <f>1/E18</f>
        <v>0.13479733870058905</v>
      </c>
      <c r="K18">
        <v>1</v>
      </c>
      <c r="L18">
        <v>1</v>
      </c>
      <c r="P18">
        <f t="shared" si="1"/>
        <v>1</v>
      </c>
      <c r="S18">
        <f t="shared" si="2"/>
        <v>1</v>
      </c>
      <c r="T18">
        <v>0</v>
      </c>
      <c r="U18">
        <f t="shared" si="3"/>
        <v>1</v>
      </c>
      <c r="V18">
        <f t="shared" si="4"/>
        <v>1</v>
      </c>
      <c r="W18">
        <f t="shared" si="5"/>
        <v>1</v>
      </c>
      <c r="X18">
        <f>EXP(B18)</f>
        <v>7.4185440872923563</v>
      </c>
    </row>
    <row r="19" spans="1:28" x14ac:dyDescent="0.3">
      <c r="A19" s="5" t="s">
        <v>68</v>
      </c>
      <c r="B19">
        <v>0.19920026416348099</v>
      </c>
      <c r="C19">
        <f>-LN(1/F19 -1)</f>
        <v>-4.0005334613699206E-2</v>
      </c>
      <c r="D19">
        <f>-LN(1/G19 -1)</f>
        <v>0.24116205681688824</v>
      </c>
      <c r="E19" s="15">
        <f>X19</f>
        <v>0.54963604156036339</v>
      </c>
      <c r="F19">
        <v>0.49</v>
      </c>
      <c r="G19">
        <v>0.56000000000000005</v>
      </c>
      <c r="H19">
        <v>86</v>
      </c>
      <c r="I19">
        <v>87</v>
      </c>
      <c r="J19">
        <f>1/(E19*(1-E19))</f>
        <v>4.0398121323826839</v>
      </c>
      <c r="K19">
        <v>1</v>
      </c>
      <c r="L19">
        <v>1</v>
      </c>
      <c r="P19">
        <f t="shared" si="1"/>
        <v>1</v>
      </c>
      <c r="S19">
        <f t="shared" si="2"/>
        <v>1</v>
      </c>
      <c r="T19">
        <v>0</v>
      </c>
      <c r="U19">
        <f t="shared" si="3"/>
        <v>1</v>
      </c>
      <c r="V19">
        <f t="shared" si="4"/>
        <v>1</v>
      </c>
      <c r="W19">
        <f t="shared" si="5"/>
        <v>1</v>
      </c>
      <c r="X19">
        <f>1/(1+EXP(-B19))</f>
        <v>0.54963604156036339</v>
      </c>
    </row>
    <row r="20" spans="1:28" x14ac:dyDescent="0.3">
      <c r="A20" t="s">
        <v>73</v>
      </c>
      <c r="B20">
        <v>-1.6272247041349499</v>
      </c>
      <c r="C20">
        <f>LN(F20)</f>
        <v>-1.8971199848858813</v>
      </c>
      <c r="D20">
        <f>LN(G20)</f>
        <v>-1.0498221244986778</v>
      </c>
      <c r="E20" s="15">
        <f>X20</f>
        <v>0.19647409191330356</v>
      </c>
      <c r="F20">
        <v>0.15</v>
      </c>
      <c r="G20">
        <v>0.35</v>
      </c>
      <c r="H20">
        <v>990</v>
      </c>
      <c r="I20">
        <v>1.1000000000000001</v>
      </c>
      <c r="J20">
        <f>1/E20</f>
        <v>5.0897295936670437</v>
      </c>
      <c r="L20">
        <v>1</v>
      </c>
      <c r="P20">
        <f t="shared" si="1"/>
        <v>1</v>
      </c>
      <c r="R20">
        <v>1</v>
      </c>
      <c r="S20">
        <f t="shared" si="2"/>
        <v>1</v>
      </c>
      <c r="T20">
        <v>0</v>
      </c>
      <c r="U20">
        <f t="shared" si="3"/>
        <v>1</v>
      </c>
      <c r="V20">
        <f t="shared" si="4"/>
        <v>1</v>
      </c>
      <c r="W20">
        <f t="shared" si="5"/>
        <v>1</v>
      </c>
      <c r="X20">
        <f>EXP(B20)</f>
        <v>0.19647409191330356</v>
      </c>
    </row>
    <row r="21" spans="1:28" x14ac:dyDescent="0.3">
      <c r="A21" t="s">
        <v>105</v>
      </c>
      <c r="B21">
        <v>0</v>
      </c>
      <c r="C21">
        <v>0</v>
      </c>
      <c r="D21">
        <v>0</v>
      </c>
      <c r="E21" s="15">
        <f>B21</f>
        <v>0</v>
      </c>
      <c r="F21" s="15">
        <v>1.6156999999999999</v>
      </c>
      <c r="G21">
        <f>E21</f>
        <v>0</v>
      </c>
      <c r="H21">
        <v>1.41</v>
      </c>
      <c r="I21">
        <v>1</v>
      </c>
      <c r="J21" t="e">
        <f>1/E21</f>
        <v>#DIV/0!</v>
      </c>
      <c r="O21">
        <v>1</v>
      </c>
      <c r="P21">
        <f t="shared" si="1"/>
        <v>1</v>
      </c>
      <c r="S21">
        <f t="shared" si="2"/>
        <v>0</v>
      </c>
      <c r="T21">
        <v>0</v>
      </c>
      <c r="U21">
        <f t="shared" si="3"/>
        <v>0</v>
      </c>
      <c r="V21">
        <f t="shared" si="4"/>
        <v>0</v>
      </c>
      <c r="W21" s="11">
        <v>0</v>
      </c>
      <c r="AB21" s="14"/>
    </row>
    <row r="22" spans="1:28" x14ac:dyDescent="0.3">
      <c r="A22" t="s">
        <v>99</v>
      </c>
      <c r="B22">
        <v>0</v>
      </c>
      <c r="C22">
        <v>0</v>
      </c>
      <c r="D22">
        <v>0</v>
      </c>
      <c r="E22" s="15">
        <v>0</v>
      </c>
      <c r="F22">
        <v>0</v>
      </c>
      <c r="G22">
        <v>0</v>
      </c>
      <c r="H22">
        <v>4</v>
      </c>
      <c r="I22">
        <v>4</v>
      </c>
      <c r="J22">
        <f>1</f>
        <v>1</v>
      </c>
      <c r="O22">
        <v>1</v>
      </c>
      <c r="P22">
        <f t="shared" si="1"/>
        <v>1</v>
      </c>
      <c r="S22">
        <f t="shared" si="2"/>
        <v>0</v>
      </c>
      <c r="T22">
        <v>0</v>
      </c>
      <c r="U22">
        <f t="shared" si="3"/>
        <v>0</v>
      </c>
      <c r="V22">
        <f t="shared" si="4"/>
        <v>0</v>
      </c>
      <c r="W22">
        <f t="shared" ref="W22:W35" si="8">U22-N22</f>
        <v>0</v>
      </c>
    </row>
    <row r="23" spans="1:28" x14ac:dyDescent="0.3">
      <c r="A23" t="s">
        <v>79</v>
      </c>
      <c r="B23">
        <v>0</v>
      </c>
      <c r="C23">
        <v>0</v>
      </c>
      <c r="D23">
        <v>0</v>
      </c>
      <c r="E23" s="15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1"/>
        <v>1</v>
      </c>
      <c r="S23">
        <f t="shared" si="2"/>
        <v>0</v>
      </c>
      <c r="T23">
        <v>0</v>
      </c>
      <c r="U23">
        <f t="shared" si="3"/>
        <v>0</v>
      </c>
      <c r="V23">
        <f t="shared" si="4"/>
        <v>0</v>
      </c>
      <c r="W23">
        <f t="shared" si="8"/>
        <v>0</v>
      </c>
    </row>
    <row r="24" spans="1:28" x14ac:dyDescent="0.3">
      <c r="A24" t="s">
        <v>102</v>
      </c>
      <c r="B24">
        <v>0</v>
      </c>
      <c r="C24">
        <v>0</v>
      </c>
      <c r="D24">
        <v>0</v>
      </c>
      <c r="E24" s="15">
        <f>X24</f>
        <v>0</v>
      </c>
      <c r="F24">
        <v>0</v>
      </c>
      <c r="G24">
        <v>0.3</v>
      </c>
      <c r="H24">
        <v>4.0540000000000003</v>
      </c>
      <c r="I24">
        <v>4</v>
      </c>
      <c r="J24">
        <f>1</f>
        <v>1</v>
      </c>
      <c r="L24">
        <v>0</v>
      </c>
      <c r="O24">
        <v>1</v>
      </c>
      <c r="P24">
        <f t="shared" si="1"/>
        <v>1</v>
      </c>
      <c r="S24">
        <f t="shared" si="2"/>
        <v>0</v>
      </c>
      <c r="T24">
        <v>0</v>
      </c>
      <c r="U24">
        <f t="shared" si="3"/>
        <v>0</v>
      </c>
      <c r="V24">
        <f t="shared" si="4"/>
        <v>0</v>
      </c>
      <c r="W24">
        <f t="shared" si="8"/>
        <v>0</v>
      </c>
      <c r="X24">
        <f>B24</f>
        <v>0</v>
      </c>
    </row>
    <row r="25" spans="1:28" x14ac:dyDescent="0.3">
      <c r="A25" t="s">
        <v>72</v>
      </c>
      <c r="B25">
        <v>0</v>
      </c>
      <c r="C25">
        <v>0</v>
      </c>
      <c r="D25">
        <v>0</v>
      </c>
      <c r="E25" s="15">
        <f>X25</f>
        <v>0.5</v>
      </c>
      <c r="F25">
        <v>0.5</v>
      </c>
      <c r="G25">
        <v>0.55000000000000004</v>
      </c>
      <c r="H25">
        <v>4.0999999999999996</v>
      </c>
      <c r="I25">
        <v>4.0999999999999996</v>
      </c>
      <c r="J25">
        <f>10/(E25*(1-E25))</f>
        <v>40</v>
      </c>
      <c r="O25">
        <v>1</v>
      </c>
      <c r="P25">
        <f t="shared" si="1"/>
        <v>1</v>
      </c>
      <c r="S25">
        <f t="shared" si="2"/>
        <v>0</v>
      </c>
      <c r="T25">
        <v>0</v>
      </c>
      <c r="U25">
        <f t="shared" si="3"/>
        <v>0</v>
      </c>
      <c r="V25">
        <f t="shared" si="4"/>
        <v>0</v>
      </c>
      <c r="W25">
        <f t="shared" si="8"/>
        <v>0</v>
      </c>
      <c r="X25">
        <f>1/(1+EXP(-B25/10))</f>
        <v>0.5</v>
      </c>
      <c r="Y25" t="s">
        <v>240</v>
      </c>
    </row>
    <row r="26" spans="1:28" x14ac:dyDescent="0.3">
      <c r="A26" t="s">
        <v>75</v>
      </c>
      <c r="B26" s="7">
        <v>0</v>
      </c>
      <c r="C26">
        <v>0</v>
      </c>
      <c r="D26">
        <v>0</v>
      </c>
      <c r="E26" s="15">
        <f>E25</f>
        <v>0.5</v>
      </c>
      <c r="F26">
        <v>0.6</v>
      </c>
      <c r="G26">
        <v>1.2</v>
      </c>
      <c r="H26">
        <v>5</v>
      </c>
      <c r="I26">
        <v>1</v>
      </c>
      <c r="J26">
        <f>1/E26</f>
        <v>2</v>
      </c>
      <c r="O26">
        <v>1</v>
      </c>
      <c r="P26">
        <f t="shared" si="1"/>
        <v>1</v>
      </c>
      <c r="S26">
        <f t="shared" si="2"/>
        <v>0</v>
      </c>
      <c r="T26">
        <v>0</v>
      </c>
      <c r="U26">
        <f t="shared" si="3"/>
        <v>0</v>
      </c>
      <c r="V26">
        <f t="shared" si="4"/>
        <v>0</v>
      </c>
      <c r="W26">
        <f t="shared" si="8"/>
        <v>0</v>
      </c>
    </row>
    <row r="27" spans="1:28" x14ac:dyDescent="0.3">
      <c r="A27" t="s">
        <v>246</v>
      </c>
      <c r="B27" s="7">
        <v>99</v>
      </c>
      <c r="C27">
        <v>0</v>
      </c>
      <c r="D27">
        <v>0</v>
      </c>
      <c r="E27" s="15">
        <f>E26</f>
        <v>0.5</v>
      </c>
      <c r="F27">
        <v>1</v>
      </c>
      <c r="G27">
        <v>1</v>
      </c>
      <c r="H27">
        <v>5</v>
      </c>
      <c r="I27">
        <v>1.05</v>
      </c>
      <c r="J27">
        <f>1/E27</f>
        <v>2</v>
      </c>
      <c r="M27">
        <v>1</v>
      </c>
      <c r="P27">
        <f t="shared" si="1"/>
        <v>1</v>
      </c>
      <c r="S27">
        <f t="shared" si="2"/>
        <v>0</v>
      </c>
      <c r="T27">
        <v>0</v>
      </c>
      <c r="U27">
        <f t="shared" si="3"/>
        <v>1</v>
      </c>
      <c r="V27">
        <f t="shared" si="4"/>
        <v>1</v>
      </c>
      <c r="W27">
        <f t="shared" si="8"/>
        <v>1</v>
      </c>
      <c r="X27">
        <f>EXP(B27)</f>
        <v>9.8890303193469463E+42</v>
      </c>
    </row>
    <row r="28" spans="1:28" x14ac:dyDescent="0.3">
      <c r="A28" t="s">
        <v>97</v>
      </c>
      <c r="B28">
        <f>B26</f>
        <v>0</v>
      </c>
      <c r="C28">
        <v>0</v>
      </c>
      <c r="D28">
        <v>0</v>
      </c>
      <c r="E28" s="15">
        <f>E26</f>
        <v>0.5</v>
      </c>
      <c r="F28">
        <f>F21</f>
        <v>1.6156999999999999</v>
      </c>
      <c r="G28">
        <f>G21</f>
        <v>0</v>
      </c>
      <c r="H28">
        <v>5.0999999999999996</v>
      </c>
      <c r="I28">
        <v>1.1000000000000001</v>
      </c>
      <c r="J28">
        <f>1/E28</f>
        <v>2</v>
      </c>
      <c r="O28">
        <v>1</v>
      </c>
      <c r="P28">
        <f t="shared" si="1"/>
        <v>1</v>
      </c>
      <c r="S28">
        <f t="shared" si="2"/>
        <v>0</v>
      </c>
      <c r="T28">
        <v>0</v>
      </c>
      <c r="U28">
        <f t="shared" si="3"/>
        <v>0</v>
      </c>
      <c r="V28">
        <f t="shared" si="4"/>
        <v>0</v>
      </c>
      <c r="W28">
        <f t="shared" si="8"/>
        <v>0</v>
      </c>
    </row>
    <row r="29" spans="1:28" x14ac:dyDescent="0.3">
      <c r="A29" t="s">
        <v>94</v>
      </c>
      <c r="B29">
        <v>0</v>
      </c>
      <c r="C29">
        <v>0</v>
      </c>
      <c r="D29">
        <v>0</v>
      </c>
      <c r="E29" s="15">
        <v>0</v>
      </c>
      <c r="F29">
        <f>E29*0.8</f>
        <v>0</v>
      </c>
      <c r="G29">
        <f>E29*2</f>
        <v>0</v>
      </c>
      <c r="H29">
        <v>5.2</v>
      </c>
      <c r="I29">
        <v>1.1499999999999999</v>
      </c>
      <c r="J29" t="e">
        <f>1/E29</f>
        <v>#DIV/0!</v>
      </c>
      <c r="L29">
        <v>1</v>
      </c>
      <c r="P29">
        <f t="shared" si="1"/>
        <v>1</v>
      </c>
      <c r="Q29">
        <v>1</v>
      </c>
      <c r="R29">
        <v>1</v>
      </c>
      <c r="S29">
        <f t="shared" si="2"/>
        <v>0</v>
      </c>
      <c r="T29">
        <v>0</v>
      </c>
      <c r="U29">
        <f t="shared" si="3"/>
        <v>1</v>
      </c>
      <c r="V29">
        <f t="shared" si="4"/>
        <v>1</v>
      </c>
      <c r="W29">
        <f t="shared" si="8"/>
        <v>1</v>
      </c>
      <c r="X29">
        <f>EXP(B29)</f>
        <v>1</v>
      </c>
    </row>
    <row r="30" spans="1:28" x14ac:dyDescent="0.3">
      <c r="A30" t="s">
        <v>93</v>
      </c>
      <c r="B30">
        <v>0</v>
      </c>
      <c r="C30">
        <v>-0.40790273033909435</v>
      </c>
      <c r="D30">
        <v>0</v>
      </c>
      <c r="E30" s="15">
        <v>0</v>
      </c>
      <c r="F30">
        <v>0.39941511352741998</v>
      </c>
      <c r="G30">
        <v>0.74177092512235143</v>
      </c>
      <c r="H30">
        <v>5.21</v>
      </c>
      <c r="I30">
        <v>1.2</v>
      </c>
      <c r="J30" t="e">
        <f>1/(E30*(1-E30))</f>
        <v>#DIV/0!</v>
      </c>
      <c r="L30">
        <v>1</v>
      </c>
      <c r="P30">
        <f t="shared" si="1"/>
        <v>1</v>
      </c>
      <c r="Q30">
        <v>1</v>
      </c>
      <c r="R30">
        <v>1</v>
      </c>
      <c r="S30">
        <f t="shared" si="2"/>
        <v>0</v>
      </c>
      <c r="T30">
        <v>0</v>
      </c>
      <c r="U30">
        <f t="shared" si="3"/>
        <v>1</v>
      </c>
      <c r="V30">
        <f t="shared" si="4"/>
        <v>1</v>
      </c>
      <c r="W30">
        <f t="shared" si="8"/>
        <v>1</v>
      </c>
      <c r="X30">
        <f>1/(1+EXP(-B30))</f>
        <v>0.5</v>
      </c>
    </row>
    <row r="31" spans="1:28" x14ac:dyDescent="0.3">
      <c r="A31" t="s">
        <v>96</v>
      </c>
      <c r="B31">
        <v>0</v>
      </c>
      <c r="C31">
        <v>0</v>
      </c>
      <c r="D31">
        <v>0</v>
      </c>
      <c r="E31" s="15">
        <v>0</v>
      </c>
      <c r="F31">
        <v>0.62810999999999995</v>
      </c>
      <c r="G31">
        <v>1.16649</v>
      </c>
      <c r="H31">
        <v>5.22</v>
      </c>
      <c r="I31">
        <v>1.2</v>
      </c>
      <c r="J31" t="e">
        <f>1/E31</f>
        <v>#DIV/0!</v>
      </c>
      <c r="L31">
        <v>1</v>
      </c>
      <c r="P31">
        <f t="shared" si="1"/>
        <v>1</v>
      </c>
      <c r="Q31">
        <v>1</v>
      </c>
      <c r="R31">
        <v>1</v>
      </c>
      <c r="S31">
        <f t="shared" si="2"/>
        <v>0</v>
      </c>
      <c r="T31">
        <v>0</v>
      </c>
      <c r="U31">
        <f t="shared" si="3"/>
        <v>1</v>
      </c>
      <c r="V31">
        <f t="shared" si="4"/>
        <v>1</v>
      </c>
      <c r="W31">
        <f t="shared" si="8"/>
        <v>1</v>
      </c>
    </row>
    <row r="32" spans="1:28" x14ac:dyDescent="0.3">
      <c r="A32" t="s">
        <v>98</v>
      </c>
      <c r="B32">
        <v>0</v>
      </c>
      <c r="C32">
        <v>0</v>
      </c>
      <c r="D32">
        <v>0</v>
      </c>
      <c r="E32" s="15">
        <v>0</v>
      </c>
      <c r="F32">
        <v>1.2934243000000001</v>
      </c>
      <c r="G32">
        <v>1.68272</v>
      </c>
      <c r="H32">
        <v>5.23</v>
      </c>
      <c r="I32">
        <v>1.2</v>
      </c>
      <c r="J32" t="e">
        <f>1/E32</f>
        <v>#DIV/0!</v>
      </c>
      <c r="L32">
        <v>1</v>
      </c>
      <c r="P32">
        <f t="shared" si="1"/>
        <v>1</v>
      </c>
      <c r="Q32">
        <v>1</v>
      </c>
      <c r="R32">
        <v>1</v>
      </c>
      <c r="S32">
        <f t="shared" si="2"/>
        <v>0</v>
      </c>
      <c r="T32">
        <v>0</v>
      </c>
      <c r="U32">
        <f t="shared" si="3"/>
        <v>1</v>
      </c>
      <c r="V32">
        <f t="shared" si="4"/>
        <v>1</v>
      </c>
      <c r="W32">
        <f t="shared" si="8"/>
        <v>1</v>
      </c>
    </row>
    <row r="33" spans="1:25" x14ac:dyDescent="0.3">
      <c r="A33" t="s">
        <v>69</v>
      </c>
      <c r="B33">
        <v>0</v>
      </c>
      <c r="C33">
        <v>0</v>
      </c>
      <c r="D33">
        <v>0</v>
      </c>
      <c r="E33" s="15">
        <v>0</v>
      </c>
      <c r="F33">
        <v>7.5499999999999998E-2</v>
      </c>
      <c r="G33">
        <v>7.5499999999999998E-2</v>
      </c>
      <c r="H33">
        <v>5.24</v>
      </c>
      <c r="I33">
        <v>1.3</v>
      </c>
      <c r="J33" t="e">
        <f>1/E33</f>
        <v>#DIV/0!</v>
      </c>
      <c r="L33">
        <v>1</v>
      </c>
      <c r="P33">
        <f t="shared" si="1"/>
        <v>1</v>
      </c>
      <c r="Q33">
        <v>1</v>
      </c>
      <c r="R33">
        <v>1</v>
      </c>
      <c r="S33">
        <f t="shared" si="2"/>
        <v>0</v>
      </c>
      <c r="T33">
        <v>0</v>
      </c>
      <c r="U33">
        <f t="shared" si="3"/>
        <v>1</v>
      </c>
      <c r="V33">
        <f t="shared" si="4"/>
        <v>1</v>
      </c>
      <c r="W33">
        <f t="shared" si="8"/>
        <v>1</v>
      </c>
      <c r="X33">
        <f>EXP(B33)</f>
        <v>1</v>
      </c>
    </row>
    <row r="34" spans="1:25" x14ac:dyDescent="0.3">
      <c r="A34" t="s">
        <v>107</v>
      </c>
      <c r="B34">
        <v>1.637</v>
      </c>
      <c r="C34">
        <v>0</v>
      </c>
      <c r="D34">
        <v>0</v>
      </c>
      <c r="E34" s="15">
        <f>B34</f>
        <v>1.637</v>
      </c>
      <c r="F34">
        <v>1.9809000000000001</v>
      </c>
      <c r="G34">
        <v>1.9809000000000001</v>
      </c>
      <c r="H34">
        <v>85</v>
      </c>
      <c r="I34">
        <v>88</v>
      </c>
      <c r="J34">
        <f>1/E34</f>
        <v>0.61087354917532066</v>
      </c>
      <c r="M34">
        <v>1</v>
      </c>
      <c r="P34">
        <f t="shared" ref="P34:P60" si="9">SUM(L34:O34)</f>
        <v>1</v>
      </c>
      <c r="S34">
        <f t="shared" si="2"/>
        <v>0</v>
      </c>
      <c r="T34">
        <v>0</v>
      </c>
      <c r="U34">
        <f t="shared" si="3"/>
        <v>1</v>
      </c>
      <c r="V34">
        <f t="shared" ref="V34:V60" si="10">U34-N34</f>
        <v>1</v>
      </c>
      <c r="W34">
        <f t="shared" si="8"/>
        <v>1</v>
      </c>
    </row>
    <row r="35" spans="1:25" x14ac:dyDescent="0.3">
      <c r="A35" s="3" t="s">
        <v>106</v>
      </c>
      <c r="B35" s="3">
        <v>1</v>
      </c>
      <c r="C35">
        <v>0</v>
      </c>
      <c r="D35">
        <v>0</v>
      </c>
      <c r="E35" s="3">
        <f>E23*2</f>
        <v>0</v>
      </c>
      <c r="F35">
        <v>1</v>
      </c>
      <c r="G35">
        <v>1</v>
      </c>
      <c r="H35">
        <v>87</v>
      </c>
      <c r="I35">
        <v>98</v>
      </c>
      <c r="J35">
        <f>1</f>
        <v>1</v>
      </c>
      <c r="K35" s="3"/>
      <c r="L35" s="3">
        <v>0</v>
      </c>
      <c r="M35" s="3"/>
      <c r="N35" s="3">
        <v>1</v>
      </c>
      <c r="O35" s="3"/>
      <c r="P35" s="3">
        <f t="shared" si="9"/>
        <v>1</v>
      </c>
      <c r="Q35" s="3"/>
      <c r="R35" s="3"/>
      <c r="S35">
        <f t="shared" si="2"/>
        <v>0</v>
      </c>
      <c r="T35">
        <v>0</v>
      </c>
      <c r="U35">
        <f t="shared" si="3"/>
        <v>1</v>
      </c>
      <c r="V35">
        <f t="shared" si="10"/>
        <v>0</v>
      </c>
      <c r="W35">
        <f t="shared" si="8"/>
        <v>0</v>
      </c>
      <c r="X35" s="3"/>
    </row>
    <row r="36" spans="1:25" x14ac:dyDescent="0.3">
      <c r="A36" t="s">
        <v>108</v>
      </c>
      <c r="B36">
        <v>0</v>
      </c>
      <c r="C36">
        <v>0</v>
      </c>
      <c r="D36">
        <v>0</v>
      </c>
      <c r="E36" s="15">
        <f>B36</f>
        <v>0</v>
      </c>
      <c r="F36">
        <v>1.9084000000000001</v>
      </c>
      <c r="G36">
        <v>1.9084000000000001</v>
      </c>
      <c r="H36">
        <v>89</v>
      </c>
      <c r="I36">
        <v>88</v>
      </c>
      <c r="J36" t="e">
        <f>1/E36</f>
        <v>#DIV/0!</v>
      </c>
      <c r="O36">
        <v>1</v>
      </c>
      <c r="P36">
        <f t="shared" si="9"/>
        <v>1</v>
      </c>
      <c r="S36">
        <f t="shared" si="2"/>
        <v>0</v>
      </c>
      <c r="T36">
        <v>0</v>
      </c>
      <c r="U36">
        <f t="shared" si="3"/>
        <v>0</v>
      </c>
      <c r="V36">
        <f t="shared" si="10"/>
        <v>0</v>
      </c>
      <c r="W36" s="12">
        <v>0</v>
      </c>
    </row>
    <row r="37" spans="1:25" x14ac:dyDescent="0.3">
      <c r="A37" t="s">
        <v>77</v>
      </c>
      <c r="B37" s="3">
        <f>'OUTSIDE MOMENT'!G27</f>
        <v>24.382751079030985</v>
      </c>
      <c r="C37">
        <v>0</v>
      </c>
      <c r="D37">
        <v>0</v>
      </c>
      <c r="E37" s="15">
        <f>'OUTSIDE MOMENT'!G27</f>
        <v>24.382751079030985</v>
      </c>
      <c r="F37">
        <f>E37</f>
        <v>24.382751079030985</v>
      </c>
      <c r="G37">
        <f>E37</f>
        <v>24.382751079030985</v>
      </c>
      <c r="H37">
        <v>991</v>
      </c>
      <c r="I37">
        <v>0</v>
      </c>
      <c r="J37">
        <f>1</f>
        <v>1</v>
      </c>
      <c r="N37">
        <v>1</v>
      </c>
      <c r="P37">
        <f t="shared" si="9"/>
        <v>1</v>
      </c>
      <c r="S37">
        <f t="shared" si="2"/>
        <v>0</v>
      </c>
      <c r="T37">
        <v>0</v>
      </c>
      <c r="U37">
        <f t="shared" si="3"/>
        <v>1</v>
      </c>
      <c r="V37">
        <f t="shared" si="10"/>
        <v>0</v>
      </c>
      <c r="W37">
        <f t="shared" ref="W37:W60" si="11">U37-N37</f>
        <v>0</v>
      </c>
    </row>
    <row r="38" spans="1:25" x14ac:dyDescent="0.3">
      <c r="A38" t="s">
        <v>110</v>
      </c>
      <c r="B38">
        <v>1.8814014327029097E-3</v>
      </c>
      <c r="C38">
        <v>0</v>
      </c>
      <c r="D38">
        <v>0</v>
      </c>
      <c r="E38" s="15">
        <f>B38</f>
        <v>1.8814014327029097E-3</v>
      </c>
      <c r="F38">
        <v>1.8814014327029097E-3</v>
      </c>
      <c r="G38">
        <v>1.8814014327029097E-3</v>
      </c>
      <c r="H38">
        <v>992</v>
      </c>
      <c r="I38">
        <v>0</v>
      </c>
      <c r="J38">
        <f>1</f>
        <v>1</v>
      </c>
      <c r="N38">
        <v>1</v>
      </c>
      <c r="P38">
        <f t="shared" si="9"/>
        <v>1</v>
      </c>
      <c r="S38">
        <f t="shared" si="2"/>
        <v>0</v>
      </c>
      <c r="T38">
        <v>0</v>
      </c>
      <c r="U38">
        <f t="shared" si="3"/>
        <v>1</v>
      </c>
      <c r="V38">
        <f t="shared" si="10"/>
        <v>0</v>
      </c>
      <c r="W38">
        <f t="shared" si="11"/>
        <v>0</v>
      </c>
    </row>
    <row r="39" spans="1:25" x14ac:dyDescent="0.3">
      <c r="A39" t="s">
        <v>267</v>
      </c>
      <c r="B39">
        <v>5.1813471502590662</v>
      </c>
      <c r="D39">
        <v>5.1813471502590662</v>
      </c>
      <c r="H39">
        <v>993</v>
      </c>
      <c r="I39">
        <v>9999</v>
      </c>
      <c r="N39">
        <v>1</v>
      </c>
      <c r="P39">
        <f t="shared" si="9"/>
        <v>1</v>
      </c>
      <c r="S39">
        <f t="shared" si="2"/>
        <v>0</v>
      </c>
      <c r="T39">
        <v>0</v>
      </c>
      <c r="U39">
        <f t="shared" si="3"/>
        <v>1</v>
      </c>
      <c r="V39">
        <f t="shared" si="10"/>
        <v>0</v>
      </c>
      <c r="W39">
        <f t="shared" si="11"/>
        <v>0</v>
      </c>
    </row>
    <row r="40" spans="1:25" x14ac:dyDescent="0.3">
      <c r="A40" t="s">
        <v>104</v>
      </c>
      <c r="B40">
        <v>0.26712328767123289</v>
      </c>
      <c r="C40">
        <v>0</v>
      </c>
      <c r="D40">
        <v>0</v>
      </c>
      <c r="E40" s="15">
        <v>0.26712328767123289</v>
      </c>
      <c r="F40">
        <v>0.26712328767123289</v>
      </c>
      <c r="G40">
        <v>0.26712328767123289</v>
      </c>
      <c r="H40">
        <v>994</v>
      </c>
      <c r="I40">
        <v>99</v>
      </c>
      <c r="J40">
        <f>1</f>
        <v>1</v>
      </c>
      <c r="N40">
        <v>1</v>
      </c>
      <c r="P40">
        <f t="shared" si="9"/>
        <v>1</v>
      </c>
      <c r="S40">
        <f t="shared" si="2"/>
        <v>0</v>
      </c>
      <c r="T40">
        <v>0</v>
      </c>
      <c r="U40">
        <f t="shared" si="3"/>
        <v>1</v>
      </c>
      <c r="V40">
        <f t="shared" si="10"/>
        <v>0</v>
      </c>
      <c r="W40">
        <f t="shared" si="11"/>
        <v>0</v>
      </c>
    </row>
    <row r="41" spans="1:25" x14ac:dyDescent="0.3">
      <c r="A41" t="s">
        <v>74</v>
      </c>
      <c r="B41" s="7">
        <v>0</v>
      </c>
      <c r="C41">
        <v>0</v>
      </c>
      <c r="D41">
        <v>0</v>
      </c>
      <c r="E41" s="15">
        <f>X41</f>
        <v>1</v>
      </c>
      <c r="F41">
        <v>0.6</v>
      </c>
      <c r="G41">
        <v>1.2</v>
      </c>
      <c r="H41">
        <v>999</v>
      </c>
      <c r="I41">
        <v>1</v>
      </c>
      <c r="J41">
        <f>1/E41</f>
        <v>1</v>
      </c>
      <c r="O41">
        <v>1</v>
      </c>
      <c r="P41">
        <f t="shared" si="9"/>
        <v>1</v>
      </c>
      <c r="S41">
        <f t="shared" si="2"/>
        <v>0</v>
      </c>
      <c r="T41">
        <v>0</v>
      </c>
      <c r="U41">
        <f t="shared" si="3"/>
        <v>0</v>
      </c>
      <c r="V41">
        <f t="shared" si="10"/>
        <v>0</v>
      </c>
      <c r="W41">
        <f t="shared" si="11"/>
        <v>0</v>
      </c>
      <c r="X41">
        <f>EXP(B41)</f>
        <v>1</v>
      </c>
    </row>
    <row r="42" spans="1:25" x14ac:dyDescent="0.3">
      <c r="A42" t="s">
        <v>84</v>
      </c>
      <c r="B42">
        <v>0.70559799999999995</v>
      </c>
      <c r="C42">
        <v>0</v>
      </c>
      <c r="D42">
        <v>0</v>
      </c>
      <c r="E42" s="15">
        <v>0.70559799999999995</v>
      </c>
      <c r="F42">
        <f>E42</f>
        <v>0.70559799999999995</v>
      </c>
      <c r="G42">
        <f>F42</f>
        <v>0.70559799999999995</v>
      </c>
      <c r="H42">
        <v>999</v>
      </c>
      <c r="I42">
        <v>5.04</v>
      </c>
      <c r="J42">
        <f>1/(E42*(1-E42))</f>
        <v>4.8139536321221215</v>
      </c>
      <c r="K42">
        <v>1</v>
      </c>
      <c r="L42">
        <v>0</v>
      </c>
      <c r="N42">
        <v>1</v>
      </c>
      <c r="P42">
        <f t="shared" si="9"/>
        <v>1</v>
      </c>
      <c r="S42">
        <f t="shared" si="2"/>
        <v>0</v>
      </c>
      <c r="T42">
        <v>0</v>
      </c>
      <c r="U42">
        <f t="shared" si="3"/>
        <v>1</v>
      </c>
      <c r="V42">
        <f t="shared" si="10"/>
        <v>0</v>
      </c>
      <c r="W42">
        <f t="shared" si="11"/>
        <v>0</v>
      </c>
      <c r="X42">
        <f>1/(1+EXP(-B42))</f>
        <v>0.66942775013665978</v>
      </c>
    </row>
    <row r="43" spans="1:25" s="3" customFormat="1" x14ac:dyDescent="0.3">
      <c r="A43" s="6" t="s">
        <v>71</v>
      </c>
      <c r="B43">
        <v>2000</v>
      </c>
      <c r="C43">
        <v>0</v>
      </c>
      <c r="D43">
        <v>0</v>
      </c>
      <c r="E43" s="15">
        <v>2000</v>
      </c>
      <c r="F43">
        <v>2000</v>
      </c>
      <c r="G43">
        <v>2000</v>
      </c>
      <c r="H43">
        <v>999.5</v>
      </c>
      <c r="I43">
        <v>4.0999999999999996</v>
      </c>
      <c r="J43">
        <f>1</f>
        <v>1</v>
      </c>
      <c r="K43">
        <v>1</v>
      </c>
      <c r="L43">
        <v>0</v>
      </c>
      <c r="M43"/>
      <c r="N43">
        <v>0</v>
      </c>
      <c r="O43">
        <v>1</v>
      </c>
      <c r="P43">
        <f t="shared" si="9"/>
        <v>1</v>
      </c>
      <c r="Q43"/>
      <c r="R43"/>
      <c r="S43">
        <f t="shared" si="2"/>
        <v>0</v>
      </c>
      <c r="T43">
        <v>0</v>
      </c>
      <c r="U43">
        <f t="shared" si="3"/>
        <v>0</v>
      </c>
      <c r="V43">
        <f t="shared" si="10"/>
        <v>0</v>
      </c>
      <c r="W43">
        <f t="shared" si="11"/>
        <v>0</v>
      </c>
      <c r="X43"/>
      <c r="Y43"/>
    </row>
    <row r="44" spans="1:25" x14ac:dyDescent="0.3">
      <c r="A44" t="s">
        <v>109</v>
      </c>
      <c r="B44">
        <v>1</v>
      </c>
      <c r="C44">
        <v>0</v>
      </c>
      <c r="D44">
        <v>0</v>
      </c>
      <c r="E44" s="15">
        <v>1</v>
      </c>
      <c r="F44">
        <v>1</v>
      </c>
      <c r="G44">
        <v>1</v>
      </c>
      <c r="J44">
        <f>1</f>
        <v>1</v>
      </c>
      <c r="O44">
        <v>1</v>
      </c>
      <c r="P44">
        <f t="shared" si="9"/>
        <v>1</v>
      </c>
      <c r="S44">
        <f t="shared" si="2"/>
        <v>0</v>
      </c>
      <c r="T44">
        <v>0</v>
      </c>
      <c r="U44">
        <f t="shared" si="3"/>
        <v>0</v>
      </c>
      <c r="V44">
        <f t="shared" si="10"/>
        <v>0</v>
      </c>
      <c r="W44">
        <f t="shared" si="11"/>
        <v>0</v>
      </c>
      <c r="Y44" s="3"/>
    </row>
    <row r="45" spans="1:25" x14ac:dyDescent="0.3">
      <c r="A45" t="s">
        <v>89</v>
      </c>
      <c r="B45">
        <v>0.1449</v>
      </c>
      <c r="C45">
        <v>0</v>
      </c>
      <c r="D45">
        <v>0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2"/>
        <v>0</v>
      </c>
      <c r="T45">
        <v>0</v>
      </c>
      <c r="U45">
        <f t="shared" si="3"/>
        <v>0</v>
      </c>
      <c r="V45">
        <f t="shared" si="10"/>
        <v>0</v>
      </c>
      <c r="W45">
        <f t="shared" si="11"/>
        <v>0</v>
      </c>
    </row>
    <row r="46" spans="1:25" x14ac:dyDescent="0.3">
      <c r="A46" t="s">
        <v>90</v>
      </c>
      <c r="B46">
        <v>0.1449</v>
      </c>
      <c r="C46">
        <v>0</v>
      </c>
      <c r="D46">
        <v>0</v>
      </c>
      <c r="E46" s="15">
        <v>0.1449</v>
      </c>
      <c r="F46">
        <f>E46</f>
        <v>0.1449</v>
      </c>
      <c r="G46">
        <f>F46</f>
        <v>0.1449</v>
      </c>
      <c r="J46">
        <f>1</f>
        <v>1</v>
      </c>
      <c r="O46">
        <v>1</v>
      </c>
      <c r="P46">
        <f t="shared" si="9"/>
        <v>1</v>
      </c>
      <c r="S46">
        <f t="shared" si="2"/>
        <v>0</v>
      </c>
      <c r="T46">
        <v>0</v>
      </c>
      <c r="U46">
        <f t="shared" si="3"/>
        <v>0</v>
      </c>
      <c r="V46">
        <f t="shared" si="10"/>
        <v>0</v>
      </c>
      <c r="W46">
        <f t="shared" si="11"/>
        <v>0</v>
      </c>
    </row>
    <row r="47" spans="1:25" x14ac:dyDescent="0.3">
      <c r="A47" t="s">
        <v>100</v>
      </c>
      <c r="B47">
        <v>0</v>
      </c>
      <c r="C47"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2"/>
        <v>0</v>
      </c>
      <c r="T47">
        <v>0</v>
      </c>
      <c r="U47">
        <f t="shared" si="3"/>
        <v>0</v>
      </c>
      <c r="V47">
        <f t="shared" si="10"/>
        <v>0</v>
      </c>
      <c r="W47">
        <f t="shared" si="11"/>
        <v>0</v>
      </c>
    </row>
    <row r="48" spans="1:25" x14ac:dyDescent="0.3">
      <c r="A48" t="s">
        <v>103</v>
      </c>
      <c r="B48">
        <v>0</v>
      </c>
      <c r="C48">
        <v>0</v>
      </c>
      <c r="D48">
        <v>0</v>
      </c>
      <c r="E48" s="15">
        <v>0</v>
      </c>
      <c r="F48">
        <v>0</v>
      </c>
      <c r="G48">
        <v>0</v>
      </c>
      <c r="J48">
        <f>1</f>
        <v>1</v>
      </c>
      <c r="O48">
        <v>1</v>
      </c>
      <c r="P48">
        <f t="shared" si="9"/>
        <v>1</v>
      </c>
      <c r="S48">
        <f t="shared" si="2"/>
        <v>0</v>
      </c>
      <c r="T48">
        <v>0</v>
      </c>
      <c r="U48">
        <f t="shared" si="3"/>
        <v>0</v>
      </c>
      <c r="V48">
        <f t="shared" si="10"/>
        <v>0</v>
      </c>
      <c r="W48">
        <f t="shared" si="11"/>
        <v>0</v>
      </c>
    </row>
    <row r="49" spans="1:23" x14ac:dyDescent="0.3">
      <c r="A49" t="s">
        <v>245</v>
      </c>
      <c r="B49" s="15">
        <v>3.7</v>
      </c>
      <c r="C49">
        <v>0</v>
      </c>
      <c r="D49">
        <v>0</v>
      </c>
      <c r="E49" s="15">
        <v>3.7</v>
      </c>
      <c r="F49" s="15">
        <f>E49</f>
        <v>3.7</v>
      </c>
      <c r="G49" s="15">
        <f>E49</f>
        <v>3.7</v>
      </c>
      <c r="O49">
        <v>0</v>
      </c>
      <c r="P49">
        <f t="shared" si="9"/>
        <v>0</v>
      </c>
      <c r="S49">
        <f>SUM(O49:R49)</f>
        <v>0</v>
      </c>
      <c r="T49">
        <v>0</v>
      </c>
      <c r="U49">
        <f>SUM(P49:S49)</f>
        <v>0</v>
      </c>
      <c r="V49">
        <f t="shared" si="10"/>
        <v>0</v>
      </c>
      <c r="W49">
        <f t="shared" si="11"/>
        <v>0</v>
      </c>
    </row>
    <row r="50" spans="1:23" x14ac:dyDescent="0.3">
      <c r="A50" t="s">
        <v>247</v>
      </c>
      <c r="B50" s="13">
        <v>0</v>
      </c>
      <c r="C50">
        <v>0</v>
      </c>
      <c r="D50">
        <v>0</v>
      </c>
      <c r="E50" s="13">
        <f>IF(E49=3.5,0.0135,IF(OR(E49=3.7,E49=7),0,1))</f>
        <v>0</v>
      </c>
      <c r="F50" s="13">
        <f>IF(E49=3.5,0.0135,IF(OR(E49=3.7,E49=7),0,1))</f>
        <v>0</v>
      </c>
      <c r="G50" s="13">
        <f>IF(E49=3.5,0.0135,IF(OR(E49=3.7,E49=7),0,1))</f>
        <v>0</v>
      </c>
      <c r="O50">
        <v>1</v>
      </c>
      <c r="P50">
        <f t="shared" si="9"/>
        <v>1</v>
      </c>
      <c r="S50">
        <f t="shared" ref="S50:S60" si="12">L50-Q50</f>
        <v>0</v>
      </c>
      <c r="T50">
        <v>0</v>
      </c>
      <c r="U50">
        <f t="shared" ref="U50:U60" si="13">S50+N50+Q50+M50</f>
        <v>0</v>
      </c>
      <c r="V50">
        <f t="shared" si="10"/>
        <v>0</v>
      </c>
      <c r="W50">
        <f t="shared" si="11"/>
        <v>0</v>
      </c>
    </row>
    <row r="51" spans="1:23" x14ac:dyDescent="0.3">
      <c r="A51" t="s">
        <v>178</v>
      </c>
      <c r="B51">
        <v>1.023617</v>
      </c>
      <c r="C51">
        <v>0</v>
      </c>
      <c r="D51">
        <v>0</v>
      </c>
      <c r="E51" s="15">
        <f>EXP(0.0673)</f>
        <v>1.0696163149411613</v>
      </c>
      <c r="F51">
        <f>E51</f>
        <v>1.0696163149411613</v>
      </c>
      <c r="G51">
        <f>E51</f>
        <v>1.0696163149411613</v>
      </c>
      <c r="J51">
        <f>1</f>
        <v>1</v>
      </c>
      <c r="O51">
        <v>1</v>
      </c>
      <c r="P51">
        <f t="shared" si="9"/>
        <v>1</v>
      </c>
      <c r="S51">
        <f t="shared" si="12"/>
        <v>0</v>
      </c>
      <c r="T51">
        <v>0</v>
      </c>
      <c r="U51">
        <f t="shared" si="13"/>
        <v>0</v>
      </c>
      <c r="V51">
        <f t="shared" si="10"/>
        <v>0</v>
      </c>
      <c r="W51">
        <f t="shared" si="11"/>
        <v>0</v>
      </c>
    </row>
    <row r="52" spans="1:23" x14ac:dyDescent="0.3">
      <c r="A52" t="s">
        <v>179</v>
      </c>
      <c r="B52">
        <v>0.92949300000000001</v>
      </c>
      <c r="C52">
        <v>0</v>
      </c>
      <c r="D52">
        <v>0</v>
      </c>
      <c r="E52" s="15">
        <f>EXP(-0.0062)</f>
        <v>0.99381918034015848</v>
      </c>
      <c r="F52">
        <f>E52</f>
        <v>0.99381918034015848</v>
      </c>
      <c r="G52">
        <f>E52</f>
        <v>0.99381918034015848</v>
      </c>
      <c r="J52">
        <f>1</f>
        <v>1</v>
      </c>
      <c r="O52">
        <v>1</v>
      </c>
      <c r="P52">
        <f t="shared" si="9"/>
        <v>1</v>
      </c>
      <c r="S52">
        <f t="shared" si="12"/>
        <v>0</v>
      </c>
      <c r="T52">
        <v>0</v>
      </c>
      <c r="U52">
        <f t="shared" si="13"/>
        <v>0</v>
      </c>
      <c r="V52">
        <f t="shared" si="10"/>
        <v>0</v>
      </c>
      <c r="W52">
        <f t="shared" si="11"/>
        <v>0</v>
      </c>
    </row>
    <row r="53" spans="1:23" x14ac:dyDescent="0.3">
      <c r="A53" t="s">
        <v>180</v>
      </c>
      <c r="B53">
        <v>0.92210899999999996</v>
      </c>
      <c r="C53">
        <v>0</v>
      </c>
      <c r="D53">
        <v>0</v>
      </c>
      <c r="E53" s="15">
        <f>EXP(-0.0389)</f>
        <v>0.9618468890261952</v>
      </c>
      <c r="F53">
        <f>E53</f>
        <v>0.9618468890261952</v>
      </c>
      <c r="G53">
        <f>E53</f>
        <v>0.9618468890261952</v>
      </c>
      <c r="J53">
        <f>1</f>
        <v>1</v>
      </c>
      <c r="O53">
        <v>1</v>
      </c>
      <c r="P53">
        <f t="shared" si="9"/>
        <v>1</v>
      </c>
      <c r="S53">
        <f t="shared" si="12"/>
        <v>0</v>
      </c>
      <c r="T53">
        <v>0</v>
      </c>
      <c r="U53">
        <f t="shared" si="13"/>
        <v>0</v>
      </c>
      <c r="V53">
        <f t="shared" si="10"/>
        <v>0</v>
      </c>
      <c r="W53">
        <f t="shared" si="11"/>
        <v>0</v>
      </c>
    </row>
    <row r="54" spans="1:23" x14ac:dyDescent="0.3">
      <c r="A54" t="s">
        <v>255</v>
      </c>
      <c r="B54">
        <v>0</v>
      </c>
      <c r="C54">
        <v>0</v>
      </c>
      <c r="D54">
        <v>0</v>
      </c>
      <c r="O54">
        <v>1</v>
      </c>
      <c r="P54">
        <f t="shared" si="9"/>
        <v>1</v>
      </c>
      <c r="S54">
        <f t="shared" si="12"/>
        <v>0</v>
      </c>
      <c r="T54">
        <v>0</v>
      </c>
      <c r="U54">
        <f t="shared" si="13"/>
        <v>0</v>
      </c>
      <c r="V54">
        <f t="shared" si="10"/>
        <v>0</v>
      </c>
      <c r="W54">
        <f t="shared" si="11"/>
        <v>0</v>
      </c>
    </row>
    <row r="55" spans="1:23" x14ac:dyDescent="0.3">
      <c r="A55" t="s">
        <v>256</v>
      </c>
      <c r="B55">
        <v>1</v>
      </c>
      <c r="C55">
        <v>1</v>
      </c>
      <c r="D55">
        <v>1</v>
      </c>
      <c r="O55">
        <v>1</v>
      </c>
      <c r="P55">
        <f t="shared" si="9"/>
        <v>1</v>
      </c>
      <c r="S55">
        <f t="shared" si="12"/>
        <v>0</v>
      </c>
      <c r="T55">
        <v>0</v>
      </c>
      <c r="U55">
        <f t="shared" si="13"/>
        <v>0</v>
      </c>
      <c r="V55">
        <f t="shared" si="10"/>
        <v>0</v>
      </c>
      <c r="W55">
        <f t="shared" si="11"/>
        <v>0</v>
      </c>
    </row>
    <row r="56" spans="1:23" x14ac:dyDescent="0.3">
      <c r="A56" t="s">
        <v>242</v>
      </c>
      <c r="B56">
        <v>1</v>
      </c>
      <c r="D56">
        <v>1</v>
      </c>
      <c r="O56">
        <v>1</v>
      </c>
      <c r="P56">
        <f t="shared" si="9"/>
        <v>1</v>
      </c>
      <c r="S56">
        <f t="shared" si="12"/>
        <v>0</v>
      </c>
      <c r="T56">
        <v>0</v>
      </c>
      <c r="U56">
        <f t="shared" si="13"/>
        <v>0</v>
      </c>
      <c r="V56">
        <f t="shared" si="10"/>
        <v>0</v>
      </c>
      <c r="W56">
        <f t="shared" si="11"/>
        <v>0</v>
      </c>
    </row>
    <row r="57" spans="1:23" x14ac:dyDescent="0.3">
      <c r="A57" t="s">
        <v>263</v>
      </c>
      <c r="B57">
        <v>1</v>
      </c>
      <c r="D57">
        <v>1</v>
      </c>
      <c r="O57">
        <v>1</v>
      </c>
      <c r="P57">
        <f t="shared" si="9"/>
        <v>1</v>
      </c>
      <c r="S57">
        <f t="shared" si="12"/>
        <v>0</v>
      </c>
      <c r="T57">
        <v>0</v>
      </c>
      <c r="U57">
        <f t="shared" si="13"/>
        <v>0</v>
      </c>
      <c r="V57">
        <f t="shared" si="10"/>
        <v>0</v>
      </c>
      <c r="W57">
        <f t="shared" si="11"/>
        <v>0</v>
      </c>
    </row>
    <row r="58" spans="1:23" x14ac:dyDescent="0.3">
      <c r="A58" t="s">
        <v>264</v>
      </c>
      <c r="B58">
        <v>0</v>
      </c>
      <c r="D58">
        <v>0</v>
      </c>
      <c r="O58">
        <v>1</v>
      </c>
      <c r="P58">
        <f t="shared" si="9"/>
        <v>1</v>
      </c>
      <c r="S58">
        <f t="shared" si="12"/>
        <v>0</v>
      </c>
      <c r="T58">
        <v>0</v>
      </c>
      <c r="U58">
        <f t="shared" si="13"/>
        <v>0</v>
      </c>
      <c r="V58">
        <f t="shared" si="10"/>
        <v>0</v>
      </c>
      <c r="W58">
        <f t="shared" si="11"/>
        <v>0</v>
      </c>
    </row>
    <row r="59" spans="1:23" x14ac:dyDescent="0.3">
      <c r="A59" t="s">
        <v>265</v>
      </c>
      <c r="B59">
        <v>0</v>
      </c>
      <c r="D59">
        <v>0</v>
      </c>
      <c r="O59">
        <v>1</v>
      </c>
      <c r="P59">
        <f t="shared" si="9"/>
        <v>1</v>
      </c>
      <c r="S59">
        <f t="shared" si="12"/>
        <v>0</v>
      </c>
      <c r="T59">
        <v>0</v>
      </c>
      <c r="U59">
        <f t="shared" si="13"/>
        <v>0</v>
      </c>
      <c r="V59">
        <f t="shared" si="10"/>
        <v>0</v>
      </c>
      <c r="W59">
        <f t="shared" si="11"/>
        <v>0</v>
      </c>
    </row>
    <row r="60" spans="1:23" x14ac:dyDescent="0.3">
      <c r="A60" t="s">
        <v>266</v>
      </c>
      <c r="B60">
        <v>5.1813471502590662</v>
      </c>
      <c r="D60">
        <v>5.1813471502590662</v>
      </c>
      <c r="O60">
        <v>1</v>
      </c>
      <c r="P60">
        <f t="shared" si="9"/>
        <v>1</v>
      </c>
      <c r="S60">
        <f t="shared" si="12"/>
        <v>0</v>
      </c>
      <c r="T60">
        <v>0</v>
      </c>
      <c r="U60">
        <f t="shared" si="13"/>
        <v>0</v>
      </c>
      <c r="V60">
        <f t="shared" si="10"/>
        <v>0</v>
      </c>
      <c r="W60">
        <f t="shared" si="11"/>
        <v>0</v>
      </c>
    </row>
    <row r="61" spans="1:23" x14ac:dyDescent="0.3">
      <c r="A61" t="s">
        <v>272</v>
      </c>
      <c r="B61">
        <v>0.9</v>
      </c>
    </row>
  </sheetData>
  <autoFilter ref="A1:Y61" xr:uid="{D6333A1E-4CCC-47DA-98C3-E7945B8628B8}">
    <sortState xmlns:xlrd2="http://schemas.microsoft.com/office/spreadsheetml/2017/richdata2" ref="A2:Y61">
      <sortCondition descending="1" ref="S1:S61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4" x14ac:dyDescent="0.3"/>
  <cols>
    <col min="2" max="2" width="8.88671875" customWidth="1"/>
    <col min="3" max="4" width="6.33203125" customWidth="1"/>
    <col min="5" max="5" width="25.44140625" style="15" bestFit="1" customWidth="1"/>
    <col min="6" max="6" width="8.77734375" customWidth="1"/>
    <col min="22" max="22" width="19.5546875" customWidth="1"/>
    <col min="25" max="25" width="12.21875" bestFit="1" customWidth="1"/>
    <col min="26" max="26" width="18.44140625" bestFit="1" customWidth="1"/>
  </cols>
  <sheetData>
    <row r="1" spans="1:22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">
      <c r="A2" t="s">
        <v>77</v>
      </c>
      <c r="B2" s="3">
        <f>E2</f>
        <v>2.7118925237973301</v>
      </c>
      <c r="C2">
        <f>F2</f>
        <v>2.7118925237973301</v>
      </c>
      <c r="D2">
        <f>G2</f>
        <v>2.7118925237973301</v>
      </c>
      <c r="E2" s="15">
        <f>PARS!E2</f>
        <v>2.7118925237973301</v>
      </c>
      <c r="F2">
        <f>E2</f>
        <v>2.7118925237973301</v>
      </c>
      <c r="G2">
        <f>E2</f>
        <v>2.7118925237973301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">
      <c r="A3" t="s">
        <v>110</v>
      </c>
      <c r="B3">
        <f>E3</f>
        <v>24.468559295668197</v>
      </c>
      <c r="C3">
        <f>B3</f>
        <v>24.468559295668197</v>
      </c>
      <c r="D3">
        <f>C3</f>
        <v>24.468559295668197</v>
      </c>
      <c r="E3" s="15">
        <f>PARS!E3</f>
        <v>24.468559295668197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">
      <c r="A4" t="s">
        <v>74</v>
      </c>
      <c r="B4" s="7">
        <f>LN(E4)</f>
        <v>0.66887937006826825</v>
      </c>
      <c r="C4" s="7">
        <f>LN(F4)</f>
        <v>-0.51082562376599072</v>
      </c>
      <c r="D4" s="7">
        <f>LN(G4)</f>
        <v>0.18232155679395459</v>
      </c>
      <c r="E4" s="15">
        <f>PARS!E4</f>
        <v>1.9520485704192854</v>
      </c>
      <c r="F4">
        <v>0.6</v>
      </c>
      <c r="G4">
        <v>1.2</v>
      </c>
      <c r="H4">
        <v>1</v>
      </c>
      <c r="I4">
        <v>1</v>
      </c>
      <c r="J4">
        <f>1/E4</f>
        <v>0.51228233515993282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1.9520485704192854</v>
      </c>
    </row>
    <row r="5" spans="1:22" x14ac:dyDescent="0.3">
      <c r="A5" t="s">
        <v>75</v>
      </c>
      <c r="B5" s="7">
        <f>LN(E5)</f>
        <v>1.5924995553218699</v>
      </c>
      <c r="C5">
        <f>C4</f>
        <v>-0.51082562376599072</v>
      </c>
      <c r="D5">
        <f>D4</f>
        <v>0.18232155679395459</v>
      </c>
      <c r="E5" s="15">
        <f>PARS!E5</f>
        <v>4.9160214515932923</v>
      </c>
      <c r="F5">
        <v>0.6</v>
      </c>
      <c r="G5">
        <v>1.2</v>
      </c>
      <c r="H5">
        <v>1</v>
      </c>
      <c r="I5">
        <v>1</v>
      </c>
      <c r="J5">
        <f>1/E5</f>
        <v>0.20341652489654982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">
      <c r="A6" t="s">
        <v>246</v>
      </c>
      <c r="B6" s="7">
        <f>LN(E6)</f>
        <v>0.88460225834958095</v>
      </c>
      <c r="C6">
        <f>C5</f>
        <v>-0.51082562376599072</v>
      </c>
      <c r="D6">
        <f>D5</f>
        <v>0.18232155679395459</v>
      </c>
      <c r="E6" s="15">
        <f>PARS!E6</f>
        <v>2.4220208613054854</v>
      </c>
      <c r="F6">
        <v>0.6</v>
      </c>
      <c r="G6">
        <v>1.2</v>
      </c>
      <c r="H6">
        <v>1</v>
      </c>
      <c r="I6">
        <v>1</v>
      </c>
      <c r="J6">
        <f>1/E6</f>
        <v>0.41287835954517471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-0.18050373460861199</v>
      </c>
      <c r="F7">
        <v>1.5904813099999999</v>
      </c>
      <c r="G7">
        <f>E7</f>
        <v>-0.18050373460861199</v>
      </c>
      <c r="H7">
        <v>1.41</v>
      </c>
      <c r="I7">
        <v>1</v>
      </c>
      <c r="J7">
        <f>1/E7</f>
        <v>-5.5400515793665415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">
      <c r="A8" t="s">
        <v>73</v>
      </c>
      <c r="B8">
        <f t="shared" ref="B8:D10" si="6">LN(E8)</f>
        <v>-2.257068257141849</v>
      </c>
      <c r="C8">
        <f t="shared" si="6"/>
        <v>-2.3025850929940455</v>
      </c>
      <c r="D8">
        <f t="shared" si="6"/>
        <v>-0.916290731874155</v>
      </c>
      <c r="E8" s="15">
        <f>PARS!E8</f>
        <v>0.10465686243403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9.5550351572057277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0.10465686243402998</v>
      </c>
    </row>
    <row r="9" spans="1:22" x14ac:dyDescent="0.3">
      <c r="A9" t="s">
        <v>91</v>
      </c>
      <c r="B9">
        <f t="shared" si="6"/>
        <v>-1.0885052113448099</v>
      </c>
      <c r="C9">
        <f t="shared" si="6"/>
        <v>-0.16251892949777494</v>
      </c>
      <c r="D9">
        <f t="shared" si="6"/>
        <v>0.69314718055994529</v>
      </c>
      <c r="E9" s="15">
        <f>PARS!E9</f>
        <v>0.33671944211435217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2.9698314826157062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0.33671944211435217</v>
      </c>
    </row>
    <row r="10" spans="1:22" x14ac:dyDescent="0.3">
      <c r="A10" t="s">
        <v>92</v>
      </c>
      <c r="B10">
        <f t="shared" si="6"/>
        <v>-0.99547769679109288</v>
      </c>
      <c r="C10">
        <f t="shared" si="6"/>
        <v>0.69314718055994529</v>
      </c>
      <c r="D10">
        <f t="shared" si="6"/>
        <v>1.791759469228055</v>
      </c>
      <c r="E10" s="15">
        <f>PARS!E10</f>
        <v>0.36954687101866945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2.7060166880684537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0.36954687101866945</v>
      </c>
    </row>
    <row r="11" spans="1:22" x14ac:dyDescent="0.3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">
      <c r="A12" t="s">
        <v>94</v>
      </c>
      <c r="B12">
        <f>LN(E12)</f>
        <v>0.72858791149304403</v>
      </c>
      <c r="C12">
        <f>LN(F12)</f>
        <v>0.50544436017883432</v>
      </c>
      <c r="D12">
        <f>LN(G12)</f>
        <v>1.4217350920529894</v>
      </c>
      <c r="E12" s="15">
        <f>PARS!E12</f>
        <v>2.0721524780726535</v>
      </c>
      <c r="F12">
        <f>E12*0.8</f>
        <v>1.6577219824581229</v>
      </c>
      <c r="G12">
        <f>E12*2</f>
        <v>4.1443049561453069</v>
      </c>
      <c r="H12">
        <v>1.2</v>
      </c>
      <c r="I12">
        <v>1.1499999999999999</v>
      </c>
      <c r="J12">
        <f t="shared" si="8"/>
        <v>0.48258996892454464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2.0721524780726535</v>
      </c>
    </row>
    <row r="13" spans="1:22" x14ac:dyDescent="0.3">
      <c r="A13" t="s">
        <v>93</v>
      </c>
      <c r="B13" t="e">
        <f>-LN(1/E13 -1)</f>
        <v>#NUM!</v>
      </c>
      <c r="C13">
        <f>-LN(1/F13 -1)</f>
        <v>-0.40790273033909435</v>
      </c>
      <c r="D13">
        <f>-LN(1/G13 -1)</f>
        <v>1.0551933911457412</v>
      </c>
      <c r="E13" s="15">
        <f>PARS!E13</f>
        <v>-0.23211697817935592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-3.4965613274459066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#NUM!</v>
      </c>
    </row>
    <row r="14" spans="1:22" x14ac:dyDescent="0.3">
      <c r="A14" t="s">
        <v>96</v>
      </c>
      <c r="B14">
        <f>LN(E14)</f>
        <v>-0.47218835667382131</v>
      </c>
      <c r="C14">
        <f>F14</f>
        <v>0.62810999999999995</v>
      </c>
      <c r="D14">
        <f>G14</f>
        <v>1.16649</v>
      </c>
      <c r="E14" s="15">
        <f>PARS!E14</f>
        <v>0.62363603584491722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1.6034993850943455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">
      <c r="A15" t="s">
        <v>98</v>
      </c>
      <c r="B15">
        <f>LN(E15)</f>
        <v>-1.4235557590713854</v>
      </c>
      <c r="C15">
        <f>B15*0.7</f>
        <v>-0.99648903134996969</v>
      </c>
      <c r="D15">
        <f>B15*1.3</f>
        <v>-1.8506224867928012</v>
      </c>
      <c r="E15" s="15">
        <f>PARS!E15</f>
        <v>0.24085606632549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4.1518572284935189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">
      <c r="A16" t="s">
        <v>69</v>
      </c>
      <c r="B16">
        <f>LN(E16)</f>
        <v>-0.99677828313049388</v>
      </c>
      <c r="C16">
        <f>LN(F16)</f>
        <v>-2.5836226227271579</v>
      </c>
      <c r="D16">
        <f>LN(G16)</f>
        <v>-2.5836226227271579</v>
      </c>
      <c r="E16" s="15">
        <f>PARS!E16</f>
        <v>0.3690665558198527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2.709538386046868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0.3690665558198527</v>
      </c>
    </row>
    <row r="17" spans="1:26" x14ac:dyDescent="0.3">
      <c r="A17" t="s">
        <v>76</v>
      </c>
      <c r="B17" t="e">
        <f>LN(-E17)</f>
        <v>#NUM!</v>
      </c>
      <c r="C17">
        <f>LN(-G17)</f>
        <v>-2.3025850929940455</v>
      </c>
      <c r="D17">
        <f>LN(-F17)</f>
        <v>-1.1647520911726548</v>
      </c>
      <c r="E17" s="15">
        <f>PARS!E17</f>
        <v>5.5415744644187992</v>
      </c>
      <c r="F17">
        <v>-0.312</v>
      </c>
      <c r="G17">
        <v>-0.1</v>
      </c>
      <c r="H17">
        <v>1.4</v>
      </c>
      <c r="I17">
        <v>1.4</v>
      </c>
      <c r="J17">
        <f t="shared" si="8"/>
        <v>0.18045413021529796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 t="e">
        <f>-EXP(B17)</f>
        <v>#NUM!</v>
      </c>
    </row>
    <row r="18" spans="1:26" x14ac:dyDescent="0.3">
      <c r="A18" t="s">
        <v>95</v>
      </c>
      <c r="B18">
        <f t="shared" ref="B18:D19" si="9">LN(E18)</f>
        <v>2.0039828232760502</v>
      </c>
      <c r="C18">
        <f t="shared" si="9"/>
        <v>-1.2039728043259361</v>
      </c>
      <c r="D18">
        <f t="shared" si="9"/>
        <v>-0.43078291609245423</v>
      </c>
      <c r="E18" s="15">
        <f>PARS!E18</f>
        <v>7.4185440872923563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0.13479733870058905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7.4185440872923563</v>
      </c>
    </row>
    <row r="19" spans="1:26" x14ac:dyDescent="0.3">
      <c r="A19" t="s">
        <v>70</v>
      </c>
      <c r="B19">
        <f t="shared" si="9"/>
        <v>-0.59849896242142853</v>
      </c>
      <c r="C19">
        <f t="shared" si="9"/>
        <v>1.6094379124341003</v>
      </c>
      <c r="D19">
        <f t="shared" si="9"/>
        <v>2.341805806147327</v>
      </c>
      <c r="E19" s="15">
        <f>PARS!E19</f>
        <v>0.54963604156036339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1.8193857832923348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0.54963604156036339</v>
      </c>
    </row>
    <row r="20" spans="1:26" x14ac:dyDescent="0.3">
      <c r="A20" s="6" t="s">
        <v>71</v>
      </c>
      <c r="B20">
        <f>E20</f>
        <v>0.19647409191330356</v>
      </c>
      <c r="C20">
        <f>LN(F20/100)</f>
        <v>2.9957322735539909</v>
      </c>
      <c r="D20">
        <f>LN(G20/100)</f>
        <v>2.9957322735539909</v>
      </c>
      <c r="E20" s="15">
        <f>PARS!E20</f>
        <v>0.19647409191330356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">
      <c r="A21" t="s">
        <v>72</v>
      </c>
      <c r="B21" t="e">
        <f>-LN(1/E21 -1)*1000</f>
        <v>#DIV/0!</v>
      </c>
      <c r="C21">
        <f>-LN(1/F21 -1)</f>
        <v>0</v>
      </c>
      <c r="D21">
        <f>-LN(1/G21 -1)</f>
        <v>0.40546510810816427</v>
      </c>
      <c r="E21" s="15">
        <f>PARS!E21</f>
        <v>0</v>
      </c>
      <c r="F21">
        <v>0.5</v>
      </c>
      <c r="G21">
        <v>0.6</v>
      </c>
      <c r="H21">
        <v>4.0999999999999996</v>
      </c>
      <c r="I21">
        <v>4.0999999999999996</v>
      </c>
      <c r="J21" t="e">
        <f>1000/(E21*(1-E21))</f>
        <v>#DIV/0!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#DIV/0!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">
      <c r="A22" t="s">
        <v>67</v>
      </c>
      <c r="B22" t="e">
        <f>LN(E22/10)</f>
        <v>#NUM!</v>
      </c>
      <c r="C22">
        <f>LN(F22/10)</f>
        <v>0.37156355643248301</v>
      </c>
      <c r="D22">
        <f>LN(G22/10)</f>
        <v>0.61518563909023349</v>
      </c>
      <c r="E22" s="15">
        <f>PARS!E22</f>
        <v>0</v>
      </c>
      <c r="F22">
        <v>14.5</v>
      </c>
      <c r="G22">
        <v>18.5</v>
      </c>
      <c r="H22">
        <v>4</v>
      </c>
      <c r="I22">
        <v>4</v>
      </c>
      <c r="J22" t="e">
        <f t="shared" si="8"/>
        <v>#DIV/0!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 t="e">
        <f>EXP(B22)*10</f>
        <v>#NUM!</v>
      </c>
    </row>
    <row r="23" spans="1:26" x14ac:dyDescent="0.3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-0.5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">
      <c r="A25" t="s">
        <v>189</v>
      </c>
      <c r="B25">
        <f t="shared" ref="B25:D26" si="10">E25</f>
        <v>0.5</v>
      </c>
      <c r="C25">
        <f t="shared" si="10"/>
        <v>-0.15</v>
      </c>
      <c r="D25">
        <f t="shared" si="10"/>
        <v>0.05</v>
      </c>
      <c r="E25" s="15">
        <f>PARS!E25</f>
        <v>0.5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">
      <c r="A26" t="s">
        <v>80</v>
      </c>
      <c r="B26">
        <f t="shared" si="10"/>
        <v>0.5</v>
      </c>
      <c r="C26">
        <f t="shared" si="10"/>
        <v>0</v>
      </c>
      <c r="D26">
        <f t="shared" si="10"/>
        <v>0.5</v>
      </c>
      <c r="E26" s="15">
        <f>PARS!E26</f>
        <v>0.5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">
      <c r="A27" t="s">
        <v>81</v>
      </c>
      <c r="B27">
        <f>LN(E27)</f>
        <v>-0.69314718055994529</v>
      </c>
      <c r="C27">
        <f>LN(F27)</f>
        <v>-0.35667494393873245</v>
      </c>
      <c r="D27">
        <f>LN(G27)</f>
        <v>1.0986122886681098</v>
      </c>
      <c r="E27" s="15">
        <f>PARS!E27</f>
        <v>0.5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0.5</v>
      </c>
    </row>
    <row r="28" spans="1:26" x14ac:dyDescent="0.3">
      <c r="A28" t="s">
        <v>99</v>
      </c>
      <c r="B28">
        <v>0</v>
      </c>
      <c r="C28">
        <v>0</v>
      </c>
      <c r="D28">
        <v>0</v>
      </c>
      <c r="E28" s="15">
        <f>PARS!E28</f>
        <v>0.5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">
      <c r="A30" t="s">
        <v>85</v>
      </c>
      <c r="B30" t="e">
        <f t="shared" ref="B30:D31" si="12">LN(E30)</f>
        <v>#NUM!</v>
      </c>
      <c r="C30">
        <f t="shared" si="12"/>
        <v>0</v>
      </c>
      <c r="D30">
        <f t="shared" si="12"/>
        <v>2.3025850929940459</v>
      </c>
      <c r="E30" s="15">
        <f>PARS!E30</f>
        <v>0</v>
      </c>
      <c r="F30">
        <v>1</v>
      </c>
      <c r="G30">
        <v>10</v>
      </c>
      <c r="H30">
        <v>4.0199999999999996</v>
      </c>
      <c r="I30">
        <v>5.01</v>
      </c>
      <c r="J30" t="e">
        <f t="shared" ref="J30:J31" si="13">1/E30</f>
        <v>#DIV/0!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 t="e">
        <f>EXP(B30)</f>
        <v>#NUM!</v>
      </c>
    </row>
    <row r="31" spans="1:26" x14ac:dyDescent="0.3">
      <c r="A31" t="s">
        <v>82</v>
      </c>
      <c r="B31" t="e">
        <f t="shared" si="12"/>
        <v>#NUM!</v>
      </c>
      <c r="C31">
        <f t="shared" si="12"/>
        <v>0.58778666490211906</v>
      </c>
      <c r="D31">
        <f t="shared" si="12"/>
        <v>1.3862943611198906</v>
      </c>
      <c r="E31" s="15">
        <f>PARS!E31</f>
        <v>0</v>
      </c>
      <c r="F31">
        <v>1.8</v>
      </c>
      <c r="G31">
        <v>4</v>
      </c>
      <c r="H31">
        <v>4.01</v>
      </c>
      <c r="I31">
        <v>5.0199999999999996</v>
      </c>
      <c r="J31" t="e">
        <f t="shared" si="13"/>
        <v>#DIV/0!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 t="e">
        <f>EXP(B31)</f>
        <v>#NUM!</v>
      </c>
    </row>
    <row r="32" spans="1:26" x14ac:dyDescent="0.3">
      <c r="A32" t="s">
        <v>83</v>
      </c>
      <c r="B32" t="e">
        <f t="shared" ref="B32:D32" si="14">-LN(1/E32 -1)</f>
        <v>#DIV/0!</v>
      </c>
      <c r="C32">
        <f t="shared" si="14"/>
        <v>-2.1972245773362196</v>
      </c>
      <c r="D32">
        <f t="shared" si="14"/>
        <v>6.9067547786484651</v>
      </c>
      <c r="E32" s="15">
        <f>PARS!E32</f>
        <v>0</v>
      </c>
      <c r="F32">
        <v>0.1</v>
      </c>
      <c r="G32">
        <v>0.999</v>
      </c>
      <c r="H32">
        <v>5.01</v>
      </c>
      <c r="I32">
        <v>5.03</v>
      </c>
      <c r="J32" t="e">
        <f>1/(E32*(1-E32))</f>
        <v>#DIV/0!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 t="e">
        <f>1/(1+EXP(-B32))</f>
        <v>#DIV/0!</v>
      </c>
    </row>
    <row r="33" spans="1:22" x14ac:dyDescent="0.3">
      <c r="A33" t="s">
        <v>84</v>
      </c>
      <c r="B33">
        <f>E33</f>
        <v>0</v>
      </c>
      <c r="C33">
        <f>F33</f>
        <v>0</v>
      </c>
      <c r="D33">
        <f>G33</f>
        <v>0</v>
      </c>
      <c r="E33" s="15">
        <f>PARS!E33</f>
        <v>0</v>
      </c>
      <c r="F33">
        <f>E33</f>
        <v>0</v>
      </c>
      <c r="G33">
        <f>F33</f>
        <v>0</v>
      </c>
      <c r="H33">
        <v>999.5</v>
      </c>
      <c r="I33">
        <v>5.04</v>
      </c>
      <c r="J33" t="e">
        <f>1/(E33*(1-E33))</f>
        <v>#DIV/0!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0.5</v>
      </c>
    </row>
    <row r="34" spans="1:22" x14ac:dyDescent="0.3">
      <c r="A34" t="s">
        <v>86</v>
      </c>
      <c r="B34">
        <f t="shared" ref="B34:D37" si="15">LN(E34)</f>
        <v>0.49286529838899784</v>
      </c>
      <c r="C34">
        <f t="shared" si="15"/>
        <v>-2.3025850929940455</v>
      </c>
      <c r="D34">
        <f t="shared" si="15"/>
        <v>0.69314718055994529</v>
      </c>
      <c r="E34" s="15">
        <f>PARS!E34</f>
        <v>1.637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0.61087354917532066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1.637</v>
      </c>
    </row>
    <row r="35" spans="1:22" x14ac:dyDescent="0.3">
      <c r="A35" t="s">
        <v>87</v>
      </c>
      <c r="B35" t="e">
        <f t="shared" si="15"/>
        <v>#NUM!</v>
      </c>
      <c r="C35">
        <f t="shared" si="15"/>
        <v>-0.71334988787746489</v>
      </c>
      <c r="D35">
        <f t="shared" si="15"/>
        <v>-9.4310679471241415E-2</v>
      </c>
      <c r="E35" s="15">
        <f>PARS!E35</f>
        <v>0</v>
      </c>
      <c r="F35">
        <v>0.48999999999999994</v>
      </c>
      <c r="G35">
        <v>0.90999999999999992</v>
      </c>
      <c r="H35">
        <v>6.01</v>
      </c>
      <c r="I35">
        <v>6</v>
      </c>
      <c r="J35" t="e">
        <f t="shared" si="16"/>
        <v>#DIV/0!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 t="e">
        <f>EXP(B35)</f>
        <v>#NUM!</v>
      </c>
    </row>
    <row r="36" spans="1:22" x14ac:dyDescent="0.3">
      <c r="A36" t="s">
        <v>88</v>
      </c>
      <c r="B36" t="e">
        <f t="shared" si="15"/>
        <v>#NUM!</v>
      </c>
      <c r="C36">
        <f t="shared" si="15"/>
        <v>-6.9077552789821368</v>
      </c>
      <c r="D36">
        <f t="shared" si="15"/>
        <v>2.9957322735539909</v>
      </c>
      <c r="E36" s="15">
        <f>PARS!E36</f>
        <v>0</v>
      </c>
      <c r="F36">
        <v>1E-3</v>
      </c>
      <c r="G36">
        <v>20</v>
      </c>
      <c r="H36">
        <v>6.02</v>
      </c>
      <c r="I36">
        <v>6</v>
      </c>
      <c r="J36" t="e">
        <f t="shared" si="16"/>
        <v>#DIV/0!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 t="e">
        <f>EXP(B36)</f>
        <v>#NUM!</v>
      </c>
    </row>
    <row r="37" spans="1:22" x14ac:dyDescent="0.3">
      <c r="A37" t="s">
        <v>101</v>
      </c>
      <c r="B37">
        <f t="shared" si="15"/>
        <v>3.193875959320744</v>
      </c>
      <c r="C37">
        <f t="shared" si="15"/>
        <v>-6.9077552789821368</v>
      </c>
      <c r="D37">
        <f t="shared" si="15"/>
        <v>3.1010977891993172</v>
      </c>
      <c r="E37" s="15">
        <f>PARS!E37</f>
        <v>24.382751079030985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4.1012599306728507E-2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24.382751079030989</v>
      </c>
    </row>
    <row r="38" spans="1:22" x14ac:dyDescent="0.3">
      <c r="A38" s="5" t="s">
        <v>68</v>
      </c>
      <c r="B38">
        <f>-LN(1/E38 -1)</f>
        <v>-6.2738551634264157</v>
      </c>
      <c r="C38">
        <f>-LN(1/F38 -1)</f>
        <v>-4.0005334613699206E-2</v>
      </c>
      <c r="D38">
        <f>-LN(1/G38 -1)</f>
        <v>0.84729786038720356</v>
      </c>
      <c r="E38" s="15">
        <f>PARS!E38</f>
        <v>1.8814014327029097E-3</v>
      </c>
      <c r="F38">
        <v>0.49</v>
      </c>
      <c r="G38">
        <v>0.7</v>
      </c>
      <c r="H38">
        <v>87</v>
      </c>
      <c r="I38">
        <v>87</v>
      </c>
      <c r="J38">
        <f>1/(E38*(1-E38))</f>
        <v>532.52056172658195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1.8814014327029089E-3</v>
      </c>
    </row>
    <row r="39" spans="1:22" x14ac:dyDescent="0.3">
      <c r="A39" s="3" t="s">
        <v>106</v>
      </c>
      <c r="B39" s="3">
        <v>1</v>
      </c>
      <c r="C39" s="3">
        <v>1</v>
      </c>
      <c r="D39" s="3">
        <v>1</v>
      </c>
      <c r="E39" s="15">
        <f>PARS!E39</f>
        <v>0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">
      <c r="A40" t="s">
        <v>107</v>
      </c>
      <c r="B40">
        <f>E40</f>
        <v>0.26712328767123289</v>
      </c>
      <c r="C40">
        <f>B40</f>
        <v>0.26712328767123289</v>
      </c>
      <c r="D40">
        <f>C40</f>
        <v>0.26712328767123289</v>
      </c>
      <c r="E40" s="15">
        <f>PARS!E40</f>
        <v>0.26712328767123289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3.7435897435897436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0.70559799999999995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2000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">
      <c r="A44" t="s">
        <v>89</v>
      </c>
      <c r="B44">
        <f t="shared" ref="B44:D45" si="19">E44</f>
        <v>1</v>
      </c>
      <c r="C44">
        <f t="shared" si="19"/>
        <v>1</v>
      </c>
      <c r="D44" s="3">
        <f t="shared" si="19"/>
        <v>1</v>
      </c>
      <c r="E44" s="15">
        <f>PARS!E44</f>
        <v>1</v>
      </c>
      <c r="F44">
        <f>E44</f>
        <v>1</v>
      </c>
      <c r="G44">
        <f>F44</f>
        <v>1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">
      <c r="A46" t="s">
        <v>100</v>
      </c>
      <c r="B46">
        <v>0</v>
      </c>
      <c r="C46">
        <v>0</v>
      </c>
      <c r="D46">
        <f>G46</f>
        <v>0</v>
      </c>
      <c r="E46" s="15">
        <f>PARS!E46</f>
        <v>0.1449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">
      <c r="A48" t="s">
        <v>245</v>
      </c>
      <c r="B48" s="10">
        <f t="shared" ref="B48:B53" si="21">E48</f>
        <v>0</v>
      </c>
      <c r="C48" s="10">
        <f t="shared" si="20"/>
        <v>0</v>
      </c>
      <c r="D48" s="10">
        <f>B48</f>
        <v>0</v>
      </c>
      <c r="E48" s="10">
        <f>PARS!E48</f>
        <v>0</v>
      </c>
      <c r="F48" s="10">
        <f>PARS!F48</f>
        <v>0</v>
      </c>
      <c r="G48" s="10">
        <f>PARS!G48</f>
        <v>0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">
      <c r="A49" t="s">
        <v>247</v>
      </c>
      <c r="B49" s="10">
        <f t="shared" si="21"/>
        <v>3.7</v>
      </c>
      <c r="C49" s="10">
        <f t="shared" si="20"/>
        <v>3.7</v>
      </c>
      <c r="D49" s="10">
        <f>B49</f>
        <v>3.7</v>
      </c>
      <c r="E49" s="10">
        <f>PARS!E49</f>
        <v>3.7</v>
      </c>
      <c r="F49" s="10">
        <f>PARS!F49</f>
        <v>3.7</v>
      </c>
      <c r="G49" s="10">
        <f>PARS!G49</f>
        <v>3.7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">
      <c r="A50" t="s">
        <v>178</v>
      </c>
      <c r="B50">
        <f t="shared" si="21"/>
        <v>0</v>
      </c>
      <c r="C50">
        <f t="shared" si="20"/>
        <v>0</v>
      </c>
      <c r="D50">
        <f>C50</f>
        <v>0</v>
      </c>
      <c r="E50" s="15">
        <f>PARS!E50</f>
        <v>0</v>
      </c>
      <c r="F50">
        <f>E50</f>
        <v>0</v>
      </c>
      <c r="G50">
        <f>E50</f>
        <v>0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">
      <c r="A51" t="s">
        <v>179</v>
      </c>
      <c r="B51">
        <f t="shared" si="21"/>
        <v>1.0696163149411613</v>
      </c>
      <c r="C51">
        <f t="shared" si="20"/>
        <v>1.0696163149411613</v>
      </c>
      <c r="D51">
        <f>C51</f>
        <v>1.0696163149411613</v>
      </c>
      <c r="E51" s="15">
        <f>PARS!E51</f>
        <v>1.0696163149411613</v>
      </c>
      <c r="F51">
        <f>E51</f>
        <v>1.0696163149411613</v>
      </c>
      <c r="G51">
        <f>E51</f>
        <v>1.0696163149411613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">
      <c r="A52" t="s">
        <v>180</v>
      </c>
      <c r="B52">
        <f t="shared" si="21"/>
        <v>0.99381918034015848</v>
      </c>
      <c r="C52">
        <f t="shared" si="20"/>
        <v>0.99381918034015848</v>
      </c>
      <c r="D52">
        <f>C52</f>
        <v>0.99381918034015848</v>
      </c>
      <c r="E52" s="15">
        <f>PARS!E52</f>
        <v>0.99381918034015848</v>
      </c>
      <c r="F52">
        <f>E52</f>
        <v>0.99381918034015848</v>
      </c>
      <c r="G52">
        <f>E52</f>
        <v>0.99381918034015848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">
      <c r="A54" t="s">
        <v>243</v>
      </c>
      <c r="B54" s="10">
        <v>0.35</v>
      </c>
      <c r="E54" s="15">
        <v>0.35</v>
      </c>
    </row>
    <row r="55" spans="1:21" x14ac:dyDescent="0.3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L60"/>
  <sheetViews>
    <sheetView topLeftCell="A21" workbookViewId="0">
      <selection activeCell="B36" sqref="B36"/>
    </sheetView>
  </sheetViews>
  <sheetFormatPr defaultRowHeight="14.4" x14ac:dyDescent="0.3"/>
  <cols>
    <col min="1" max="1" width="20.5546875" bestFit="1" customWidth="1"/>
    <col min="2" max="2" width="23.21875" bestFit="1" customWidth="1"/>
  </cols>
  <sheetData>
    <row r="1" spans="1:12" x14ac:dyDescent="0.3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274</v>
      </c>
      <c r="J1" t="s">
        <v>273</v>
      </c>
      <c r="K1" t="s">
        <v>239</v>
      </c>
      <c r="L1" t="s">
        <v>249</v>
      </c>
    </row>
    <row r="2" spans="1:12" x14ac:dyDescent="0.3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100</v>
      </c>
      <c r="J2">
        <v>1</v>
      </c>
      <c r="K2">
        <v>1</v>
      </c>
    </row>
    <row r="3" spans="1:12" x14ac:dyDescent="0.3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100</v>
      </c>
      <c r="J3">
        <v>1</v>
      </c>
      <c r="K3">
        <v>1</v>
      </c>
    </row>
    <row r="4" spans="1:12" x14ac:dyDescent="0.3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  <c r="J4">
        <v>1</v>
      </c>
      <c r="K4">
        <v>1</v>
      </c>
    </row>
    <row r="5" spans="1:12" x14ac:dyDescent="0.3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  <c r="I5">
        <v>1</v>
      </c>
      <c r="J5">
        <v>2</v>
      </c>
    </row>
    <row r="6" spans="1:12" x14ac:dyDescent="0.3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  <c r="I6">
        <v>1</v>
      </c>
      <c r="J6">
        <v>2</v>
      </c>
    </row>
    <row r="7" spans="1:12" x14ac:dyDescent="0.3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  <c r="I7">
        <v>1</v>
      </c>
      <c r="J7">
        <v>2</v>
      </c>
    </row>
    <row r="8" spans="1:12" x14ac:dyDescent="0.3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2" x14ac:dyDescent="0.3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  <c r="I9">
        <v>1</v>
      </c>
      <c r="J9">
        <v>2</v>
      </c>
    </row>
    <row r="10" spans="1:12" x14ac:dyDescent="0.3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  <c r="I10">
        <v>1</v>
      </c>
      <c r="J10">
        <v>2</v>
      </c>
    </row>
    <row r="11" spans="1:12" x14ac:dyDescent="0.3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  <c r="I11">
        <v>1</v>
      </c>
      <c r="J11">
        <v>2</v>
      </c>
    </row>
    <row r="12" spans="1:12" x14ac:dyDescent="0.3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2" x14ac:dyDescent="0.3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  <c r="I13">
        <v>1</v>
      </c>
      <c r="J13">
        <v>2</v>
      </c>
    </row>
    <row r="14" spans="1:12" x14ac:dyDescent="0.3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  <c r="I14">
        <v>1</v>
      </c>
      <c r="J14">
        <v>2</v>
      </c>
    </row>
    <row r="15" spans="1:12" x14ac:dyDescent="0.3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2" x14ac:dyDescent="0.3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  <c r="I16">
        <v>1</v>
      </c>
      <c r="J16">
        <v>2</v>
      </c>
    </row>
    <row r="17" spans="1:12" x14ac:dyDescent="0.3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  <c r="I17">
        <v>1</v>
      </c>
      <c r="J17">
        <v>2</v>
      </c>
    </row>
    <row r="18" spans="1:12" x14ac:dyDescent="0.3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  <c r="I18">
        <v>1</v>
      </c>
      <c r="J18">
        <v>2</v>
      </c>
    </row>
    <row r="19" spans="1:12" x14ac:dyDescent="0.3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  <c r="I19">
        <v>100</v>
      </c>
      <c r="J19">
        <v>2</v>
      </c>
    </row>
    <row r="20" spans="1:12" x14ac:dyDescent="0.3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  <c r="I20">
        <v>1</v>
      </c>
      <c r="J20">
        <v>3</v>
      </c>
    </row>
    <row r="21" spans="1:12" x14ac:dyDescent="0.3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  <c r="I21">
        <v>1</v>
      </c>
      <c r="J21">
        <v>3</v>
      </c>
    </row>
    <row r="22" spans="1:12" x14ac:dyDescent="0.3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  <c r="I22">
        <v>1</v>
      </c>
      <c r="J22">
        <v>3</v>
      </c>
    </row>
    <row r="23" spans="1:12" x14ac:dyDescent="0.3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2" x14ac:dyDescent="0.3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  <c r="I24">
        <v>1</v>
      </c>
      <c r="J24">
        <v>3</v>
      </c>
    </row>
    <row r="25" spans="1:12" x14ac:dyDescent="0.3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L25" t="s">
        <v>235</v>
      </c>
    </row>
    <row r="26" spans="1:12" x14ac:dyDescent="0.3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  <c r="I26">
        <v>1</v>
      </c>
      <c r="J26">
        <v>3</v>
      </c>
    </row>
    <row r="27" spans="1:12" x14ac:dyDescent="0.3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  <c r="I27">
        <v>1</v>
      </c>
      <c r="J27">
        <v>4</v>
      </c>
    </row>
    <row r="28" spans="1:12" x14ac:dyDescent="0.3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I28">
        <v>1</v>
      </c>
      <c r="J28">
        <v>4</v>
      </c>
      <c r="L28" t="s">
        <v>258</v>
      </c>
    </row>
    <row r="29" spans="1:12" x14ac:dyDescent="0.3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  <c r="I29">
        <v>1</v>
      </c>
      <c r="J29">
        <v>4</v>
      </c>
    </row>
    <row r="30" spans="1:12" x14ac:dyDescent="0.3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L30" t="s">
        <v>187</v>
      </c>
    </row>
    <row r="31" spans="1:12" x14ac:dyDescent="0.3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L31" t="s">
        <v>187</v>
      </c>
    </row>
    <row r="32" spans="1:12" x14ac:dyDescent="0.3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  <c r="I32">
        <v>1</v>
      </c>
      <c r="J32">
        <v>4</v>
      </c>
    </row>
    <row r="33" spans="1:12" x14ac:dyDescent="0.3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  <c r="I33">
        <v>1</v>
      </c>
      <c r="J33">
        <v>5</v>
      </c>
    </row>
    <row r="34" spans="1:12" x14ac:dyDescent="0.3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  <c r="I34">
        <v>1</v>
      </c>
      <c r="J34">
        <v>5</v>
      </c>
    </row>
    <row r="35" spans="1:12" x14ac:dyDescent="0.3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  <c r="I35">
        <v>100</v>
      </c>
      <c r="J35">
        <v>5</v>
      </c>
    </row>
    <row r="36" spans="1:12" x14ac:dyDescent="0.3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  <c r="I36">
        <v>1</v>
      </c>
      <c r="J36">
        <v>5</v>
      </c>
    </row>
    <row r="37" spans="1:12" x14ac:dyDescent="0.3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  <c r="I37">
        <v>1</v>
      </c>
      <c r="J37">
        <v>5</v>
      </c>
    </row>
    <row r="38" spans="1:12" x14ac:dyDescent="0.3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  <c r="I38">
        <v>1</v>
      </c>
      <c r="J38">
        <v>5</v>
      </c>
    </row>
    <row r="39" spans="1:12" x14ac:dyDescent="0.3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  <c r="I39">
        <v>1</v>
      </c>
      <c r="J39">
        <v>5</v>
      </c>
    </row>
    <row r="40" spans="1:12" x14ac:dyDescent="0.3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  <c r="I40">
        <v>1</v>
      </c>
      <c r="J40">
        <v>5</v>
      </c>
    </row>
    <row r="41" spans="1:12" x14ac:dyDescent="0.3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  <c r="I41">
        <v>1</v>
      </c>
      <c r="J41">
        <v>5</v>
      </c>
    </row>
    <row r="42" spans="1:12" x14ac:dyDescent="0.3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  <c r="I42">
        <v>1</v>
      </c>
      <c r="J42">
        <v>5</v>
      </c>
    </row>
    <row r="43" spans="1:12" x14ac:dyDescent="0.3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  <c r="I43">
        <v>1</v>
      </c>
      <c r="J43">
        <v>5</v>
      </c>
    </row>
    <row r="44" spans="1:12" x14ac:dyDescent="0.3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1</v>
      </c>
      <c r="F44">
        <v>6.3</v>
      </c>
      <c r="H44">
        <v>48</v>
      </c>
      <c r="I44">
        <v>1</v>
      </c>
      <c r="J44">
        <v>5</v>
      </c>
      <c r="L44" t="s">
        <v>220</v>
      </c>
    </row>
    <row r="45" spans="1:12" x14ac:dyDescent="0.3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2" x14ac:dyDescent="0.3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L46" t="s">
        <v>187</v>
      </c>
    </row>
    <row r="47" spans="1:12" x14ac:dyDescent="0.3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L47" t="s">
        <v>187</v>
      </c>
    </row>
    <row r="48" spans="1:12" x14ac:dyDescent="0.3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I48">
        <v>1</v>
      </c>
      <c r="J48">
        <v>4</v>
      </c>
      <c r="L48" t="s">
        <v>259</v>
      </c>
    </row>
    <row r="49" spans="1:12" x14ac:dyDescent="0.3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I49">
        <v>1</v>
      </c>
      <c r="L49" t="s">
        <v>271</v>
      </c>
    </row>
    <row r="50" spans="1:12" x14ac:dyDescent="0.3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I50">
        <v>1</v>
      </c>
      <c r="J50">
        <v>2</v>
      </c>
      <c r="L50" t="s">
        <v>222</v>
      </c>
    </row>
    <row r="51" spans="1:12" x14ac:dyDescent="0.3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  <c r="I51">
        <v>1</v>
      </c>
      <c r="J51">
        <v>3</v>
      </c>
    </row>
    <row r="52" spans="1:12" x14ac:dyDescent="0.3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  <c r="I52">
        <v>1</v>
      </c>
      <c r="J52">
        <v>3</v>
      </c>
    </row>
    <row r="53" spans="1:12" x14ac:dyDescent="0.3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  <c r="I53">
        <v>1</v>
      </c>
      <c r="J53">
        <v>4</v>
      </c>
    </row>
    <row r="54" spans="1:12" x14ac:dyDescent="0.3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  <c r="I54">
        <v>100</v>
      </c>
      <c r="J54">
        <v>4</v>
      </c>
    </row>
    <row r="55" spans="1:12" x14ac:dyDescent="0.3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  <c r="I55">
        <v>1</v>
      </c>
      <c r="J55">
        <v>2</v>
      </c>
    </row>
    <row r="56" spans="1:12" x14ac:dyDescent="0.3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  <c r="I56">
        <v>1</v>
      </c>
      <c r="J56">
        <v>2</v>
      </c>
    </row>
    <row r="57" spans="1:12" x14ac:dyDescent="0.3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2" x14ac:dyDescent="0.3">
      <c r="A58" t="s">
        <v>223</v>
      </c>
      <c r="B58" t="s">
        <v>223</v>
      </c>
      <c r="C58">
        <v>0.59019820000000001</v>
      </c>
      <c r="H58">
        <v>99</v>
      </c>
    </row>
    <row r="59" spans="1:12" x14ac:dyDescent="0.3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2" x14ac:dyDescent="0.3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M60" xr:uid="{A42A002A-BEAD-45BB-A257-D80A19A6BE2C}">
    <sortState xmlns:xlrd2="http://schemas.microsoft.com/office/spreadsheetml/2017/richdata2" ref="A2:L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DE1A-3CD0-4B5F-AF7C-8162600CAC0D}">
  <dimension ref="A1:C8"/>
  <sheetViews>
    <sheetView workbookViewId="0">
      <selection activeCell="A7" sqref="A7"/>
    </sheetView>
  </sheetViews>
  <sheetFormatPr defaultRowHeight="14.4" x14ac:dyDescent="0.3"/>
  <sheetData>
    <row r="1" spans="1:3" x14ac:dyDescent="0.3">
      <c r="A1">
        <v>1</v>
      </c>
      <c r="B1" t="s">
        <v>276</v>
      </c>
    </row>
    <row r="2" spans="1:3" x14ac:dyDescent="0.3">
      <c r="A2">
        <v>2</v>
      </c>
      <c r="B2" t="s">
        <v>282</v>
      </c>
    </row>
    <row r="3" spans="1:3" x14ac:dyDescent="0.3">
      <c r="B3" t="s">
        <v>277</v>
      </c>
      <c r="C3" t="s">
        <v>281</v>
      </c>
    </row>
    <row r="4" spans="1:3" x14ac:dyDescent="0.3">
      <c r="A4">
        <v>3</v>
      </c>
      <c r="B4" t="s">
        <v>278</v>
      </c>
    </row>
    <row r="5" spans="1:3" x14ac:dyDescent="0.3">
      <c r="A5">
        <v>4</v>
      </c>
      <c r="B5" t="s">
        <v>279</v>
      </c>
    </row>
    <row r="6" spans="1:3" x14ac:dyDescent="0.3">
      <c r="A6">
        <v>5</v>
      </c>
      <c r="B6" t="s">
        <v>280</v>
      </c>
    </row>
    <row r="7" spans="1:3" x14ac:dyDescent="0.3">
      <c r="A7">
        <v>7</v>
      </c>
    </row>
    <row r="8" spans="1:3" x14ac:dyDescent="0.3">
      <c r="A8">
        <v>8</v>
      </c>
      <c r="B8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4" x14ac:dyDescent="0.3"/>
  <cols>
    <col min="1" max="1" width="22.109375" customWidth="1"/>
  </cols>
  <sheetData>
    <row r="1" spans="1:4" x14ac:dyDescent="0.3">
      <c r="A1" t="s">
        <v>253</v>
      </c>
      <c r="B1">
        <f>24*365-(MOMS!C6+MOMS!C5)-MOMS!C10-MOMS!C45*9*24*365</f>
        <v>6102.7605061222803</v>
      </c>
    </row>
    <row r="2" spans="1:4" x14ac:dyDescent="0.3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">
      <c r="D3">
        <f>D2-B1</f>
        <v>-29.732071383902621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4" x14ac:dyDescent="0.3"/>
  <cols>
    <col min="1" max="1" width="13.109375" customWidth="1"/>
    <col min="2" max="2" width="15.5546875" bestFit="1" customWidth="1"/>
    <col min="3" max="4" width="9.6640625" bestFit="1" customWidth="1"/>
    <col min="5" max="9" width="8.77734375" bestFit="1" customWidth="1"/>
    <col min="10" max="10" width="14.77734375" bestFit="1" customWidth="1"/>
    <col min="11" max="12" width="8.77734375" bestFit="1" customWidth="1"/>
    <col min="13" max="13" width="9.6640625" bestFit="1" customWidth="1"/>
    <col min="14" max="14" width="8.88671875" bestFit="1" customWidth="1"/>
    <col min="15" max="16" width="8.77734375" bestFit="1" customWidth="1"/>
    <col min="17" max="19" width="15.5546875" bestFit="1" customWidth="1"/>
    <col min="20" max="21" width="8.88671875" bestFit="1" customWidth="1"/>
    <col min="22" max="22" width="17.88671875" bestFit="1" customWidth="1"/>
    <col min="23" max="23" width="21.21875" bestFit="1" customWidth="1"/>
    <col min="24" max="24" width="12.88671875" bestFit="1" customWidth="1"/>
    <col min="25" max="25" width="19.77734375" bestFit="1" customWidth="1"/>
    <col min="26" max="26" width="15.5546875" bestFit="1" customWidth="1"/>
    <col min="27" max="27" width="9.6640625" bestFit="1" customWidth="1"/>
    <col min="28" max="28" width="15.5546875" bestFit="1" customWidth="1"/>
    <col min="29" max="30" width="8.88671875" bestFit="1" customWidth="1"/>
    <col min="31" max="31" width="15.5546875" bestFit="1" customWidth="1"/>
    <col min="32" max="32" width="8.88671875" bestFit="1" customWidth="1"/>
    <col min="33" max="33" width="15.5546875" bestFit="1" customWidth="1"/>
    <col min="34" max="34" width="8.88671875" bestFit="1" customWidth="1"/>
    <col min="35" max="35" width="13.77734375" bestFit="1" customWidth="1"/>
    <col min="36" max="37" width="18.6640625" bestFit="1" customWidth="1"/>
    <col min="38" max="38" width="9.6640625" bestFit="1" customWidth="1"/>
    <col min="39" max="39" width="15.5546875" bestFit="1" customWidth="1"/>
    <col min="40" max="41" width="8.88671875" bestFit="1" customWidth="1"/>
    <col min="42" max="42" width="15.5546875" bestFit="1" customWidth="1"/>
    <col min="43" max="45" width="8.88671875" bestFit="1" customWidth="1"/>
    <col min="46" max="46" width="14.77734375" bestFit="1" customWidth="1"/>
    <col min="47" max="47" width="8.88671875" bestFit="1" customWidth="1"/>
    <col min="48" max="48" width="8.88671875" customWidth="1"/>
    <col min="49" max="49" width="8.88671875" bestFit="1" customWidth="1"/>
    <col min="50" max="53" width="15.5546875" bestFit="1" customWidth="1"/>
    <col min="54" max="54" width="8.88671875" bestFit="1" customWidth="1"/>
    <col min="55" max="55" width="14.77734375" bestFit="1" customWidth="1"/>
  </cols>
  <sheetData>
    <row r="1" spans="1:56" x14ac:dyDescent="0.3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23.21875" bestFit="1" customWidth="1"/>
    <col min="4" max="4" width="14.109375" style="20" bestFit="1" customWidth="1"/>
    <col min="5" max="5" width="16.77734375" style="20" bestFit="1" customWidth="1"/>
    <col min="6" max="24" width="10.6640625" style="20" customWidth="1"/>
    <col min="25" max="25" width="19.6640625" style="20" bestFit="1" customWidth="1"/>
    <col min="26" max="26" width="19" style="20" customWidth="1"/>
    <col min="27" max="27" width="14.44140625" style="20" bestFit="1" customWidth="1"/>
    <col min="28" max="36" width="10.6640625" style="20" customWidth="1"/>
    <col min="37" max="37" width="14.33203125" style="20" bestFit="1" customWidth="1"/>
    <col min="38" max="39" width="10.6640625" style="20" customWidth="1"/>
    <col min="40" max="40" width="19.21875" style="20" bestFit="1" customWidth="1"/>
    <col min="41" max="46" width="10.6640625" style="20" customWidth="1"/>
    <col min="47" max="47" width="23.88671875" style="20" bestFit="1" customWidth="1"/>
    <col min="48" max="49" width="17.5546875" style="20" bestFit="1" customWidth="1"/>
    <col min="50" max="50" width="17.5546875" style="20" customWidth="1"/>
    <col min="51" max="51" width="11.33203125" style="20" bestFit="1" customWidth="1"/>
    <col min="52" max="52" width="12.5546875" style="20" bestFit="1" customWidth="1"/>
    <col min="53" max="53" width="12" style="20" bestFit="1" customWidth="1"/>
    <col min="54" max="54" width="12.88671875" style="20" bestFit="1" customWidth="1"/>
    <col min="55" max="55" width="13.44140625" style="20" bestFit="1" customWidth="1"/>
    <col min="56" max="56" width="12" style="20" bestFit="1" customWidth="1"/>
    <col min="57" max="57" width="11.33203125" style="20" bestFit="1" customWidth="1"/>
    <col min="58" max="58" width="12.5546875" style="20" bestFit="1" customWidth="1"/>
  </cols>
  <sheetData>
    <row r="1" spans="1:58" x14ac:dyDescent="0.3">
      <c r="A1" s="18"/>
      <c r="B1" s="18"/>
      <c r="C1" s="18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87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28</v>
      </c>
      <c r="AE1" s="20">
        <f>MATCH(AE3,W_psid!$B$1:$CZ$1,0)</f>
        <v>27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91</v>
      </c>
      <c r="AJ1" s="20">
        <f>MATCH(AJ3,W_psid!$B$1:$CZ$1,0)</f>
        <v>93</v>
      </c>
      <c r="AK1" s="20">
        <f>MATCH(AK3,W_psid!$B$1:$CZ$1,0)</f>
        <v>89</v>
      </c>
      <c r="AL1" s="20">
        <f>MATCH(AL3,W_psid!$B$1:$CZ$1,0)</f>
        <v>97</v>
      </c>
      <c r="AM1" s="20">
        <f>MATCH(AM3,W_psid!$B$1:$CZ$1,0)</f>
        <v>99</v>
      </c>
      <c r="AN1" s="20">
        <f>MATCH(AN3,W_psid!$B$1:$CZ$1,0)</f>
        <v>90</v>
      </c>
      <c r="AO1" s="20">
        <f>MATCH(AO3,W_psid!$B$1:$CZ$1,0)</f>
        <v>92</v>
      </c>
      <c r="AP1" s="20">
        <f>MATCH(AP3,W_psid!$B$1:$CZ$1,0)</f>
        <v>88</v>
      </c>
      <c r="AQ1" s="20">
        <f>MATCH(AQ3,W_psid!$B$1:$CZ$1,0)</f>
        <v>96</v>
      </c>
      <c r="AR1" s="20">
        <f>MATCH(AR3,W_psid!$B$1:$CZ$1,0)</f>
        <v>98</v>
      </c>
      <c r="AS1" s="20">
        <f>MATCH(AS3,W_psid!$B$1:$CZ$1,0)</f>
        <v>103</v>
      </c>
      <c r="AT1" s="20">
        <f>MATCH(AT3,W_psid!$B$1:$CZ$1,0)</f>
        <v>102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MATCH(AX3,W_psid!$B$1:$CZ$1,0)</f>
        <v>30</v>
      </c>
      <c r="AY1" s="20">
        <f>MATCH(AY3,W_other!$B$1:$CT$1,0)</f>
        <v>7</v>
      </c>
      <c r="AZ1" s="20">
        <f>MATCH(AZ3,W_other!$B$1:$CT$1,0)</f>
        <v>5</v>
      </c>
      <c r="BA1" s="20">
        <f>MATCH(BA3,W_other!$B$1:$CT$1,0)</f>
        <v>1</v>
      </c>
      <c r="BB1" s="20">
        <f>MATCH(BB3,W_other!$B$1:$CT$1,0)</f>
        <v>2</v>
      </c>
      <c r="BC1" s="20">
        <f>MATCH(BC3,W_other!$B$1:$CT$1,0)</f>
        <v>4</v>
      </c>
      <c r="BD1" s="20">
        <f>MATCH(BD3,W_other!$B$1:$CT$1,0)</f>
        <v>3</v>
      </c>
      <c r="BE1" s="20">
        <f>MATCH(BE3,W_other!$B$1:$CT$1,0)</f>
        <v>8</v>
      </c>
      <c r="BF1" s="20">
        <f>MATCH(BF3,W_other!$B$1:$CT$1,0)</f>
        <v>6</v>
      </c>
    </row>
    <row r="2" spans="1:58" x14ac:dyDescent="0.3">
      <c r="A2" s="18"/>
      <c r="B2" s="18"/>
      <c r="C2" s="18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sdj_dif</v>
      </c>
      <c r="AY2" s="20" t="str">
        <f>MOMS!$A$49</f>
        <v>NLY_</v>
      </c>
      <c r="AZ2" s="20" t="str">
        <f>MOMS!$A$50</f>
        <v>shouseexp</v>
      </c>
      <c r="BA2" s="20" t="str">
        <f>MOMS!$A$51</f>
        <v>scity</v>
      </c>
      <c r="BB2" s="20" t="str">
        <f>MOMS!$A$52</f>
        <v>sjobscity</v>
      </c>
      <c r="BC2" s="20" t="str">
        <f>MOMS!$A$53</f>
        <v>p_gradient</v>
      </c>
      <c r="BD2" s="20" t="str">
        <f>MOMS!$A$54</f>
        <v>p_gradient_simple</v>
      </c>
      <c r="BE2" s="20" t="str">
        <f>MOMS!$A$55</f>
        <v>snmarried</v>
      </c>
      <c r="BF2" s="20" t="str">
        <f>MOMS!$A$56</f>
        <v>L</v>
      </c>
    </row>
    <row r="3" spans="1:58" x14ac:dyDescent="0.3">
      <c r="A3" s="18"/>
      <c r="B3" s="18"/>
      <c r="C3" s="18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sdo_dif_lm</v>
      </c>
      <c r="AE3" s="20" t="str">
        <f>VLOOKUP(AE2,MOMS!$A:$B,2,0)</f>
        <v>wdo_dif_lm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sdj_dif</v>
      </c>
      <c r="AY3" s="20" t="str">
        <f>VLOOKUP(AY2,MOMS!$A:$B,2,0)</f>
        <v>NLY_</v>
      </c>
      <c r="AZ3" s="20" t="str">
        <f>VLOOKUP(AZ2,MOMS!$A:$B,2,0)</f>
        <v>shouseexp</v>
      </c>
      <c r="BA3" s="20" t="str">
        <f>VLOOKUP(BA2,MOMS!$A:$B,2,0)</f>
        <v>scity</v>
      </c>
      <c r="BB3" s="20" t="str">
        <f>VLOOKUP(BB2,MOMS!$A:$B,2,0)</f>
        <v>sjobscity</v>
      </c>
      <c r="BC3" s="20" t="str">
        <f>VLOOKUP(BC2,MOMS!$A:$B,2,0)</f>
        <v>p_gradient</v>
      </c>
      <c r="BD3" s="20" t="str">
        <f>VLOOKUP(BD2,MOMS!$A:$B,2,0)</f>
        <v>p_gradient_simple</v>
      </c>
      <c r="BE3" s="20" t="str">
        <f>VLOOKUP(BE2,MOMS!$A:$B,2,0)</f>
        <v>snmarried</v>
      </c>
      <c r="BF3" s="20" t="str">
        <f>VLOOKUP(BF2,MOMS!$A:$B,2,0)</f>
        <v>L</v>
      </c>
    </row>
    <row r="4" spans="1:58" x14ac:dyDescent="0.3">
      <c r="A4" s="18">
        <f>MATCH(C4,W_psid!$A$2:$A$104,0)</f>
        <v>6</v>
      </c>
      <c r="B4" s="18" t="str">
        <f>MOMS!$A$2</f>
        <v>scommiles</v>
      </c>
      <c r="C4" s="18" t="str">
        <f>MOMS!$B$2</f>
        <v>scommiles</v>
      </c>
      <c r="D4" s="20" cm="1">
        <f t="array" ref="D4">INDEX(W_psid!$B$2:$CZ$104,W_!$A4,W_!D$1)/Ns!$B$1</f>
        <v>7.5300563715577959E-2</v>
      </c>
      <c r="E4" s="20" cm="1">
        <f t="array" ref="E4">INDEX(W_psid!$B$2:$CZ$104,W_!$A4,W_!E$1)/Ns!$B$1</f>
        <v>6.719527683986469E-2</v>
      </c>
      <c r="F4" s="20" cm="1">
        <f t="array" ref="F4">INDEX(W_psid!$B$2:$CZ$104,W_!$A4,W_!F$1)/Ns!$B$1</f>
        <v>6.3261032102279569E-2</v>
      </c>
      <c r="G4" s="20" cm="1">
        <f t="array" ref="G4">INDEX(W_psid!$B$2:$CZ$104,W_!$A4,W_!G$1)/Ns!$B$1</f>
        <v>1.5121189894780687</v>
      </c>
      <c r="H4" s="20" cm="1">
        <f t="array" ref="H4">INDEX(W_psid!$B$2:$CZ$104,W_!$A4,W_!H$1)/Ns!$B$1</f>
        <v>-0.54504013440802601</v>
      </c>
      <c r="I4" s="20" cm="1">
        <f t="array" ref="I4">INDEX(W_psid!$B$2:$CZ$104,W_!$A4,W_!I$1)/Ns!$B$1</f>
        <v>-0.57029501241005631</v>
      </c>
      <c r="J4" s="20" cm="1">
        <f t="array" ref="J4">INDEX(W_psid!$B$2:$CZ$104,W_!$A4,W_!J$1)/Ns!$B$1</f>
        <v>-1.301953497977993</v>
      </c>
      <c r="K4" s="20" cm="1">
        <f t="array" ref="K4">INDEX(W_psid!$B$2:$CZ$104,W_!$A4,W_!K$1)/Ns!$B$1</f>
        <v>-0.79294674678165655</v>
      </c>
      <c r="L4" s="20" cm="1">
        <f t="array" ref="L4">INDEX(W_psid!$B$2:$CZ$104,W_!$A4,W_!L$1)/Ns!$B$1</f>
        <v>-0.61849866154989741</v>
      </c>
      <c r="M4" s="20" cm="1">
        <f t="array" ref="M4">INDEX(W_psid!$B$2:$CZ$104,W_!$A4,W_!M$1)/Ns!$B$1</f>
        <v>0.32194302547290743</v>
      </c>
      <c r="N4" s="20" cm="1">
        <f t="array" ref="N4">INDEX(W_psid!$B$2:$CZ$104,W_!$A4,W_!N$1)/Ns!$B$1</f>
        <v>1.0007256124847201E-2</v>
      </c>
      <c r="O4" s="20" cm="1">
        <f t="array" ref="O4">INDEX(W_psid!$B$2:$CZ$104,W_!$A4,W_!O$1)/Ns!$B$1</f>
        <v>1.0531141259652548</v>
      </c>
      <c r="P4" s="20" cm="1">
        <f t="array" ref="P4">INDEX(W_psid!$B$2:$CZ$104,W_!$A4,W_!P$1)/Ns!$B$1</f>
        <v>0.25951679073077683</v>
      </c>
      <c r="Q4" s="20" cm="1">
        <f t="array" ref="Q4">INDEX(W_psid!$B$2:$CZ$104,W_!$A4,W_!Q$1)/Ns!$B$1</f>
        <v>0.12674004597105881</v>
      </c>
      <c r="R4" s="20" cm="1">
        <f t="array" ref="R4">INDEX(W_psid!$B$2:$CZ$104,W_!$A4,W_!R$1)/Ns!$B$1</f>
        <v>0.58147363910938721</v>
      </c>
      <c r="S4" s="20" cm="1">
        <f t="array" ref="S4">INDEX(W_psid!$B$2:$CZ$104,W_!$A4,W_!S$1)/Ns!$B$1</f>
        <v>1.6404555638092091E-4</v>
      </c>
      <c r="T4" s="20" cm="1">
        <f t="array" ref="T4">INDEX(W_psid!$B$2:$CZ$104,W_!$A4,W_!T$1)/Ns!$B$1</f>
        <v>-9.1815233339457756E-5</v>
      </c>
      <c r="U4" s="20" cm="1">
        <f t="array" ref="U4">INDEX(W_psid!$B$2:$CZ$104,W_!$A4,W_!U$1)/Ns!$B$1</f>
        <v>-9.0630980388274943E-4</v>
      </c>
      <c r="V4" s="20" cm="1">
        <f t="array" ref="V4">INDEX(W_psid!$B$2:$CZ$104,W_!$A4,W_!V$1)/Ns!$B$1</f>
        <v>-3.2270510508470546E-2</v>
      </c>
      <c r="W4" s="20" cm="1">
        <f t="array" ref="W4">INDEX(W_psid!$B$2:$CZ$104,W_!$A4,W_!W$1)/Ns!$B$1</f>
        <v>-3.1786486264284194E-2</v>
      </c>
      <c r="X4" s="20" cm="1">
        <f t="array" ref="X4">INDEX(W_psid!$B$2:$CZ$104,W_!$A4,W_!X$1)/Ns!$B$1</f>
        <v>-5.4902005932268981E-2</v>
      </c>
      <c r="Y4" s="20" cm="1">
        <f t="array" ref="Y4">INDEX(W_psid!$B$2:$CZ$104,W_!$A4,W_!Y$1)/Ns!$B$1</f>
        <v>-3.9006774329265193E-2</v>
      </c>
      <c r="Z4" s="20" cm="1">
        <f t="array" ref="Z4">INDEX(W_psid!$B$2:$CZ$104,W_!$A4,W_!Z$1)/Ns!$B$1</f>
        <v>-3.6933688140424893E-2</v>
      </c>
      <c r="AA4" s="20" cm="1">
        <f t="array" ref="AA4">INDEX(W_psid!$B$2:$CZ$104,W_!$A4,W_!AA$1)/Ns!$B$1</f>
        <v>-5.0280306713128643E-2</v>
      </c>
      <c r="AB4" s="20" cm="1">
        <f t="array" ref="AB4">INDEX(W_psid!$B$2:$CZ$104,W_!$A4,W_!AB$1)/Ns!$B$1</f>
        <v>1.1667639812260747E-2</v>
      </c>
      <c r="AC4" s="20" cm="1">
        <f t="array" ref="AC4">INDEX(W_psid!$B$2:$CZ$104,W_!$A4,W_!AC$1)/Ns!$B$1</f>
        <v>-1.2920083692881078E-4</v>
      </c>
      <c r="AD4" s="20" cm="1">
        <f t="array" ref="AD4">INDEX(W_psid!$B$2:$CZ$104,W_!$A4,W_!AD$1)/Ns!$B$1</f>
        <v>5.5266985172226545E-3</v>
      </c>
      <c r="AE4" s="20" cm="1">
        <f t="array" ref="AE4">INDEX(W_psid!$B$2:$CZ$104,W_!$A4,W_!AE$1)/Ns!$B$1</f>
        <v>-1.447866874641032E-3</v>
      </c>
      <c r="AF4" s="20" cm="1">
        <f t="array" ref="AF4">INDEX(W_psid!$B$2:$CZ$104,W_!$A4,W_!AF$1)/Ns!$B$1</f>
        <v>-1.0464585743741353</v>
      </c>
      <c r="AG4" s="20" cm="1">
        <f t="array" ref="AG4">INDEX(W_psid!$B$2:$CZ$104,W_!$A4,W_!AG$1)/Ns!$B$1</f>
        <v>-0.94032595329383661</v>
      </c>
      <c r="AH4" s="20" cm="1">
        <f t="array" ref="AH4">INDEX(W_psid!$B$2:$CZ$104,W_!$A4,W_!AH$1)/Ns!$B$1</f>
        <v>-8.4879076514409032E-4</v>
      </c>
      <c r="AI4" s="20" cm="1">
        <f t="array" ref="AI4">INDEX(W_psid!$B$2:$CZ$104,W_!$A4,W_!AI$1)/Ns!$B$1</f>
        <v>4.9453706138347098E-4</v>
      </c>
      <c r="AJ4" s="20" cm="1">
        <f t="array" ref="AJ4">INDEX(W_psid!$B$2:$CZ$104,W_!$A4,W_!AJ$1)/Ns!$B$1</f>
        <v>2.0348400898520773E-5</v>
      </c>
      <c r="AK4" s="20" cm="1">
        <f t="array" ref="AK4">INDEX(W_psid!$B$2:$CZ$104,W_!$A4,W_!AK$1)/Ns!$B$1</f>
        <v>8.9085890674188026E-2</v>
      </c>
      <c r="AL4" s="20" cm="1">
        <f t="array" ref="AL4">INDEX(W_psid!$B$2:$CZ$104,W_!$A4,W_!AL$1)/Ns!$B$1</f>
        <v>0.14021692764172106</v>
      </c>
      <c r="AM4" s="20" cm="1">
        <f t="array" ref="AM4">INDEX(W_psid!$B$2:$CZ$104,W_!$A4,W_!AM$1)/Ns!$B$1</f>
        <v>-2.8461074889114219E-2</v>
      </c>
      <c r="AN4" s="20" cm="1">
        <f t="array" ref="AN4">INDEX(W_psid!$B$2:$CZ$104,W_!$A4,W_!AN$1)/Ns!$B$1</f>
        <v>-5.3623203356500913E-3</v>
      </c>
      <c r="AO4" s="20" cm="1">
        <f t="array" ref="AO4">INDEX(W_psid!$B$2:$CZ$104,W_!$A4,W_!AO$1)/Ns!$B$1</f>
        <v>-2.8598718190060682E-5</v>
      </c>
      <c r="AP4" s="20" cm="1">
        <f t="array" ref="AP4">INDEX(W_psid!$B$2:$CZ$104,W_!$A4,W_!AP$1)/Ns!$B$1</f>
        <v>0.78019229937178458</v>
      </c>
      <c r="AQ4" s="20" cm="1">
        <f t="array" ref="AQ4">INDEX(W_psid!$B$2:$CZ$104,W_!$A4,W_!AQ$1)/Ns!$B$1</f>
        <v>0.63581028402348438</v>
      </c>
      <c r="AR4" s="20" cm="1">
        <f t="array" ref="AR4">INDEX(W_psid!$B$2:$CZ$104,W_!$A4,W_!AR$1)/Ns!$B$1</f>
        <v>-0.40230270245290478</v>
      </c>
      <c r="AS4" s="20" cm="1">
        <f t="array" ref="AS4">INDEX(W_psid!$B$2:$CZ$104,W_!$A4,W_!AS$1)/Ns!$B$1</f>
        <v>-2.2280172019381602E-5</v>
      </c>
      <c r="AT4" s="20" cm="1">
        <f t="array" ref="AT4">INDEX(W_psid!$B$2:$CZ$104,W_!$A4,W_!AT$1)/Ns!$B$1</f>
        <v>4.2417394142281895E-4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-0.7520384173790714</v>
      </c>
      <c r="AW4" s="20" cm="1">
        <f t="array" ref="AW4">INDEX(W_psid!$B$2:$CZ$104,W_!$A4,W_!AW$1)/Ns!$B$1</f>
        <v>-5.4548963219724555E-3</v>
      </c>
      <c r="AX4" s="20" cm="1">
        <f t="array" ref="AX4">INDEX(W_psid!$B$2:$CZ$104,W_!$A4,W_!AX$1)/Ns!$B$1</f>
        <v>1.1929012188305461E-2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</row>
    <row r="5" spans="1:58" x14ac:dyDescent="0.3">
      <c r="A5" s="18">
        <f>MATCH(C5,W_psid!$A$2:$A$104,0)</f>
        <v>13</v>
      </c>
      <c r="B5" s="18" t="str">
        <f>MOMS!$A$3</f>
        <v>shcommiles_dif</v>
      </c>
      <c r="C5" s="18" t="str">
        <f>MOMS!$B$3</f>
        <v>shcommiles_dif_ec</v>
      </c>
      <c r="D5" s="20" cm="1">
        <f t="array" ref="D5">INDEX(W_psid!$B$2:$CZ$104,W_!$A5,W_!D$1)/Ns!$B$1</f>
        <v>6.719527683986469E-2</v>
      </c>
      <c r="E5" s="20" cm="1">
        <f t="array" ref="E5">INDEX(W_psid!$B$2:$CZ$104,W_!$A5,W_!E$1)/Ns!$B$1</f>
        <v>0.3825806493622162</v>
      </c>
      <c r="F5" s="20" cm="1">
        <f t="array" ref="F5">INDEX(W_psid!$B$2:$CZ$104,W_!$A5,W_!F$1)/Ns!$B$1</f>
        <v>9.5290250759793027E-2</v>
      </c>
      <c r="G5" s="20" cm="1">
        <f t="array" ref="G5">INDEX(W_psid!$B$2:$CZ$104,W_!$A5,W_!G$1)/Ns!$B$1</f>
        <v>1.7484295967526231</v>
      </c>
      <c r="H5" s="20" cm="1">
        <f t="array" ref="H5">INDEX(W_psid!$B$2:$CZ$104,W_!$A5,W_!H$1)/Ns!$B$1</f>
        <v>-1.0470861789299808</v>
      </c>
      <c r="I5" s="20" cm="1">
        <f t="array" ref="I5">INDEX(W_psid!$B$2:$CZ$104,W_!$A5,W_!I$1)/Ns!$B$1</f>
        <v>-1.1484730796570566</v>
      </c>
      <c r="J5" s="20" cm="1">
        <f t="array" ref="J5">INDEX(W_psid!$B$2:$CZ$104,W_!$A5,W_!J$1)/Ns!$B$1</f>
        <v>-3.1000008729327018</v>
      </c>
      <c r="K5" s="20" cm="1">
        <f t="array" ref="K5">INDEX(W_psid!$B$2:$CZ$104,W_!$A5,W_!K$1)/Ns!$B$1</f>
        <v>-0.9338532033434005</v>
      </c>
      <c r="L5" s="20" cm="1">
        <f t="array" ref="L5">INDEX(W_psid!$B$2:$CZ$104,W_!$A5,W_!L$1)/Ns!$B$1</f>
        <v>1.7579156101273763</v>
      </c>
      <c r="M5" s="20" cm="1">
        <f t="array" ref="M5">INDEX(W_psid!$B$2:$CZ$104,W_!$A5,W_!M$1)/Ns!$B$1</f>
        <v>1.3459515553354398</v>
      </c>
      <c r="N5" s="20" cm="1">
        <f t="array" ref="N5">INDEX(W_psid!$B$2:$CZ$104,W_!$A5,W_!N$1)/Ns!$B$1</f>
        <v>-0.42692396150362272</v>
      </c>
      <c r="O5" s="20" cm="1">
        <f t="array" ref="O5">INDEX(W_psid!$B$2:$CZ$104,W_!$A5,W_!O$1)/Ns!$B$1</f>
        <v>-0.54290346208305751</v>
      </c>
      <c r="P5" s="20" cm="1">
        <f t="array" ref="P5">INDEX(W_psid!$B$2:$CZ$104,W_!$A5,W_!P$1)/Ns!$B$1</f>
        <v>0.16674849669600575</v>
      </c>
      <c r="Q5" s="20" cm="1">
        <f t="array" ref="Q5">INDEX(W_psid!$B$2:$CZ$104,W_!$A5,W_!Q$1)/Ns!$B$1</f>
        <v>-4.9665912563076802</v>
      </c>
      <c r="R5" s="20" cm="1">
        <f t="array" ref="R5">INDEX(W_psid!$B$2:$CZ$104,W_!$A5,W_!R$1)/Ns!$B$1</f>
        <v>2.5999301537871151</v>
      </c>
      <c r="S5" s="20" cm="1">
        <f t="array" ref="S5">INDEX(W_psid!$B$2:$CZ$104,W_!$A5,W_!S$1)/Ns!$B$1</f>
        <v>3.8235820130903087E-4</v>
      </c>
      <c r="T5" s="20" cm="1">
        <f t="array" ref="T5">INDEX(W_psid!$B$2:$CZ$104,W_!$A5,W_!T$1)/Ns!$B$1</f>
        <v>-1.239233749965128E-4</v>
      </c>
      <c r="U5" s="20" cm="1">
        <f t="array" ref="U5">INDEX(W_psid!$B$2:$CZ$104,W_!$A5,W_!U$1)/Ns!$B$1</f>
        <v>-4.1851442665314887E-3</v>
      </c>
      <c r="V5" s="20" cm="1">
        <f t="array" ref="V5">INDEX(W_psid!$B$2:$CZ$104,W_!$A5,W_!V$1)/Ns!$B$1</f>
        <v>-0.22250883854526451</v>
      </c>
      <c r="W5" s="20" cm="1">
        <f t="array" ref="W5">INDEX(W_psid!$B$2:$CZ$104,W_!$A5,W_!W$1)/Ns!$B$1</f>
        <v>-0.2074652143915704</v>
      </c>
      <c r="X5" s="20" cm="1">
        <f t="array" ref="X5">INDEX(W_psid!$B$2:$CZ$104,W_!$A5,W_!X$1)/Ns!$B$1</f>
        <v>-0.23826414211331268</v>
      </c>
      <c r="Y5" s="20" cm="1">
        <f t="array" ref="Y5">INDEX(W_psid!$B$2:$CZ$104,W_!$A5,W_!Y$1)/Ns!$B$1</f>
        <v>-0.21303895626676525</v>
      </c>
      <c r="Z5" s="20" cm="1">
        <f t="array" ref="Z5">INDEX(W_psid!$B$2:$CZ$104,W_!$A5,W_!Z$1)/Ns!$B$1</f>
        <v>-0.19354170291956091</v>
      </c>
      <c r="AA5" s="20" cm="1">
        <f t="array" ref="AA5">INDEX(W_psid!$B$2:$CZ$104,W_!$A5,W_!AA$1)/Ns!$B$1</f>
        <v>-0.24818652255884066</v>
      </c>
      <c r="AB5" s="20" cm="1">
        <f t="array" ref="AB5">INDEX(W_psid!$B$2:$CZ$104,W_!$A5,W_!AB$1)/Ns!$B$1</f>
        <v>-1.6933649872898024E-3</v>
      </c>
      <c r="AC5" s="20" cm="1">
        <f t="array" ref="AC5">INDEX(W_psid!$B$2:$CZ$104,W_!$A5,W_!AC$1)/Ns!$B$1</f>
        <v>1.1961015787948022E-4</v>
      </c>
      <c r="AD5" s="20" cm="1">
        <f t="array" ref="AD5">INDEX(W_psid!$B$2:$CZ$104,W_!$A5,W_!AD$1)/Ns!$B$1</f>
        <v>6.5536704595642911E-2</v>
      </c>
      <c r="AE5" s="20" cm="1">
        <f t="array" ref="AE5">INDEX(W_psid!$B$2:$CZ$104,W_!$A5,W_!AE$1)/Ns!$B$1</f>
        <v>5.5938954686950704E-3</v>
      </c>
      <c r="AF5" s="20" cm="1">
        <f t="array" ref="AF5">INDEX(W_psid!$B$2:$CZ$104,W_!$A5,W_!AF$1)/Ns!$B$1</f>
        <v>-2.2876864466641882</v>
      </c>
      <c r="AG5" s="20" cm="1">
        <f t="array" ref="AG5">INDEX(W_psid!$B$2:$CZ$104,W_!$A5,W_!AG$1)/Ns!$B$1</f>
        <v>-1.9870213895599973</v>
      </c>
      <c r="AH5" s="20" cm="1">
        <f t="array" ref="AH5">INDEX(W_psid!$B$2:$CZ$104,W_!$A5,W_!AH$1)/Ns!$B$1</f>
        <v>-1.059240996512001E-2</v>
      </c>
      <c r="AI5" s="20" cm="1">
        <f t="array" ref="AI5">INDEX(W_psid!$B$2:$CZ$104,W_!$A5,W_!AI$1)/Ns!$B$1</f>
        <v>-4.0730295313961429E-3</v>
      </c>
      <c r="AJ5" s="20" cm="1">
        <f t="array" ref="AJ5">INDEX(W_psid!$B$2:$CZ$104,W_!$A5,W_!AJ$1)/Ns!$B$1</f>
        <v>7.3560517490551801E-5</v>
      </c>
      <c r="AK5" s="20" cm="1">
        <f t="array" ref="AK5">INDEX(W_psid!$B$2:$CZ$104,W_!$A5,W_!AK$1)/Ns!$B$1</f>
        <v>0.15224834406318549</v>
      </c>
      <c r="AL5" s="20" cm="1">
        <f t="array" ref="AL5">INDEX(W_psid!$B$2:$CZ$104,W_!$A5,W_!AL$1)/Ns!$B$1</f>
        <v>0.30377692678966633</v>
      </c>
      <c r="AM5" s="20" cm="1">
        <f t="array" ref="AM5">INDEX(W_psid!$B$2:$CZ$104,W_!$A5,W_!AM$1)/Ns!$B$1</f>
        <v>5.1505124469242505E-2</v>
      </c>
      <c r="AN5" s="20" cm="1">
        <f t="array" ref="AN5">INDEX(W_psid!$B$2:$CZ$104,W_!$A5,W_!AN$1)/Ns!$B$1</f>
        <v>-8.6294955870413297E-3</v>
      </c>
      <c r="AO5" s="20" cm="1">
        <f t="array" ref="AO5">INDEX(W_psid!$B$2:$CZ$104,W_!$A5,W_!AO$1)/Ns!$B$1</f>
        <v>-4.4798889089126627E-4</v>
      </c>
      <c r="AP5" s="20" cm="1">
        <f t="array" ref="AP5">INDEX(W_psid!$B$2:$CZ$104,W_!$A5,W_!AP$1)/Ns!$B$1</f>
        <v>1.3961660478597249</v>
      </c>
      <c r="AQ5" s="20" cm="1">
        <f t="array" ref="AQ5">INDEX(W_psid!$B$2:$CZ$104,W_!$A5,W_!AQ$1)/Ns!$B$1</f>
        <v>0.63941277867111612</v>
      </c>
      <c r="AR5" s="20" cm="1">
        <f t="array" ref="AR5">INDEX(W_psid!$B$2:$CZ$104,W_!$A5,W_!AR$1)/Ns!$B$1</f>
        <v>-1.1831974263430594</v>
      </c>
      <c r="AS5" s="20" cm="1">
        <f t="array" ref="AS5">INDEX(W_psid!$B$2:$CZ$104,W_!$A5,W_!AS$1)/Ns!$B$1</f>
        <v>1.5478065331958623E-5</v>
      </c>
      <c r="AT5" s="20" cm="1">
        <f t="array" ref="AT5">INDEX(W_psid!$B$2:$CZ$104,W_!$A5,W_!AT$1)/Ns!$B$1</f>
        <v>-2.756414468033688E-4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-2.1094164463100538</v>
      </c>
      <c r="AW5" s="20" cm="1">
        <f t="array" ref="AW5">INDEX(W_psid!$B$2:$CZ$104,W_!$A5,W_!AW$1)/Ns!$B$1</f>
        <v>-7.1100079091587359E-2</v>
      </c>
      <c r="AX5" s="20" cm="1">
        <f t="array" ref="AX5">INDEX(W_psid!$B$2:$CZ$104,W_!$A5,W_!AX$1)/Ns!$B$1</f>
        <v>7.3203937945769265E-2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</row>
    <row r="6" spans="1:58" x14ac:dyDescent="0.3">
      <c r="A6" s="18">
        <f>MATCH(C6,W_psid!$A$2:$A$104,0)</f>
        <v>14</v>
      </c>
      <c r="B6" s="18" t="str">
        <f>MOMS!$A$4</f>
        <v>swcommiles_difw</v>
      </c>
      <c r="C6" s="18" t="str">
        <f>MOMS!$B$4</f>
        <v>swcommiles_difw_ec</v>
      </c>
      <c r="D6" s="20" cm="1">
        <f t="array" ref="D6">INDEX(W_psid!$B$2:$CZ$104,W_!$A6,W_!D$1)/Ns!$B$1</f>
        <v>6.3261032102279569E-2</v>
      </c>
      <c r="E6" s="20" cm="1">
        <f t="array" ref="E6">INDEX(W_psid!$B$2:$CZ$104,W_!$A6,W_!E$1)/Ns!$B$1</f>
        <v>9.5290250759793027E-2</v>
      </c>
      <c r="F6" s="20" cm="1">
        <f t="array" ref="F6">INDEX(W_psid!$B$2:$CZ$104,W_!$A6,W_!F$1)/Ns!$B$1</f>
        <v>0.32983799260423913</v>
      </c>
      <c r="G6" s="20" cm="1">
        <f t="array" ref="G6">INDEX(W_psid!$B$2:$CZ$104,W_!$A6,W_!G$1)/Ns!$B$1</f>
        <v>2.9986091904777292</v>
      </c>
      <c r="H6" s="20" cm="1">
        <f t="array" ref="H6">INDEX(W_psid!$B$2:$CZ$104,W_!$A6,W_!H$1)/Ns!$B$1</f>
        <v>-0.83793795586952635</v>
      </c>
      <c r="I6" s="20" cm="1">
        <f t="array" ref="I6">INDEX(W_psid!$B$2:$CZ$104,W_!$A6,W_!I$1)/Ns!$B$1</f>
        <v>-2.3417754309289687</v>
      </c>
      <c r="J6" s="20" cm="1">
        <f t="array" ref="J6">INDEX(W_psid!$B$2:$CZ$104,W_!$A6,W_!J$1)/Ns!$B$1</f>
        <v>-0.88094023907733265</v>
      </c>
      <c r="K6" s="20" cm="1">
        <f t="array" ref="K6">INDEX(W_psid!$B$2:$CZ$104,W_!$A6,W_!K$1)/Ns!$B$1</f>
        <v>-1.5268409310377236</v>
      </c>
      <c r="L6" s="20" cm="1">
        <f t="array" ref="L6">INDEX(W_psid!$B$2:$CZ$104,W_!$A6,W_!L$1)/Ns!$B$1</f>
        <v>3.7441485855105899E-2</v>
      </c>
      <c r="M6" s="20" cm="1">
        <f t="array" ref="M6">INDEX(W_psid!$B$2:$CZ$104,W_!$A6,W_!M$1)/Ns!$B$1</f>
        <v>-2.3671720241378482</v>
      </c>
      <c r="N6" s="20" cm="1">
        <f t="array" ref="N6">INDEX(W_psid!$B$2:$CZ$104,W_!$A6,W_!N$1)/Ns!$B$1</f>
        <v>-0.45224137177027246</v>
      </c>
      <c r="O6" s="20" cm="1">
        <f t="array" ref="O6">INDEX(W_psid!$B$2:$CZ$104,W_!$A6,W_!O$1)/Ns!$B$1</f>
        <v>0.36012500387789165</v>
      </c>
      <c r="P6" s="20" cm="1">
        <f t="array" ref="P6">INDEX(W_psid!$B$2:$CZ$104,W_!$A6,W_!P$1)/Ns!$B$1</f>
        <v>0.52896066799456121</v>
      </c>
      <c r="Q6" s="20" cm="1">
        <f t="array" ref="Q6">INDEX(W_psid!$B$2:$CZ$104,W_!$A6,W_!Q$1)/Ns!$B$1</f>
        <v>-0.23660096325698426</v>
      </c>
      <c r="R6" s="20" cm="1">
        <f t="array" ref="R6">INDEX(W_psid!$B$2:$CZ$104,W_!$A6,W_!R$1)/Ns!$B$1</f>
        <v>3.187599065670534</v>
      </c>
      <c r="S6" s="20" cm="1">
        <f t="array" ref="S6">INDEX(W_psid!$B$2:$CZ$104,W_!$A6,W_!S$1)/Ns!$B$1</f>
        <v>3.080766292763718E-4</v>
      </c>
      <c r="T6" s="20" cm="1">
        <f t="array" ref="T6">INDEX(W_psid!$B$2:$CZ$104,W_!$A6,W_!T$1)/Ns!$B$1</f>
        <v>-2.2057124625434873E-4</v>
      </c>
      <c r="U6" s="20" cm="1">
        <f t="array" ref="U6">INDEX(W_psid!$B$2:$CZ$104,W_!$A6,W_!U$1)/Ns!$B$1</f>
        <v>-1.0414560855824247E-3</v>
      </c>
      <c r="V6" s="20" cm="1">
        <f t="array" ref="V6">INDEX(W_psid!$B$2:$CZ$104,W_!$A6,W_!V$1)/Ns!$B$1</f>
        <v>-0.23256324679938939</v>
      </c>
      <c r="W6" s="20" cm="1">
        <f t="array" ref="W6">INDEX(W_psid!$B$2:$CZ$104,W_!$A6,W_!W$1)/Ns!$B$1</f>
        <v>-0.23054149884791014</v>
      </c>
      <c r="X6" s="20" cm="1">
        <f t="array" ref="X6">INDEX(W_psid!$B$2:$CZ$104,W_!$A6,W_!X$1)/Ns!$B$1</f>
        <v>-8.1706624139918471E-2</v>
      </c>
      <c r="Y6" s="20" cm="1">
        <f t="array" ref="Y6">INDEX(W_psid!$B$2:$CZ$104,W_!$A6,W_!Y$1)/Ns!$B$1</f>
        <v>-4.2781579052046471E-2</v>
      </c>
      <c r="Z6" s="20" cm="1">
        <f t="array" ref="Z6">INDEX(W_psid!$B$2:$CZ$104,W_!$A6,W_!Z$1)/Ns!$B$1</f>
        <v>-4.3256858499435093E-2</v>
      </c>
      <c r="AA6" s="20" cm="1">
        <f t="array" ref="AA6">INDEX(W_psid!$B$2:$CZ$104,W_!$A6,W_!AA$1)/Ns!$B$1</f>
        <v>-7.8149522684286349E-2</v>
      </c>
      <c r="AB6" s="20" cm="1">
        <f t="array" ref="AB6">INDEX(W_psid!$B$2:$CZ$104,W_!$A6,W_!AB$1)/Ns!$B$1</f>
        <v>3.58038613716308E-3</v>
      </c>
      <c r="AC6" s="20" cm="1">
        <f t="array" ref="AC6">INDEX(W_psid!$B$2:$CZ$104,W_!$A6,W_!AC$1)/Ns!$B$1</f>
        <v>-2.8972199090760119E-3</v>
      </c>
      <c r="AD6" s="20" cm="1">
        <f t="array" ref="AD6">INDEX(W_psid!$B$2:$CZ$104,W_!$A6,W_!AD$1)/Ns!$B$1</f>
        <v>4.6101415684232865E-2</v>
      </c>
      <c r="AE6" s="20" cm="1">
        <f t="array" ref="AE6">INDEX(W_psid!$B$2:$CZ$104,W_!$A6,W_!AE$1)/Ns!$B$1</f>
        <v>4.7111619431384149E-4</v>
      </c>
      <c r="AF6" s="20" cm="1">
        <f t="array" ref="AF6">INDEX(W_psid!$B$2:$CZ$104,W_!$A6,W_!AF$1)/Ns!$B$1</f>
        <v>-3.3203917938204288</v>
      </c>
      <c r="AG6" s="20" cm="1">
        <f t="array" ref="AG6">INDEX(W_psid!$B$2:$CZ$104,W_!$A6,W_!AG$1)/Ns!$B$1</f>
        <v>-3.0369812641366121</v>
      </c>
      <c r="AH6" s="20" cm="1">
        <f t="array" ref="AH6">INDEX(W_psid!$B$2:$CZ$104,W_!$A6,W_!AH$1)/Ns!$B$1</f>
        <v>-4.2578016101899518E-3</v>
      </c>
      <c r="AI6" s="20" cm="1">
        <f t="array" ref="AI6">INDEX(W_psid!$B$2:$CZ$104,W_!$A6,W_!AI$1)/Ns!$B$1</f>
        <v>-4.8963317057525262E-3</v>
      </c>
      <c r="AJ6" s="20" cm="1">
        <f t="array" ref="AJ6">INDEX(W_psid!$B$2:$CZ$104,W_!$A6,W_!AJ$1)/Ns!$B$1</f>
        <v>8.2055668442183562E-5</v>
      </c>
      <c r="AK6" s="20" cm="1">
        <f t="array" ref="AK6">INDEX(W_psid!$B$2:$CZ$104,W_!$A6,W_!AK$1)/Ns!$B$1</f>
        <v>0.32674575618329021</v>
      </c>
      <c r="AL6" s="20" cm="1">
        <f t="array" ref="AL6">INDEX(W_psid!$B$2:$CZ$104,W_!$A6,W_!AL$1)/Ns!$B$1</f>
        <v>0.44813250237325675</v>
      </c>
      <c r="AM6" s="20" cm="1">
        <f t="array" ref="AM6">INDEX(W_psid!$B$2:$CZ$104,W_!$A6,W_!AM$1)/Ns!$B$1</f>
        <v>-8.8305435662053844E-2</v>
      </c>
      <c r="AN6" s="20" cm="1">
        <f t="array" ref="AN6">INDEX(W_psid!$B$2:$CZ$104,W_!$A6,W_!AN$1)/Ns!$B$1</f>
        <v>-1.1023985276747516E-2</v>
      </c>
      <c r="AO6" s="20" cm="1">
        <f t="array" ref="AO6">INDEX(W_psid!$B$2:$CZ$104,W_!$A6,W_!AO$1)/Ns!$B$1</f>
        <v>8.1145447449764235E-5</v>
      </c>
      <c r="AP6" s="20" cm="1">
        <f t="array" ref="AP6">INDEX(W_psid!$B$2:$CZ$104,W_!$A6,W_!AP$1)/Ns!$B$1</f>
        <v>0.88764832509860148</v>
      </c>
      <c r="AQ6" s="20" cm="1">
        <f t="array" ref="AQ6">INDEX(W_psid!$B$2:$CZ$104,W_!$A6,W_!AQ$1)/Ns!$B$1</f>
        <v>1.2906369533533169</v>
      </c>
      <c r="AR6" s="20" cm="1">
        <f t="array" ref="AR6">INDEX(W_psid!$B$2:$CZ$104,W_!$A6,W_!AR$1)/Ns!$B$1</f>
        <v>-1.2623895991841376</v>
      </c>
      <c r="AS6" s="20" cm="1">
        <f t="array" ref="AS6">INDEX(W_psid!$B$2:$CZ$104,W_!$A6,W_!AS$1)/Ns!$B$1</f>
        <v>-1.8002352793176632E-5</v>
      </c>
      <c r="AT6" s="20" cm="1">
        <f t="array" ref="AT6">INDEX(W_psid!$B$2:$CZ$104,W_!$A6,W_!AT$1)/Ns!$B$1</f>
        <v>5.4582229857315671E-4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-1.7462127499138047</v>
      </c>
      <c r="AW6" s="20" cm="1">
        <f t="array" ref="AW6">INDEX(W_psid!$B$2:$CZ$104,W_!$A6,W_!AW$1)/Ns!$B$1</f>
        <v>4.2593638033966881E-3</v>
      </c>
      <c r="AX6" s="20" cm="1">
        <f t="array" ref="AX6">INDEX(W_psid!$B$2:$CZ$104,W_!$A6,W_!AX$1)/Ns!$B$1</f>
        <v>4.7168123484154327E-2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</row>
    <row r="7" spans="1:58" x14ac:dyDescent="0.3">
      <c r="A7" s="18">
        <f>MATCH(C7,W_psid!$A$2:$A$104,0)</f>
        <v>45</v>
      </c>
      <c r="B7" s="18" t="str">
        <f>MOMS!$A$5</f>
        <v>whours_pww_dif</v>
      </c>
      <c r="C7" s="18" t="str">
        <f>MOMS!$B$5</f>
        <v>whours_pww_dif</v>
      </c>
      <c r="D7" s="20" cm="1">
        <f t="array" ref="D7">INDEX(W_psid!$B$2:$CZ$104,W_!$A7,W_!D$1)/Ns!$B$1</f>
        <v>1.5121189894780687</v>
      </c>
      <c r="E7" s="20" cm="1">
        <f t="array" ref="E7">INDEX(W_psid!$B$2:$CZ$104,W_!$A7,W_!E$1)/Ns!$B$1</f>
        <v>1.7484295967526231</v>
      </c>
      <c r="F7" s="20" cm="1">
        <f t="array" ref="F7">INDEX(W_psid!$B$2:$CZ$104,W_!$A7,W_!F$1)/Ns!$B$1</f>
        <v>2.9986091904777292</v>
      </c>
      <c r="G7" s="20" cm="1">
        <f t="array" ref="G7">INDEX(W_psid!$B$2:$CZ$104,W_!$A7,W_!G$1)/Ns!$B$1</f>
        <v>289.5150244218101</v>
      </c>
      <c r="H7" s="20" cm="1">
        <f t="array" ref="H7">INDEX(W_psid!$B$2:$CZ$104,W_!$A7,W_!H$1)/Ns!$B$1</f>
        <v>-58.399066556791297</v>
      </c>
      <c r="I7" s="20" cm="1">
        <f t="array" ref="I7">INDEX(W_psid!$B$2:$CZ$104,W_!$A7,W_!I$1)/Ns!$B$1</f>
        <v>-41.136810372366263</v>
      </c>
      <c r="J7" s="20" cm="1">
        <f t="array" ref="J7">INDEX(W_psid!$B$2:$CZ$104,W_!$A7,W_!J$1)/Ns!$B$1</f>
        <v>-121.42686928567561</v>
      </c>
      <c r="K7" s="20" cm="1">
        <f t="array" ref="K7">INDEX(W_psid!$B$2:$CZ$104,W_!$A7,W_!K$1)/Ns!$B$1</f>
        <v>-38.12142933445984</v>
      </c>
      <c r="L7" s="20" cm="1">
        <f t="array" ref="L7">INDEX(W_psid!$B$2:$CZ$104,W_!$A7,W_!L$1)/Ns!$B$1</f>
        <v>-41.168266947399168</v>
      </c>
      <c r="M7" s="20" cm="1">
        <f t="array" ref="M7">INDEX(W_psid!$B$2:$CZ$104,W_!$A7,W_!M$1)/Ns!$B$1</f>
        <v>15.834850378806623</v>
      </c>
      <c r="N7" s="20" cm="1">
        <f t="array" ref="N7">INDEX(W_psid!$B$2:$CZ$104,W_!$A7,W_!N$1)/Ns!$B$1</f>
        <v>-5.0167886346806672</v>
      </c>
      <c r="O7" s="20" cm="1">
        <f t="array" ref="O7">INDEX(W_psid!$B$2:$CZ$104,W_!$A7,W_!O$1)/Ns!$B$1</f>
        <v>55.168622581061264</v>
      </c>
      <c r="P7" s="20" cm="1">
        <f t="array" ref="P7">INDEX(W_psid!$B$2:$CZ$104,W_!$A7,W_!P$1)/Ns!$B$1</f>
        <v>4.8563948713868914</v>
      </c>
      <c r="Q7" s="20" cm="1">
        <f t="array" ref="Q7">INDEX(W_psid!$B$2:$CZ$104,W_!$A7,W_!Q$1)/Ns!$B$1</f>
        <v>-57.742872783374089</v>
      </c>
      <c r="R7" s="20" cm="1">
        <f t="array" ref="R7">INDEX(W_psid!$B$2:$CZ$104,W_!$A7,W_!R$1)/Ns!$B$1</f>
        <v>75.793313992170354</v>
      </c>
      <c r="S7" s="20" cm="1">
        <f t="array" ref="S7">INDEX(W_psid!$B$2:$CZ$104,W_!$A7,W_!S$1)/Ns!$B$1</f>
        <v>4.9694127889082354E-2</v>
      </c>
      <c r="T7" s="20" cm="1">
        <f t="array" ref="T7">INDEX(W_psid!$B$2:$CZ$104,W_!$A7,W_!T$1)/Ns!$B$1</f>
        <v>-9.3678146378609346E-3</v>
      </c>
      <c r="U7" s="20" cm="1">
        <f t="array" ref="U7">INDEX(W_psid!$B$2:$CZ$104,W_!$A7,W_!U$1)/Ns!$B$1</f>
        <v>5.5124757218783314E-2</v>
      </c>
      <c r="V7" s="20" cm="1">
        <f t="array" ref="V7">INDEX(W_psid!$B$2:$CZ$104,W_!$A7,W_!V$1)/Ns!$B$1</f>
        <v>-10.156293304889534</v>
      </c>
      <c r="W7" s="20" cm="1">
        <f t="array" ref="W7">INDEX(W_psid!$B$2:$CZ$104,W_!$A7,W_!W$1)/Ns!$B$1</f>
        <v>-10.036088588048495</v>
      </c>
      <c r="X7" s="20" cm="1">
        <f t="array" ref="X7">INDEX(W_psid!$B$2:$CZ$104,W_!$A7,W_!X$1)/Ns!$B$1</f>
        <v>-5.8114909165292792</v>
      </c>
      <c r="Y7" s="20" cm="1">
        <f t="array" ref="Y7">INDEX(W_psid!$B$2:$CZ$104,W_!$A7,W_!Y$1)/Ns!$B$1</f>
        <v>-4.4112061587029512</v>
      </c>
      <c r="Z7" s="20" cm="1">
        <f t="array" ref="Z7">INDEX(W_psid!$B$2:$CZ$104,W_!$A7,W_!Z$1)/Ns!$B$1</f>
        <v>-3.8019539374599161</v>
      </c>
      <c r="AA7" s="20" cm="1">
        <f t="array" ref="AA7">INDEX(W_psid!$B$2:$CZ$104,W_!$A7,W_!AA$1)/Ns!$B$1</f>
        <v>-5.2502841497510673</v>
      </c>
      <c r="AB7" s="20" cm="1">
        <f t="array" ref="AB7">INDEX(W_psid!$B$2:$CZ$104,W_!$A7,W_!AB$1)/Ns!$B$1</f>
        <v>0.20663652693768039</v>
      </c>
      <c r="AC7" s="20" cm="1">
        <f t="array" ref="AC7">INDEX(W_psid!$B$2:$CZ$104,W_!$A7,W_!AC$1)/Ns!$B$1</f>
        <v>-4.0340478389971235E-2</v>
      </c>
      <c r="AD7" s="20" cm="1">
        <f t="array" ref="AD7">INDEX(W_psid!$B$2:$CZ$104,W_!$A7,W_!AD$1)/Ns!$B$1</f>
        <v>1.0547100697018719</v>
      </c>
      <c r="AE7" s="20" cm="1">
        <f t="array" ref="AE7">INDEX(W_psid!$B$2:$CZ$104,W_!$A7,W_!AE$1)/Ns!$B$1</f>
        <v>0.63031186983693155</v>
      </c>
      <c r="AF7" s="20" cm="1">
        <f t="array" ref="AF7">INDEX(W_psid!$B$2:$CZ$104,W_!$A7,W_!AF$1)/Ns!$B$1</f>
        <v>-123.54837249714191</v>
      </c>
      <c r="AG7" s="20" cm="1">
        <f t="array" ref="AG7">INDEX(W_psid!$B$2:$CZ$104,W_!$A7,W_!AG$1)/Ns!$B$1</f>
        <v>-112.23045756153341</v>
      </c>
      <c r="AH7" s="20" cm="1">
        <f t="array" ref="AH7">INDEX(W_psid!$B$2:$CZ$104,W_!$A7,W_!AH$1)/Ns!$B$1</f>
        <v>-0.25002223925863598</v>
      </c>
      <c r="AI7" s="20" cm="1">
        <f t="array" ref="AI7">INDEX(W_psid!$B$2:$CZ$104,W_!$A7,W_!AI$1)/Ns!$B$1</f>
        <v>-0.20023714802509623</v>
      </c>
      <c r="AJ7" s="20" cm="1">
        <f t="array" ref="AJ7">INDEX(W_psid!$B$2:$CZ$104,W_!$A7,W_!AJ$1)/Ns!$B$1</f>
        <v>3.9009449369285963E-3</v>
      </c>
      <c r="AK7" s="20" cm="1">
        <f t="array" ref="AK7">INDEX(W_psid!$B$2:$CZ$104,W_!$A7,W_!AK$1)/Ns!$B$1</f>
        <v>9.6845008567579391</v>
      </c>
      <c r="AL7" s="20" cm="1">
        <f t="array" ref="AL7">INDEX(W_psid!$B$2:$CZ$104,W_!$A7,W_!AL$1)/Ns!$B$1</f>
        <v>17.449720940823376</v>
      </c>
      <c r="AM7" s="20" cm="1">
        <f t="array" ref="AM7">INDEX(W_psid!$B$2:$CZ$104,W_!$A7,W_!AM$1)/Ns!$B$1</f>
        <v>-4.3639392008010383</v>
      </c>
      <c r="AN7" s="20" cm="1">
        <f t="array" ref="AN7">INDEX(W_psid!$B$2:$CZ$104,W_!$A7,W_!AN$1)/Ns!$B$1</f>
        <v>-0.59736431841097892</v>
      </c>
      <c r="AO7" s="20" cm="1">
        <f t="array" ref="AO7">INDEX(W_psid!$B$2:$CZ$104,W_!$A7,W_!AO$1)/Ns!$B$1</f>
        <v>-2.9786419284305401E-3</v>
      </c>
      <c r="AP7" s="20" cm="1">
        <f t="array" ref="AP7">INDEX(W_psid!$B$2:$CZ$104,W_!$A7,W_!AP$1)/Ns!$B$1</f>
        <v>38.251949018252837</v>
      </c>
      <c r="AQ7" s="20" cm="1">
        <f t="array" ref="AQ7">INDEX(W_psid!$B$2:$CZ$104,W_!$A7,W_!AQ$1)/Ns!$B$1</f>
        <v>29.208661238095363</v>
      </c>
      <c r="AR7" s="20" cm="1">
        <f t="array" ref="AR7">INDEX(W_psid!$B$2:$CZ$104,W_!$A7,W_!AR$1)/Ns!$B$1</f>
        <v>-38.757353197480946</v>
      </c>
      <c r="AS7" s="20" cm="1">
        <f t="array" ref="AS7">INDEX(W_psid!$B$2:$CZ$104,W_!$A7,W_!AS$1)/Ns!$B$1</f>
        <v>-2.1940925594440817E-3</v>
      </c>
      <c r="AT7" s="20" cm="1">
        <f t="array" ref="AT7">INDEX(W_psid!$B$2:$CZ$104,W_!$A7,W_!AT$1)/Ns!$B$1</f>
        <v>2.1997341341296179E-2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-41.982175406508176</v>
      </c>
      <c r="AW7" s="20" cm="1">
        <f t="array" ref="AW7">INDEX(W_psid!$B$2:$CZ$104,W_!$A7,W_!AW$1)/Ns!$B$1</f>
        <v>0.39892294125107586</v>
      </c>
      <c r="AX7" s="20" cm="1">
        <f t="array" ref="AX7">INDEX(W_psid!$B$2:$CZ$104,W_!$A7,W_!AX$1)/Ns!$B$1</f>
        <v>1.4294378864730664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</row>
    <row r="8" spans="1:58" x14ac:dyDescent="0.3">
      <c r="A8" s="18">
        <f>MATCH(C8,W_psid!$A$2:$A$104,0)</f>
        <v>43</v>
      </c>
      <c r="B8" s="18" t="str">
        <f>MOMS!$A$6</f>
        <v>hhours_pww</v>
      </c>
      <c r="C8" s="18" t="str">
        <f>MOMS!$B$6</f>
        <v>hhours_pww</v>
      </c>
      <c r="D8" s="20" cm="1">
        <f t="array" ref="D8">INDEX(W_psid!$B$2:$CZ$104,W_!$A8,W_!D$1)/Ns!$B$1</f>
        <v>-0.54504013440802601</v>
      </c>
      <c r="E8" s="20" cm="1">
        <f t="array" ref="E8">INDEX(W_psid!$B$2:$CZ$104,W_!$A8,W_!E$1)/Ns!$B$1</f>
        <v>-1.0470861789299808</v>
      </c>
      <c r="F8" s="20" cm="1">
        <f t="array" ref="F8">INDEX(W_psid!$B$2:$CZ$104,W_!$A8,W_!F$1)/Ns!$B$1</f>
        <v>-0.83793795586952635</v>
      </c>
      <c r="G8" s="20" cm="1">
        <f t="array" ref="G8">INDEX(W_psid!$B$2:$CZ$104,W_!$A8,W_!G$1)/Ns!$B$1</f>
        <v>-58.399066556791297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-4.526712423842878</v>
      </c>
      <c r="J8" s="20" cm="1">
        <f t="array" ref="J8">INDEX(W_psid!$B$2:$CZ$104,W_!$A8,W_!J$1)/Ns!$B$1</f>
        <v>20.131856988675171</v>
      </c>
      <c r="K8" s="20" cm="1">
        <f t="array" ref="K8">INDEX(W_psid!$B$2:$CZ$104,W_!$A8,W_!K$1)/Ns!$B$1</f>
        <v>31.45389986712031</v>
      </c>
      <c r="L8" s="20" cm="1">
        <f t="array" ref="L8">INDEX(W_psid!$B$2:$CZ$104,W_!$A8,W_!L$1)/Ns!$B$1</f>
        <v>-23.515948830923715</v>
      </c>
      <c r="M8" s="20" cm="1">
        <f t="array" ref="M8">INDEX(W_psid!$B$2:$CZ$104,W_!$A8,W_!M$1)/Ns!$B$1</f>
        <v>-20.724064457615274</v>
      </c>
      <c r="N8" s="20" cm="1">
        <f t="array" ref="N8">INDEX(W_psid!$B$2:$CZ$104,W_!$A8,W_!N$1)/Ns!$B$1</f>
        <v>9.6536928921084151</v>
      </c>
      <c r="O8" s="20" cm="1">
        <f t="array" ref="O8">INDEX(W_psid!$B$2:$CZ$104,W_!$A8,W_!O$1)/Ns!$B$1</f>
        <v>15.265138809707166</v>
      </c>
      <c r="P8" s="20" cm="1">
        <f t="array" ref="P8">INDEX(W_psid!$B$2:$CZ$104,W_!$A8,W_!P$1)/Ns!$B$1</f>
        <v>-7.569602816461571</v>
      </c>
      <c r="Q8" s="20" cm="1">
        <f t="array" ref="Q8">INDEX(W_psid!$B$2:$CZ$104,W_!$A8,W_!Q$1)/Ns!$B$1</f>
        <v>-48.456880860037323</v>
      </c>
      <c r="R8" s="20" cm="1">
        <f t="array" ref="R8">INDEX(W_psid!$B$2:$CZ$104,W_!$A8,W_!R$1)/Ns!$B$1</f>
        <v>-23.210982420542383</v>
      </c>
      <c r="S8" s="20" cm="1">
        <f t="array" ref="S8">INDEX(W_psid!$B$2:$CZ$104,W_!$A8,W_!S$1)/Ns!$B$1</f>
        <v>2.2897992100573707E-3</v>
      </c>
      <c r="T8" s="20" cm="1">
        <f t="array" ref="T8">INDEX(W_psid!$B$2:$CZ$104,W_!$A8,W_!T$1)/Ns!$B$1</f>
        <v>5.4200651509371308E-3</v>
      </c>
      <c r="U8" s="20" cm="1">
        <f t="array" ref="U8">INDEX(W_psid!$B$2:$CZ$104,W_!$A8,W_!U$1)/Ns!$B$1</f>
        <v>4.2319125724907092E-2</v>
      </c>
      <c r="V8" s="20" cm="1">
        <f t="array" ref="V8">INDEX(W_psid!$B$2:$CZ$104,W_!$A8,W_!V$1)/Ns!$B$1</f>
        <v>2.6085869553976395</v>
      </c>
      <c r="W8" s="20" cm="1">
        <f t="array" ref="W8">INDEX(W_psid!$B$2:$CZ$104,W_!$A8,W_!W$1)/Ns!$B$1</f>
        <v>2.5828791666323592</v>
      </c>
      <c r="X8" s="20" cm="1">
        <f t="array" ref="X8">INDEX(W_psid!$B$2:$CZ$104,W_!$A8,W_!X$1)/Ns!$B$1</f>
        <v>1.7136865009747146</v>
      </c>
      <c r="Y8" s="20" cm="1">
        <f t="array" ref="Y8">INDEX(W_psid!$B$2:$CZ$104,W_!$A8,W_!Y$1)/Ns!$B$1</f>
        <v>1.7963035176988975</v>
      </c>
      <c r="Z8" s="20" cm="1">
        <f t="array" ref="Z8">INDEX(W_psid!$B$2:$CZ$104,W_!$A8,W_!Z$1)/Ns!$B$1</f>
        <v>1.9238626097394409</v>
      </c>
      <c r="AA8" s="20" cm="1">
        <f t="array" ref="AA8">INDEX(W_psid!$B$2:$CZ$104,W_!$A8,W_!AA$1)/Ns!$B$1</f>
        <v>2.0515247937380416</v>
      </c>
      <c r="AB8" s="20" cm="1">
        <f t="array" ref="AB8">INDEX(W_psid!$B$2:$CZ$104,W_!$A8,W_!AB$1)/Ns!$B$1</f>
        <v>0.71081346536024348</v>
      </c>
      <c r="AC8" s="20" cm="1">
        <f t="array" ref="AC8">INDEX(W_psid!$B$2:$CZ$104,W_!$A8,W_!AC$1)/Ns!$B$1</f>
        <v>2.1270513805484583E-2</v>
      </c>
      <c r="AD8" s="20" cm="1">
        <f t="array" ref="AD8">INDEX(W_psid!$B$2:$CZ$104,W_!$A8,W_!AD$1)/Ns!$B$1</f>
        <v>-0.26559671672620366</v>
      </c>
      <c r="AE8" s="20" cm="1">
        <f t="array" ref="AE8">INDEX(W_psid!$B$2:$CZ$104,W_!$A8,W_!AE$1)/Ns!$B$1</f>
        <v>-0.26039377264266361</v>
      </c>
      <c r="AF8" s="20" cm="1">
        <f t="array" ref="AF8">INDEX(W_psid!$B$2:$CZ$104,W_!$A8,W_!AF$1)/Ns!$B$1</f>
        <v>28.908313366023034</v>
      </c>
      <c r="AG8" s="20" cm="1">
        <f t="array" ref="AG8">INDEX(W_psid!$B$2:$CZ$104,W_!$A8,W_!AG$1)/Ns!$B$1</f>
        <v>26.80701487485868</v>
      </c>
      <c r="AH8" s="20" cm="1">
        <f t="array" ref="AH8">INDEX(W_psid!$B$2:$CZ$104,W_!$A8,W_!AH$1)/Ns!$B$1</f>
        <v>0.13730988708007258</v>
      </c>
      <c r="AI8" s="20" cm="1">
        <f t="array" ref="AI8">INDEX(W_psid!$B$2:$CZ$104,W_!$A8,W_!AI$1)/Ns!$B$1</f>
        <v>4.4966380764230499E-2</v>
      </c>
      <c r="AJ8" s="20" cm="1">
        <f t="array" ref="AJ8">INDEX(W_psid!$B$2:$CZ$104,W_!$A8,W_!AJ$1)/Ns!$B$1</f>
        <v>-4.9854796004483867E-4</v>
      </c>
      <c r="AK8" s="20" cm="1">
        <f t="array" ref="AK8">INDEX(W_psid!$B$2:$CZ$104,W_!$A8,W_!AK$1)/Ns!$B$1</f>
        <v>-1.3021487116769972</v>
      </c>
      <c r="AL8" s="20" cm="1">
        <f t="array" ref="AL8">INDEX(W_psid!$B$2:$CZ$104,W_!$A8,W_!AL$1)/Ns!$B$1</f>
        <v>-2.7962130401665544</v>
      </c>
      <c r="AM8" s="20" cm="1">
        <f t="array" ref="AM8">INDEX(W_psid!$B$2:$CZ$104,W_!$A8,W_!AM$1)/Ns!$B$1</f>
        <v>-0.6773253472438856</v>
      </c>
      <c r="AN8" s="20" cm="1">
        <f t="array" ref="AN8">INDEX(W_psid!$B$2:$CZ$104,W_!$A8,W_!AN$1)/Ns!$B$1</f>
        <v>-0.17962414737248109</v>
      </c>
      <c r="AO8" s="20" cm="1">
        <f t="array" ref="AO8">INDEX(W_psid!$B$2:$CZ$104,W_!$A8,W_!AO$1)/Ns!$B$1</f>
        <v>-8.5093612571747468E-4</v>
      </c>
      <c r="AP8" s="20" cm="1">
        <f t="array" ref="AP8">INDEX(W_psid!$B$2:$CZ$104,W_!$A8,W_!AP$1)/Ns!$B$1</f>
        <v>2.5138056360901047</v>
      </c>
      <c r="AQ8" s="20" cm="1">
        <f t="array" ref="AQ8">INDEX(W_psid!$B$2:$CZ$104,W_!$A8,W_!AQ$1)/Ns!$B$1</f>
        <v>3.5500448759195637</v>
      </c>
      <c r="AR8" s="20" cm="1">
        <f t="array" ref="AR8">INDEX(W_psid!$B$2:$CZ$104,W_!$A8,W_!AR$1)/Ns!$B$1</f>
        <v>16.65563956510692</v>
      </c>
      <c r="AS8" s="20" cm="1">
        <f t="array" ref="AS8">INDEX(W_psid!$B$2:$CZ$104,W_!$A8,W_!AS$1)/Ns!$B$1</f>
        <v>1.3486814913574866E-3</v>
      </c>
      <c r="AT8" s="20" cm="1">
        <f t="array" ref="AT8">INDEX(W_psid!$B$2:$CZ$104,W_!$A8,W_!AT$1)/Ns!$B$1</f>
        <v>-1.1092964699444183E-2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21.083875855888977</v>
      </c>
      <c r="AW8" s="20" cm="1">
        <f t="array" ref="AW8">INDEX(W_psid!$B$2:$CZ$104,W_!$A8,W_!AW$1)/Ns!$B$1</f>
        <v>1.3543894767043383</v>
      </c>
      <c r="AX8" s="20" cm="1">
        <f t="array" ref="AX8">INDEX(W_psid!$B$2:$CZ$104,W_!$A8,W_!AX$1)/Ns!$B$1</f>
        <v>-0.10169793643099743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</row>
    <row r="9" spans="1:58" x14ac:dyDescent="0.3">
      <c r="A9" s="18">
        <f>MATCH(C9,W_psid!$A$2:$A$104,0)</f>
        <v>44</v>
      </c>
      <c r="B9" s="18" t="str">
        <f>MOMS!$A$7</f>
        <v>hhours_pwn_dif</v>
      </c>
      <c r="C9" s="18" t="str">
        <f>MOMS!$B$7</f>
        <v>hhours_pwn_dif</v>
      </c>
      <c r="D9" s="20" cm="1">
        <f t="array" ref="D9">INDEX(W_psid!$B$2:$CZ$104,W_!$A9,W_!D$1)/Ns!$B$1</f>
        <v>-0.57029501241005631</v>
      </c>
      <c r="E9" s="20" cm="1">
        <f t="array" ref="E9">INDEX(W_psid!$B$2:$CZ$104,W_!$A9,W_!E$1)/Ns!$B$1</f>
        <v>-1.1484730796570566</v>
      </c>
      <c r="F9" s="20" cm="1">
        <f t="array" ref="F9">INDEX(W_psid!$B$2:$CZ$104,W_!$A9,W_!F$1)/Ns!$B$1</f>
        <v>-2.3417754309289687</v>
      </c>
      <c r="G9" s="20" cm="1">
        <f t="array" ref="G9">INDEX(W_psid!$B$2:$CZ$104,W_!$A9,W_!G$1)/Ns!$B$1</f>
        <v>-41.136810372366263</v>
      </c>
      <c r="H9" s="20" cm="1">
        <f t="array" ref="H9">INDEX(W_psid!$B$2:$CZ$104,W_!$A9,W_!H$1)/Ns!$B$1</f>
        <v>-4.526712423842878</v>
      </c>
      <c r="I9" s="20" cm="1">
        <f t="array" ref="I9">INDEX(W_psid!$B$2:$CZ$104,W_!$A9,W_!I$1)/Ns!$B$1</f>
        <v>131.33951303891945</v>
      </c>
      <c r="J9" s="20" cm="1">
        <f t="array" ref="J9">INDEX(W_psid!$B$2:$CZ$104,W_!$A9,W_!J$1)/Ns!$B$1</f>
        <v>34.997074368930612</v>
      </c>
      <c r="K9" s="20" cm="1">
        <f t="array" ref="K9">INDEX(W_psid!$B$2:$CZ$104,W_!$A9,W_!K$1)/Ns!$B$1</f>
        <v>49.061854066289406</v>
      </c>
      <c r="L9" s="20" cm="1">
        <f t="array" ref="L9">INDEX(W_psid!$B$2:$CZ$104,W_!$A9,W_!L$1)/Ns!$B$1</f>
        <v>-12.712775843558386</v>
      </c>
      <c r="M9" s="20" cm="1">
        <f t="array" ref="M9">INDEX(W_psid!$B$2:$CZ$104,W_!$A9,W_!M$1)/Ns!$B$1</f>
        <v>4.3532291031472248</v>
      </c>
      <c r="N9" s="20" cm="1">
        <f t="array" ref="N9">INDEX(W_psid!$B$2:$CZ$104,W_!$A9,W_!N$1)/Ns!$B$1</f>
        <v>-1.2732683769027242</v>
      </c>
      <c r="O9" s="20" cm="1">
        <f t="array" ref="O9">INDEX(W_psid!$B$2:$CZ$104,W_!$A9,W_!O$1)/Ns!$B$1</f>
        <v>-4.7110310739290773</v>
      </c>
      <c r="P9" s="20" cm="1">
        <f t="array" ref="P9">INDEX(W_psid!$B$2:$CZ$104,W_!$A9,W_!P$1)/Ns!$B$1</f>
        <v>-19.288366748009036</v>
      </c>
      <c r="Q9" s="20" cm="1">
        <f t="array" ref="Q9">INDEX(W_psid!$B$2:$CZ$104,W_!$A9,W_!Q$1)/Ns!$B$1</f>
        <v>-27.546353260961382</v>
      </c>
      <c r="R9" s="20" cm="1">
        <f t="array" ref="R9">INDEX(W_psid!$B$2:$CZ$104,W_!$A9,W_!R$1)/Ns!$B$1</f>
        <v>-60.73926256592047</v>
      </c>
      <c r="S9" s="20" cm="1">
        <f t="array" ref="S9">INDEX(W_psid!$B$2:$CZ$104,W_!$A9,W_!S$1)/Ns!$B$1</f>
        <v>-6.3913429607830334E-3</v>
      </c>
      <c r="T9" s="20" cm="1">
        <f t="array" ref="T9">INDEX(W_psid!$B$2:$CZ$104,W_!$A9,W_!T$1)/Ns!$B$1</f>
        <v>4.3960023066412727E-3</v>
      </c>
      <c r="U9" s="20" cm="1">
        <f t="array" ref="U9">INDEX(W_psid!$B$2:$CZ$104,W_!$A9,W_!U$1)/Ns!$B$1</f>
        <v>2.6141971792049912E-2</v>
      </c>
      <c r="V9" s="20" cm="1">
        <f t="array" ref="V9">INDEX(W_psid!$B$2:$CZ$104,W_!$A9,W_!V$1)/Ns!$B$1</f>
        <v>3.7387747459842724</v>
      </c>
      <c r="W9" s="20" cm="1">
        <f t="array" ref="W9">INDEX(W_psid!$B$2:$CZ$104,W_!$A9,W_!W$1)/Ns!$B$1</f>
        <v>3.6524572663500954</v>
      </c>
      <c r="X9" s="20" cm="1">
        <f t="array" ref="X9">INDEX(W_psid!$B$2:$CZ$104,W_!$A9,W_!X$1)/Ns!$B$1</f>
        <v>2.0513962496968969</v>
      </c>
      <c r="Y9" s="20" cm="1">
        <f t="array" ref="Y9">INDEX(W_psid!$B$2:$CZ$104,W_!$A9,W_!Y$1)/Ns!$B$1</f>
        <v>1.4232654763757566</v>
      </c>
      <c r="Z9" s="20" cm="1">
        <f t="array" ref="Z9">INDEX(W_psid!$B$2:$CZ$104,W_!$A9,W_!Z$1)/Ns!$B$1</f>
        <v>0.99366597020066527</v>
      </c>
      <c r="AA9" s="20" cm="1">
        <f t="array" ref="AA9">INDEX(W_psid!$B$2:$CZ$104,W_!$A9,W_!AA$1)/Ns!$B$1</f>
        <v>1.7922196911394588</v>
      </c>
      <c r="AB9" s="20" cm="1">
        <f t="array" ref="AB9">INDEX(W_psid!$B$2:$CZ$104,W_!$A9,W_!AB$1)/Ns!$B$1</f>
        <v>-0.67205558716935032</v>
      </c>
      <c r="AC9" s="20" cm="1">
        <f t="array" ref="AC9">INDEX(W_psid!$B$2:$CZ$104,W_!$A9,W_!AC$1)/Ns!$B$1</f>
        <v>2.6909181382250905E-2</v>
      </c>
      <c r="AD9" s="20" cm="1">
        <f t="array" ref="AD9">INDEX(W_psid!$B$2:$CZ$104,W_!$A9,W_!AD$1)/Ns!$B$1</f>
        <v>-1.4357939532350945</v>
      </c>
      <c r="AE9" s="20" cm="1">
        <f t="array" ref="AE9">INDEX(W_psid!$B$2:$CZ$104,W_!$A9,W_!AE$1)/Ns!$B$1</f>
        <v>-0.17009984637748227</v>
      </c>
      <c r="AF9" s="20" cm="1">
        <f t="array" ref="AF9">INDEX(W_psid!$B$2:$CZ$104,W_!$A9,W_!AF$1)/Ns!$B$1</f>
        <v>51.845177441440271</v>
      </c>
      <c r="AG9" s="20" cm="1">
        <f t="array" ref="AG9">INDEX(W_psid!$B$2:$CZ$104,W_!$A9,W_!AG$1)/Ns!$B$1</f>
        <v>45.063780527790215</v>
      </c>
      <c r="AH9" s="20" cm="1">
        <f t="array" ref="AH9">INDEX(W_psid!$B$2:$CZ$104,W_!$A9,W_!AH$1)/Ns!$B$1</f>
        <v>0.11090465530879039</v>
      </c>
      <c r="AI9" s="20" cm="1">
        <f t="array" ref="AI9">INDEX(W_psid!$B$2:$CZ$104,W_!$A9,W_!AI$1)/Ns!$B$1</f>
        <v>8.5553593942637132E-2</v>
      </c>
      <c r="AJ9" s="20" cm="1">
        <f t="array" ref="AJ9">INDEX(W_psid!$B$2:$CZ$104,W_!$A9,W_!AJ$1)/Ns!$B$1</f>
        <v>-1.6772834508330245E-3</v>
      </c>
      <c r="AK9" s="20" cm="1">
        <f t="array" ref="AK9">INDEX(W_psid!$B$2:$CZ$104,W_!$A9,W_!AK$1)/Ns!$B$1</f>
        <v>-5.8160138972161999</v>
      </c>
      <c r="AL9" s="20" cm="1">
        <f t="array" ref="AL9">INDEX(W_psid!$B$2:$CZ$104,W_!$A9,W_!AL$1)/Ns!$B$1</f>
        <v>-8.7611688845451337</v>
      </c>
      <c r="AM9" s="20" cm="1">
        <f t="array" ref="AM9">INDEX(W_psid!$B$2:$CZ$104,W_!$A9,W_!AM$1)/Ns!$B$1</f>
        <v>1.6149390164666908</v>
      </c>
      <c r="AN9" s="20" cm="1">
        <f t="array" ref="AN9">INDEX(W_psid!$B$2:$CZ$104,W_!$A9,W_!AN$1)/Ns!$B$1</f>
        <v>0.25407926025586514</v>
      </c>
      <c r="AO9" s="20" cm="1">
        <f t="array" ref="AO9">INDEX(W_psid!$B$2:$CZ$104,W_!$A9,W_!AO$1)/Ns!$B$1</f>
        <v>7.0343246419764475E-3</v>
      </c>
      <c r="AP9" s="20" cm="1">
        <f t="array" ref="AP9">INDEX(W_psid!$B$2:$CZ$104,W_!$A9,W_!AP$1)/Ns!$B$1</f>
        <v>-10.577590245927539</v>
      </c>
      <c r="AQ9" s="20" cm="1">
        <f t="array" ref="AQ9">INDEX(W_psid!$B$2:$CZ$104,W_!$A9,W_!AQ$1)/Ns!$B$1</f>
        <v>6.177235352163331</v>
      </c>
      <c r="AR9" s="20" cm="1">
        <f t="array" ref="AR9">INDEX(W_psid!$B$2:$CZ$104,W_!$A9,W_!AR$1)/Ns!$B$1</f>
        <v>9.0633200993681093</v>
      </c>
      <c r="AS9" s="20" cm="1">
        <f t="array" ref="AS9">INDEX(W_psid!$B$2:$CZ$104,W_!$A9,W_!AS$1)/Ns!$B$1</f>
        <v>8.5430689106581379E-4</v>
      </c>
      <c r="AT9" s="20" cm="1">
        <f t="array" ref="AT9">INDEX(W_psid!$B$2:$CZ$104,W_!$A9,W_!AT$1)/Ns!$B$1</f>
        <v>-1.1951702949294478E-3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28.935042558319978</v>
      </c>
      <c r="AW9" s="20" cm="1">
        <f t="array" ref="AW9">INDEX(W_psid!$B$2:$CZ$104,W_!$A9,W_!AW$1)/Ns!$B$1</f>
        <v>0.6349885477885564</v>
      </c>
      <c r="AX9" s="20" cm="1">
        <f t="array" ref="AX9">INDEX(W_psid!$B$2:$CZ$104,W_!$A9,W_!AX$1)/Ns!$B$1</f>
        <v>-1.4636958202516124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</row>
    <row r="10" spans="1:58" x14ac:dyDescent="0.3">
      <c r="A10" s="18">
        <f>MATCH(C10,W_psid!$A$2:$A$104,0)</f>
        <v>46</v>
      </c>
      <c r="B10" s="18" t="str">
        <f>MOMS!$A$8</f>
        <v>whours_pnw_difwpww</v>
      </c>
      <c r="C10" s="18" t="str">
        <f>MOMS!$B$8</f>
        <v>whours_pnw_difwpww</v>
      </c>
      <c r="D10" s="20" cm="1">
        <f t="array" ref="D10">INDEX(W_psid!$B$2:$CZ$104,W_!$A10,W_!D$1)/Ns!$B$1</f>
        <v>-1.301953497977993</v>
      </c>
      <c r="E10" s="20" cm="1">
        <f t="array" ref="E10">INDEX(W_psid!$B$2:$CZ$104,W_!$A10,W_!E$1)/Ns!$B$1</f>
        <v>-3.1000008729327018</v>
      </c>
      <c r="F10" s="20" cm="1">
        <f t="array" ref="F10">INDEX(W_psid!$B$2:$CZ$104,W_!$A10,W_!F$1)/Ns!$B$1</f>
        <v>-0.88094023907733265</v>
      </c>
      <c r="G10" s="20" cm="1">
        <f t="array" ref="G10">INDEX(W_psid!$B$2:$CZ$104,W_!$A10,W_!G$1)/Ns!$B$1</f>
        <v>-121.42686928567561</v>
      </c>
      <c r="H10" s="20" cm="1">
        <f t="array" ref="H10">INDEX(W_psid!$B$2:$CZ$104,W_!$A10,W_!H$1)/Ns!$B$1</f>
        <v>20.131856988675171</v>
      </c>
      <c r="I10" s="20" cm="1">
        <f t="array" ref="I10">INDEX(W_psid!$B$2:$CZ$104,W_!$A10,W_!I$1)/Ns!$B$1</f>
        <v>34.997074368930612</v>
      </c>
      <c r="J10" s="20" cm="1">
        <f t="array" ref="J10">INDEX(W_psid!$B$2:$CZ$104,W_!$A10,W_!J$1)/Ns!$B$1</f>
        <v>284.29686865096215</v>
      </c>
      <c r="K10" s="20" cm="1">
        <f t="array" ref="K10">INDEX(W_psid!$B$2:$CZ$104,W_!$A10,W_!K$1)/Ns!$B$1</f>
        <v>71.356284432079391</v>
      </c>
      <c r="L10" s="20" cm="1">
        <f t="array" ref="L10">INDEX(W_psid!$B$2:$CZ$104,W_!$A10,W_!L$1)/Ns!$B$1</f>
        <v>-16.044922041587068</v>
      </c>
      <c r="M10" s="20" cm="1">
        <f t="array" ref="M10">INDEX(W_psid!$B$2:$CZ$104,W_!$A10,W_!M$1)/Ns!$B$1</f>
        <v>-16.832330713577036</v>
      </c>
      <c r="N10" s="20" cm="1">
        <f t="array" ref="N10">INDEX(W_psid!$B$2:$CZ$104,W_!$A10,W_!N$1)/Ns!$B$1</f>
        <v>-11.836556259264706</v>
      </c>
      <c r="O10" s="20" cm="1">
        <f t="array" ref="O10">INDEX(W_psid!$B$2:$CZ$104,W_!$A10,W_!O$1)/Ns!$B$1</f>
        <v>-0.89453648228895044</v>
      </c>
      <c r="P10" s="20" cm="1">
        <f t="array" ref="P10">INDEX(W_psid!$B$2:$CZ$104,W_!$A10,W_!P$1)/Ns!$B$1</f>
        <v>-1.4485804295053126</v>
      </c>
      <c r="Q10" s="20" cm="1">
        <f t="array" ref="Q10">INDEX(W_psid!$B$2:$CZ$104,W_!$A10,W_!Q$1)/Ns!$B$1</f>
        <v>116.85998602606817</v>
      </c>
      <c r="R10" s="20" cm="1">
        <f t="array" ref="R10">INDEX(W_psid!$B$2:$CZ$104,W_!$A10,W_!R$1)/Ns!$B$1</f>
        <v>-77.290311344460576</v>
      </c>
      <c r="S10" s="20" cm="1">
        <f t="array" ref="S10">INDEX(W_psid!$B$2:$CZ$104,W_!$A10,W_!S$1)/Ns!$B$1</f>
        <v>-8.0873265758053918E-3</v>
      </c>
      <c r="T10" s="20" cm="1">
        <f t="array" ref="T10">INDEX(W_psid!$B$2:$CZ$104,W_!$A10,W_!T$1)/Ns!$B$1</f>
        <v>7.1650301256946953E-3</v>
      </c>
      <c r="U10" s="20" cm="1">
        <f t="array" ref="U10">INDEX(W_psid!$B$2:$CZ$104,W_!$A10,W_!U$1)/Ns!$B$1</f>
        <v>2.3101827422388768E-2</v>
      </c>
      <c r="V10" s="20" cm="1">
        <f t="array" ref="V10">INDEX(W_psid!$B$2:$CZ$104,W_!$A10,W_!V$1)/Ns!$B$1</f>
        <v>2.8415236040266367</v>
      </c>
      <c r="W10" s="20" cm="1">
        <f t="array" ref="W10">INDEX(W_psid!$B$2:$CZ$104,W_!$A10,W_!W$1)/Ns!$B$1</f>
        <v>2.6580224261719252</v>
      </c>
      <c r="X10" s="20" cm="1">
        <f t="array" ref="X10">INDEX(W_psid!$B$2:$CZ$104,W_!$A10,W_!X$1)/Ns!$B$1</f>
        <v>2.4828175663095302</v>
      </c>
      <c r="Y10" s="20" cm="1">
        <f t="array" ref="Y10">INDEX(W_psid!$B$2:$CZ$104,W_!$A10,W_!Y$1)/Ns!$B$1</f>
        <v>1.2466420215588472</v>
      </c>
      <c r="Z10" s="20" cm="1">
        <f t="array" ref="Z10">INDEX(W_psid!$B$2:$CZ$104,W_!$A10,W_!Z$1)/Ns!$B$1</f>
        <v>0.65501321087979469</v>
      </c>
      <c r="AA10" s="20" cm="1">
        <f t="array" ref="AA10">INDEX(W_psid!$B$2:$CZ$104,W_!$A10,W_!AA$1)/Ns!$B$1</f>
        <v>1.8945768461738386</v>
      </c>
      <c r="AB10" s="20" cm="1">
        <f t="array" ref="AB10">INDEX(W_psid!$B$2:$CZ$104,W_!$A10,W_!AB$1)/Ns!$B$1</f>
        <v>-1.427222675609257</v>
      </c>
      <c r="AC10" s="20" cm="1">
        <f t="array" ref="AC10">INDEX(W_psid!$B$2:$CZ$104,W_!$A10,W_!AC$1)/Ns!$B$1</f>
        <v>-1.9885355931804311E-2</v>
      </c>
      <c r="AD10" s="20" cm="1">
        <f t="array" ref="AD10">INDEX(W_psid!$B$2:$CZ$104,W_!$A10,W_!AD$1)/Ns!$B$1</f>
        <v>-0.96358638740564617</v>
      </c>
      <c r="AE10" s="20" cm="1">
        <f t="array" ref="AE10">INDEX(W_psid!$B$2:$CZ$104,W_!$A10,W_!AE$1)/Ns!$B$1</f>
        <v>9.7372325762690434E-2</v>
      </c>
      <c r="AF10" s="20" cm="1">
        <f t="array" ref="AF10">INDEX(W_psid!$B$2:$CZ$104,W_!$A10,W_!AF$1)/Ns!$B$1</f>
        <v>52.3821762171278</v>
      </c>
      <c r="AG10" s="20" cm="1">
        <f t="array" ref="AG10">INDEX(W_psid!$B$2:$CZ$104,W_!$A10,W_!AG$1)/Ns!$B$1</f>
        <v>44.432289848033982</v>
      </c>
      <c r="AH10" s="20" cm="1">
        <f t="array" ref="AH10">INDEX(W_psid!$B$2:$CZ$104,W_!$A10,W_!AH$1)/Ns!$B$1</f>
        <v>5.2979720223526795E-2</v>
      </c>
      <c r="AI10" s="20" cm="1">
        <f t="array" ref="AI10">INDEX(W_psid!$B$2:$CZ$104,W_!$A10,W_!AI$1)/Ns!$B$1</f>
        <v>0.10926641859152236</v>
      </c>
      <c r="AJ10" s="20" cm="1">
        <f t="array" ref="AJ10">INDEX(W_psid!$B$2:$CZ$104,W_!$A10,W_!AJ$1)/Ns!$B$1</f>
        <v>-1.8123753928289941E-3</v>
      </c>
      <c r="AK10" s="20" cm="1">
        <f t="array" ref="AK10">INDEX(W_psid!$B$2:$CZ$104,W_!$A10,W_!AK$1)/Ns!$B$1</f>
        <v>-4.5835942392348343</v>
      </c>
      <c r="AL10" s="20" cm="1">
        <f t="array" ref="AL10">INDEX(W_psid!$B$2:$CZ$104,W_!$A10,W_!AL$1)/Ns!$B$1</f>
        <v>-8.6321741005811301</v>
      </c>
      <c r="AM10" s="20" cm="1">
        <f t="array" ref="AM10">INDEX(W_psid!$B$2:$CZ$104,W_!$A10,W_!AM$1)/Ns!$B$1</f>
        <v>1.9954229263422412</v>
      </c>
      <c r="AN10" s="20" cm="1">
        <f t="array" ref="AN10">INDEX(W_psid!$B$2:$CZ$104,W_!$A10,W_!AN$1)/Ns!$B$1</f>
        <v>0.36221517568126227</v>
      </c>
      <c r="AO10" s="20" cm="1">
        <f t="array" ref="AO10">INDEX(W_psid!$B$2:$CZ$104,W_!$A10,W_!AO$1)/Ns!$B$1</f>
        <v>4.9341955940738957E-3</v>
      </c>
      <c r="AP10" s="20" cm="1">
        <f t="array" ref="AP10">INDEX(W_psid!$B$2:$CZ$104,W_!$A10,W_!AP$1)/Ns!$B$1</f>
        <v>-42.827532147009741</v>
      </c>
      <c r="AQ10" s="20" cm="1">
        <f t="array" ref="AQ10">INDEX(W_psid!$B$2:$CZ$104,W_!$A10,W_!AQ$1)/Ns!$B$1</f>
        <v>-30.056665982105834</v>
      </c>
      <c r="AR10" s="20" cm="1">
        <f t="array" ref="AR10">INDEX(W_psid!$B$2:$CZ$104,W_!$A10,W_!AR$1)/Ns!$B$1</f>
        <v>24.21310693932935</v>
      </c>
      <c r="AS10" s="20" cm="1">
        <f t="array" ref="AS10">INDEX(W_psid!$B$2:$CZ$104,W_!$A10,W_!AS$1)/Ns!$B$1</f>
        <v>3.4385646535548442E-4</v>
      </c>
      <c r="AT10" s="20" cm="1">
        <f t="array" ref="AT10">INDEX(W_psid!$B$2:$CZ$104,W_!$A10,W_!AT$1)/Ns!$B$1</f>
        <v>-7.6583882507152493E-3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10.869401176670483</v>
      </c>
      <c r="AW10" s="20" cm="1">
        <f t="array" ref="AW10">INDEX(W_psid!$B$2:$CZ$104,W_!$A10,W_!AW$1)/Ns!$B$1</f>
        <v>-0.35129325722644195</v>
      </c>
      <c r="AX10" s="20" cm="1">
        <f t="array" ref="AX10">INDEX(W_psid!$B$2:$CZ$104,W_!$A10,W_!AX$1)/Ns!$B$1</f>
        <v>-1.203157585419723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</row>
    <row r="11" spans="1:58" x14ac:dyDescent="0.3">
      <c r="A11" s="18">
        <f>MATCH(C11,W_psid!$A$2:$A$104,0)</f>
        <v>38</v>
      </c>
      <c r="B11" s="18" t="str">
        <f>MOMS!$A$9</f>
        <v>shours</v>
      </c>
      <c r="C11" s="18" t="str">
        <f>MOMS!$B$9</f>
        <v>shours</v>
      </c>
      <c r="D11" s="20" cm="1">
        <f t="array" ref="D11">INDEX(W_psid!$B$2:$CZ$104,W_!$A11,W_!D$1)/Ns!$B$1</f>
        <v>-0.79294674678165655</v>
      </c>
      <c r="E11" s="20" cm="1">
        <f t="array" ref="E11">INDEX(W_psid!$B$2:$CZ$104,W_!$A11,W_!E$1)/Ns!$B$1</f>
        <v>-0.9338532033434005</v>
      </c>
      <c r="F11" s="20" cm="1">
        <f t="array" ref="F11">INDEX(W_psid!$B$2:$CZ$104,W_!$A11,W_!F$1)/Ns!$B$1</f>
        <v>-1.5268409310377236</v>
      </c>
      <c r="G11" s="20" cm="1">
        <f t="array" ref="G11">INDEX(W_psid!$B$2:$CZ$104,W_!$A11,W_!G$1)/Ns!$B$1</f>
        <v>-38.12142933445984</v>
      </c>
      <c r="H11" s="20" cm="1">
        <f t="array" ref="H11">INDEX(W_psid!$B$2:$CZ$104,W_!$A11,W_!H$1)/Ns!$B$1</f>
        <v>31.45389986712031</v>
      </c>
      <c r="I11" s="20" cm="1">
        <f t="array" ref="I11">INDEX(W_psid!$B$2:$CZ$104,W_!$A11,W_!I$1)/Ns!$B$1</f>
        <v>49.061854066289406</v>
      </c>
      <c r="J11" s="20" cm="1">
        <f t="array" ref="J11">INDEX(W_psid!$B$2:$CZ$104,W_!$A11,W_!J$1)/Ns!$B$1</f>
        <v>71.356284432079391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-45.990647098090598</v>
      </c>
      <c r="N11" s="20" cm="1">
        <f t="array" ref="N11">INDEX(W_psid!$B$2:$CZ$104,W_!$A11,W_!N$1)/Ns!$B$1</f>
        <v>-6.789814296711814</v>
      </c>
      <c r="O11" s="20" cm="1">
        <f t="array" ref="O11">INDEX(W_psid!$B$2:$CZ$104,W_!$A11,W_!O$1)/Ns!$B$1</f>
        <v>-7.5370449037801572</v>
      </c>
      <c r="P11" s="20" cm="1">
        <f t="array" ref="P11">INDEX(W_psid!$B$2:$CZ$104,W_!$A11,W_!P$1)/Ns!$B$1</f>
        <v>-16.497327389197729</v>
      </c>
      <c r="Q11" s="20" cm="1">
        <f t="array" ref="Q11">INDEX(W_psid!$B$2:$CZ$104,W_!$A11,W_!Q$1)/Ns!$B$1</f>
        <v>18.250627336894446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-7.932224065922729E-3</v>
      </c>
      <c r="T11" s="20" cm="1">
        <f t="array" ref="T11">INDEX(W_psid!$B$2:$CZ$104,W_!$A11,W_!T$1)/Ns!$B$1</f>
        <v>5.5629652391202562E-3</v>
      </c>
      <c r="U11" s="20" cm="1">
        <f t="array" ref="U11">INDEX(W_psid!$B$2:$CZ$104,W_!$A11,W_!U$1)/Ns!$B$1</f>
        <v>6.7896328942665868E-2</v>
      </c>
      <c r="V11" s="20" cm="1">
        <f t="array" ref="V11">INDEX(W_psid!$B$2:$CZ$104,W_!$A11,W_!V$1)/Ns!$B$1</f>
        <v>4.8932721023164856</v>
      </c>
      <c r="W11" s="20" cm="1">
        <f t="array" ref="W11">INDEX(W_psid!$B$2:$CZ$104,W_!$A11,W_!W$1)/Ns!$B$1</f>
        <v>4.8135437542066128</v>
      </c>
      <c r="X11" s="20" cm="1">
        <f t="array" ref="X11">INDEX(W_psid!$B$2:$CZ$104,W_!$A11,W_!X$1)/Ns!$B$1</f>
        <v>4.0361119251143176</v>
      </c>
      <c r="Y11" s="20" cm="1">
        <f t="array" ref="Y11">INDEX(W_psid!$B$2:$CZ$104,W_!$A11,W_!Y$1)/Ns!$B$1</f>
        <v>3.1550534952839455</v>
      </c>
      <c r="Z11" s="20" cm="1">
        <f t="array" ref="Z11">INDEX(W_psid!$B$2:$CZ$104,W_!$A11,W_!Z$1)/Ns!$B$1</f>
        <v>2.8415736612521116</v>
      </c>
      <c r="AA11" s="20" cm="1">
        <f t="array" ref="AA11">INDEX(W_psid!$B$2:$CZ$104,W_!$A11,W_!AA$1)/Ns!$B$1</f>
        <v>3.7601388726232878</v>
      </c>
      <c r="AB11" s="20" cm="1">
        <f t="array" ref="AB11">INDEX(W_psid!$B$2:$CZ$104,W_!$A11,W_!AB$1)/Ns!$B$1</f>
        <v>-7.3617456280690358E-2</v>
      </c>
      <c r="AC11" s="20" cm="1">
        <f t="array" ref="AC11">INDEX(W_psid!$B$2:$CZ$104,W_!$A11,W_!AC$1)/Ns!$B$1</f>
        <v>8.3958042269926692E-3</v>
      </c>
      <c r="AD11" s="20" cm="1">
        <f t="array" ref="AD11">INDEX(W_psid!$B$2:$CZ$104,W_!$A11,W_!AD$1)/Ns!$B$1</f>
        <v>-1.3364894143973074</v>
      </c>
      <c r="AE11" s="20" cm="1">
        <f t="array" ref="AE11">INDEX(W_psid!$B$2:$CZ$104,W_!$A11,W_!AE$1)/Ns!$B$1</f>
        <v>-0.37885947032944978</v>
      </c>
      <c r="AF11" s="20" cm="1">
        <f t="array" ref="AF11">INDEX(W_psid!$B$2:$CZ$104,W_!$A11,W_!AF$1)/Ns!$B$1</f>
        <v>54.921637570637408</v>
      </c>
      <c r="AG11" s="20" cm="1">
        <f t="array" ref="AG11">INDEX(W_psid!$B$2:$CZ$104,W_!$A11,W_!AG$1)/Ns!$B$1</f>
        <v>46.650929217172575</v>
      </c>
      <c r="AH11" s="20" cm="1">
        <f t="array" ref="AH11">INDEX(W_psid!$B$2:$CZ$104,W_!$A11,W_!AH$1)/Ns!$B$1</f>
        <v>0.1458308263057925</v>
      </c>
      <c r="AI11" s="20" cm="1">
        <f t="array" ref="AI11">INDEX(W_psid!$B$2:$CZ$104,W_!$A11,W_!AI$1)/Ns!$B$1</f>
        <v>6.1821735569757605E-2</v>
      </c>
      <c r="AJ11" s="20" cm="1">
        <f t="array" ref="AJ11">INDEX(W_psid!$B$2:$CZ$104,W_!$A11,W_!AJ$1)/Ns!$B$1</f>
        <v>-3.4508351909658222E-4</v>
      </c>
      <c r="AK11" s="20" cm="1">
        <f t="array" ref="AK11">INDEX(W_psid!$B$2:$CZ$104,W_!$A11,W_!AK$1)/Ns!$B$1</f>
        <v>-3.5354752189726661</v>
      </c>
      <c r="AL11" s="20" cm="1">
        <f t="array" ref="AL11">INDEX(W_psid!$B$2:$CZ$104,W_!$A11,W_!AL$1)/Ns!$B$1</f>
        <v>-4.3601617038206903</v>
      </c>
      <c r="AM11" s="20" cm="1">
        <f t="array" ref="AM11">INDEX(W_psid!$B$2:$CZ$104,W_!$A11,W_!AM$1)/Ns!$B$1</f>
        <v>-0.89512704722000325</v>
      </c>
      <c r="AN11" s="20" cm="1">
        <f t="array" ref="AN11">INDEX(W_psid!$B$2:$CZ$104,W_!$A11,W_!AN$1)/Ns!$B$1</f>
        <v>0.19066363843696074</v>
      </c>
      <c r="AO11" s="20" cm="1">
        <f t="array" ref="AO11">INDEX(W_psid!$B$2:$CZ$104,W_!$A11,W_!AO$1)/Ns!$B$1</f>
        <v>-1.9079729319314588E-3</v>
      </c>
      <c r="AP11" s="20" cm="1">
        <f t="array" ref="AP11">INDEX(W_psid!$B$2:$CZ$104,W_!$A11,W_!AP$1)/Ns!$B$1</f>
        <v>-24.755393801206246</v>
      </c>
      <c r="AQ11" s="20" cm="1">
        <f t="array" ref="AQ11">INDEX(W_psid!$B$2:$CZ$104,W_!$A11,W_!AQ$1)/Ns!$B$1</f>
        <v>-18.800107075499536</v>
      </c>
      <c r="AR11" s="20" cm="1">
        <f t="array" ref="AR11">INDEX(W_psid!$B$2:$CZ$104,W_!$A11,W_!AR$1)/Ns!$B$1</f>
        <v>13.811580375231909</v>
      </c>
      <c r="AS11" s="20" cm="1">
        <f t="array" ref="AS11">INDEX(W_psid!$B$2:$CZ$104,W_!$A11,W_!AS$1)/Ns!$B$1</f>
        <v>-1.5758266968334396E-4</v>
      </c>
      <c r="AT11" s="20" cm="1">
        <f t="array" ref="AT11">INDEX(W_psid!$B$2:$CZ$104,W_!$A11,W_!AT$1)/Ns!$B$1</f>
        <v>6.1975189143148434E-3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24.342941174552273</v>
      </c>
      <c r="AW11" s="20" cm="1">
        <f t="array" ref="AW11">INDEX(W_psid!$B$2:$CZ$104,W_!$A11,W_!AW$1)/Ns!$B$1</f>
        <v>0.89610685505077003</v>
      </c>
      <c r="AX11" s="20" cm="1">
        <f t="array" ref="AX11">INDEX(W_psid!$B$2:$CZ$104,W_!$A11,W_!AX$1)/Ns!$B$1</f>
        <v>-1.3332224657434482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</row>
    <row r="12" spans="1:58" x14ac:dyDescent="0.3">
      <c r="A12" s="18">
        <f>MATCH(C12,W_psid!$A$2:$A$104,0)</f>
        <v>49</v>
      </c>
      <c r="B12" s="18" t="str">
        <f>MOMS!$A$10</f>
        <v>whwk_pww</v>
      </c>
      <c r="C12" s="18" t="str">
        <f>MOMS!$B$10</f>
        <v>whwk_pww</v>
      </c>
      <c r="D12" s="20" cm="1">
        <f t="array" ref="D12">INDEX(W_psid!$B$2:$CZ$104,W_!$A12,W_!D$1)/Ns!$B$1</f>
        <v>-0.61849866154989741</v>
      </c>
      <c r="E12" s="20" cm="1">
        <f t="array" ref="E12">INDEX(W_psid!$B$2:$CZ$104,W_!$A12,W_!E$1)/Ns!$B$1</f>
        <v>1.7579156101273763</v>
      </c>
      <c r="F12" s="20" cm="1">
        <f t="array" ref="F12">INDEX(W_psid!$B$2:$CZ$104,W_!$A12,W_!F$1)/Ns!$B$1</f>
        <v>3.7441485855105899E-2</v>
      </c>
      <c r="G12" s="20" cm="1">
        <f t="array" ref="G12">INDEX(W_psid!$B$2:$CZ$104,W_!$A12,W_!G$1)/Ns!$B$1</f>
        <v>-41.168266947399168</v>
      </c>
      <c r="H12" s="20" cm="1">
        <f t="array" ref="H12">INDEX(W_psid!$B$2:$CZ$104,W_!$A12,W_!H$1)/Ns!$B$1</f>
        <v>-23.515948830923715</v>
      </c>
      <c r="I12" s="20" cm="1">
        <f t="array" ref="I12">INDEX(W_psid!$B$2:$CZ$104,W_!$A12,W_!I$1)/Ns!$B$1</f>
        <v>-12.712775843558386</v>
      </c>
      <c r="J12" s="20" cm="1">
        <f t="array" ref="J12">INDEX(W_psid!$B$2:$CZ$104,W_!$A12,W_!J$1)/Ns!$B$1</f>
        <v>-16.044922041587068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</v>
      </c>
      <c r="M12" s="20" cm="1">
        <f t="array" ref="M12">INDEX(W_psid!$B$2:$CZ$104,W_!$A12,W_!M$1)/Ns!$B$1</f>
        <v>28.433228391226642</v>
      </c>
      <c r="N12" s="20" cm="1">
        <f t="array" ref="N12">INDEX(W_psid!$B$2:$CZ$104,W_!$A12,W_!N$1)/Ns!$B$1</f>
        <v>-4.5343429805533928</v>
      </c>
      <c r="O12" s="20" cm="1">
        <f t="array" ref="O12">INDEX(W_psid!$B$2:$CZ$104,W_!$A12,W_!O$1)/Ns!$B$1</f>
        <v>-120.73923043440932</v>
      </c>
      <c r="P12" s="20" cm="1">
        <f t="array" ref="P12">INDEX(W_psid!$B$2:$CZ$104,W_!$A12,W_!P$1)/Ns!$B$1</f>
        <v>3.1850819479994379</v>
      </c>
      <c r="Q12" s="20" cm="1">
        <f t="array" ref="Q12">INDEX(W_psid!$B$2:$CZ$104,W_!$A12,W_!Q$1)/Ns!$B$1</f>
        <v>33.990228906505429</v>
      </c>
      <c r="R12" s="20" cm="1">
        <f t="array" ref="R12">INDEX(W_psid!$B$2:$CZ$104,W_!$A12,W_!R$1)/Ns!$B$1</f>
        <v>46.000542130549448</v>
      </c>
      <c r="S12" s="20" cm="1">
        <f t="array" ref="S12">INDEX(W_psid!$B$2:$CZ$104,W_!$A12,W_!S$1)/Ns!$B$1</f>
        <v>-2.2014829407432934E-2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-7.4383076206799376E-2</v>
      </c>
      <c r="V12" s="20" cm="1">
        <f t="array" ref="V12">INDEX(W_psid!$B$2:$CZ$104,W_!$A12,W_!V$1)/Ns!$B$1</f>
        <v>-2.0571030328086159</v>
      </c>
      <c r="W12" s="20" cm="1">
        <f t="array" ref="W12">INDEX(W_psid!$B$2:$CZ$104,W_!$A12,W_!W$1)/Ns!$B$1</f>
        <v>-1.7868481187691316</v>
      </c>
      <c r="X12" s="20" cm="1">
        <f t="array" ref="X12">INDEX(W_psid!$B$2:$CZ$104,W_!$A12,W_!X$1)/Ns!$B$1</f>
        <v>-3.284848680577098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-0.50605218775696437</v>
      </c>
      <c r="AC12" s="20" cm="1">
        <f t="array" ref="AC12">INDEX(W_psid!$B$2:$CZ$104,W_!$A12,W_!AC$1)/Ns!$B$1</f>
        <v>-2.5097596019104933E-2</v>
      </c>
      <c r="AD12" s="20" cm="1">
        <f t="array" ref="AD12">INDEX(W_psid!$B$2:$CZ$104,W_!$A12,W_!AD$1)/Ns!$B$1</f>
        <v>0.91664784560207468</v>
      </c>
      <c r="AE12" s="20" cm="1">
        <f t="array" ref="AE12">INDEX(W_psid!$B$2:$CZ$104,W_!$A12,W_!AE$1)/Ns!$B$1</f>
        <v>0.31789305672521695</v>
      </c>
      <c r="AF12" s="20" cm="1">
        <f t="array" ref="AF12">INDEX(W_psid!$B$2:$CZ$104,W_!$A12,W_!AF$1)/Ns!$B$1</f>
        <v>-5.3063829625496872</v>
      </c>
      <c r="AG12" s="20" cm="1">
        <f t="array" ref="AG12">INDEX(W_psid!$B$2:$CZ$104,W_!$A12,W_!AG$1)/Ns!$B$1</f>
        <v>-3.2278634343480892</v>
      </c>
      <c r="AH12" s="20" cm="1">
        <f t="array" ref="AH12">INDEX(W_psid!$B$2:$CZ$104,W_!$A12,W_!AH$1)/Ns!$B$1</f>
        <v>-7.784244932106095E-2</v>
      </c>
      <c r="AI12" s="20" cm="1">
        <f t="array" ref="AI12">INDEX(W_psid!$B$2:$CZ$104,W_!$A12,W_!AI$1)/Ns!$B$1</f>
        <v>-1.8517955555324553E-2</v>
      </c>
      <c r="AJ12" s="20" cm="1">
        <f t="array" ref="AJ12">INDEX(W_psid!$B$2:$CZ$104,W_!$A12,W_!AJ$1)/Ns!$B$1</f>
        <v>5.0370915490814347E-4</v>
      </c>
      <c r="AK12" s="20" cm="1">
        <f t="array" ref="AK12">INDEX(W_psid!$B$2:$CZ$104,W_!$A12,W_!AK$1)/Ns!$B$1</f>
        <v>1.5508882361500211</v>
      </c>
      <c r="AL12" s="20" cm="1">
        <f t="array" ref="AL12">INDEX(W_psid!$B$2:$CZ$104,W_!$A12,W_!AL$1)/Ns!$B$1</f>
        <v>2.2943901123318047</v>
      </c>
      <c r="AM12" s="20" cm="1">
        <f t="array" ref="AM12">INDEX(W_psid!$B$2:$CZ$104,W_!$A12,W_!AM$1)/Ns!$B$1</f>
        <v>0.85770556198722403</v>
      </c>
      <c r="AN12" s="20" cm="1">
        <f t="array" ref="AN12">INDEX(W_psid!$B$2:$CZ$104,W_!$A12,W_!AN$1)/Ns!$B$1</f>
        <v>9.4590071681646334E-2</v>
      </c>
      <c r="AO12" s="20" cm="1">
        <f t="array" ref="AO12">INDEX(W_psid!$B$2:$CZ$104,W_!$A12,W_!AO$1)/Ns!$B$1</f>
        <v>-3.9737506886554494E-3</v>
      </c>
      <c r="AP12" s="20" cm="1">
        <f t="array" ref="AP12">INDEX(W_psid!$B$2:$CZ$104,W_!$A12,W_!AP$1)/Ns!$B$1</f>
        <v>-1.0280702068389354</v>
      </c>
      <c r="AQ12" s="20" cm="1">
        <f t="array" ref="AQ12">INDEX(W_psid!$B$2:$CZ$104,W_!$A12,W_!AQ$1)/Ns!$B$1</f>
        <v>-7.7122028628801713</v>
      </c>
      <c r="AR12" s="20" cm="1">
        <f t="array" ref="AR12">INDEX(W_psid!$B$2:$CZ$104,W_!$A12,W_!AR$1)/Ns!$B$1</f>
        <v>-6.2786813841680171</v>
      </c>
      <c r="AS12" s="20" cm="1">
        <f t="array" ref="AS12">INDEX(W_psid!$B$2:$CZ$104,W_!$A12,W_!AS$1)/Ns!$B$1</f>
        <v>2.4228228084715968E-3</v>
      </c>
      <c r="AT12" s="20" cm="1">
        <f t="array" ref="AT12">INDEX(W_psid!$B$2:$CZ$104,W_!$A12,W_!AT$1)/Ns!$B$1</f>
        <v>-2.2900639527555337E-2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-9.7978525834385159</v>
      </c>
      <c r="AW12" s="20" cm="1">
        <f t="array" ref="AW12">INDEX(W_psid!$B$2:$CZ$104,W_!$A12,W_!AW$1)/Ns!$B$1</f>
        <v>-1.2658683220624518</v>
      </c>
      <c r="AX12" s="20" cm="1">
        <f t="array" ref="AX12">INDEX(W_psid!$B$2:$CZ$104,W_!$A12,W_!AX$1)/Ns!$B$1</f>
        <v>0.86393979975070012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</row>
    <row r="13" spans="1:58" x14ac:dyDescent="0.3">
      <c r="A13" s="18">
        <f>MATCH(C13,W_psid!$A$2:$A$104,0)</f>
        <v>50</v>
      </c>
      <c r="B13" s="18" t="str">
        <f>MOMS!$A$11</f>
        <v>whwk_pwn_dif</v>
      </c>
      <c r="C13" s="18" t="str">
        <f>MOMS!$B$11</f>
        <v>whwk_pwn_dif</v>
      </c>
      <c r="D13" s="20" cm="1">
        <f t="array" ref="D13">INDEX(W_psid!$B$2:$CZ$104,W_!$A13,W_!D$1)/Ns!$B$1</f>
        <v>0.32194302547290743</v>
      </c>
      <c r="E13" s="20" cm="1">
        <f t="array" ref="E13">INDEX(W_psid!$B$2:$CZ$104,W_!$A13,W_!E$1)/Ns!$B$1</f>
        <v>1.3459515553354398</v>
      </c>
      <c r="F13" s="20" cm="1">
        <f t="array" ref="F13">INDEX(W_psid!$B$2:$CZ$104,W_!$A13,W_!F$1)/Ns!$B$1</f>
        <v>-2.3671720241378482</v>
      </c>
      <c r="G13" s="20" cm="1">
        <f t="array" ref="G13">INDEX(W_psid!$B$2:$CZ$104,W_!$A13,W_!G$1)/Ns!$B$1</f>
        <v>15.834850378806623</v>
      </c>
      <c r="H13" s="20" cm="1">
        <f t="array" ref="H13">INDEX(W_psid!$B$2:$CZ$104,W_!$A13,W_!H$1)/Ns!$B$1</f>
        <v>-20.724064457615274</v>
      </c>
      <c r="I13" s="20" cm="1">
        <f t="array" ref="I13">INDEX(W_psid!$B$2:$CZ$104,W_!$A13,W_!I$1)/Ns!$B$1</f>
        <v>4.3532291031472248</v>
      </c>
      <c r="J13" s="20" cm="1">
        <f t="array" ref="J13">INDEX(W_psid!$B$2:$CZ$104,W_!$A13,W_!J$1)/Ns!$B$1</f>
        <v>-16.832330713577036</v>
      </c>
      <c r="K13" s="20" cm="1">
        <f t="array" ref="K13">INDEX(W_psid!$B$2:$CZ$104,W_!$A13,W_!K$1)/Ns!$B$1</f>
        <v>-45.990647098090598</v>
      </c>
      <c r="L13" s="20" cm="1">
        <f t="array" ref="L13">INDEX(W_psid!$B$2:$CZ$104,W_!$A13,W_!L$1)/Ns!$B$1</f>
        <v>28.433228391226642</v>
      </c>
      <c r="M13" s="20" cm="1">
        <f t="array" ref="M13">INDEX(W_psid!$B$2:$CZ$104,W_!$A13,W_!M$1)/Ns!$B$1</f>
        <v>196.47859280798747</v>
      </c>
      <c r="N13" s="20" cm="1">
        <f t="array" ref="N13">INDEX(W_psid!$B$2:$CZ$104,W_!$A13,W_!N$1)/Ns!$B$1</f>
        <v>0.77215358819383584</v>
      </c>
      <c r="O13" s="20" cm="1">
        <f t="array" ref="O13">INDEX(W_psid!$B$2:$CZ$104,W_!$A13,W_!O$1)/Ns!$B$1</f>
        <v>-5.3432020747206153</v>
      </c>
      <c r="P13" s="20" cm="1">
        <f t="array" ref="P13">INDEX(W_psid!$B$2:$CZ$104,W_!$A13,W_!P$1)/Ns!$B$1</f>
        <v>20.115140426348905</v>
      </c>
      <c r="Q13" s="20" cm="1">
        <f t="array" ref="Q13">INDEX(W_psid!$B$2:$CZ$104,W_!$A13,W_!Q$1)/Ns!$B$1</f>
        <v>30.475213992747385</v>
      </c>
      <c r="R13" s="20" cm="1">
        <f t="array" ref="R13">INDEX(W_psid!$B$2:$CZ$104,W_!$A13,W_!R$1)/Ns!$B$1</f>
        <v>28.739326402269835</v>
      </c>
      <c r="S13" s="20" cm="1">
        <f t="array" ref="S13">INDEX(W_psid!$B$2:$CZ$104,W_!$A13,W_!S$1)/Ns!$B$1</f>
        <v>1.9033316093118426E-3</v>
      </c>
      <c r="T13" s="20" cm="1">
        <f t="array" ref="T13">INDEX(W_psid!$B$2:$CZ$104,W_!$A13,W_!T$1)/Ns!$B$1</f>
        <v>9.7389171218511031E-4</v>
      </c>
      <c r="U13" s="20" cm="1">
        <f t="array" ref="U13">INDEX(W_psid!$B$2:$CZ$104,W_!$A13,W_!U$1)/Ns!$B$1</f>
        <v>-8.1320252723595179E-2</v>
      </c>
      <c r="V13" s="20" cm="1">
        <f t="array" ref="V13">INDEX(W_psid!$B$2:$CZ$104,W_!$A13,W_!V$1)/Ns!$B$1</f>
        <v>-0.74843833634327028</v>
      </c>
      <c r="W13" s="20" cm="1">
        <f t="array" ref="W13">INDEX(W_psid!$B$2:$CZ$104,W_!$A13,W_!W$1)/Ns!$B$1</f>
        <v>-0.62950708823542323</v>
      </c>
      <c r="X13" s="20" cm="1">
        <f t="array" ref="X13">INDEX(W_psid!$B$2:$CZ$104,W_!$A13,W_!X$1)/Ns!$B$1</f>
        <v>-2.9620137594063776</v>
      </c>
      <c r="Y13" s="20" cm="1">
        <f t="array" ref="Y13">INDEX(W_psid!$B$2:$CZ$104,W_!$A13,W_!Y$1)/Ns!$B$1</f>
        <v>-2.7828884143803916</v>
      </c>
      <c r="Z13" s="20" cm="1">
        <f t="array" ref="Z13">INDEX(W_psid!$B$2:$CZ$104,W_!$A13,W_!Z$1)/Ns!$B$1</f>
        <v>-2.44393638010389</v>
      </c>
      <c r="AA13" s="20" cm="1">
        <f t="array" ref="AA13">INDEX(W_psid!$B$2:$CZ$104,W_!$A13,W_!AA$1)/Ns!$B$1</f>
        <v>-2.8650949668843966</v>
      </c>
      <c r="AB13" s="20" cm="1">
        <f t="array" ref="AB13">INDEX(W_psid!$B$2:$CZ$104,W_!$A13,W_!AB$1)/Ns!$B$1</f>
        <v>0.26557819816815292</v>
      </c>
      <c r="AC13" s="20" cm="1">
        <f t="array" ref="AC13">INDEX(W_psid!$B$2:$CZ$104,W_!$A13,W_!AC$1)/Ns!$B$1</f>
        <v>1.7068047962214502E-2</v>
      </c>
      <c r="AD13" s="20" cm="1">
        <f t="array" ref="AD13">INDEX(W_psid!$B$2:$CZ$104,W_!$A13,W_!AD$1)/Ns!$B$1</f>
        <v>0.70296330373455151</v>
      </c>
      <c r="AE13" s="20" cm="1">
        <f t="array" ref="AE13">INDEX(W_psid!$B$2:$CZ$104,W_!$A13,W_!AE$1)/Ns!$B$1</f>
        <v>5.107022415887106E-2</v>
      </c>
      <c r="AF13" s="20" cm="1">
        <f t="array" ref="AF13">INDEX(W_psid!$B$2:$CZ$104,W_!$A13,W_!AF$1)/Ns!$B$1</f>
        <v>-22.107499942753158</v>
      </c>
      <c r="AG13" s="20" cm="1">
        <f t="array" ref="AG13">INDEX(W_psid!$B$2:$CZ$104,W_!$A13,W_!AG$1)/Ns!$B$1</f>
        <v>-17.064284485574564</v>
      </c>
      <c r="AH13" s="20" cm="1">
        <f t="array" ref="AH13">INDEX(W_psid!$B$2:$CZ$104,W_!$A13,W_!AH$1)/Ns!$B$1</f>
        <v>-2.2444978045422538E-2</v>
      </c>
      <c r="AI13" s="20" cm="1">
        <f t="array" ref="AI13">INDEX(W_psid!$B$2:$CZ$104,W_!$A13,W_!AI$1)/Ns!$B$1</f>
        <v>0.12289817287191754</v>
      </c>
      <c r="AJ13" s="20" cm="1">
        <f t="array" ref="AJ13">INDEX(W_psid!$B$2:$CZ$104,W_!$A13,W_!AJ$1)/Ns!$B$1</f>
        <v>-1.4944448934027957E-3</v>
      </c>
      <c r="AK13" s="20" cm="1">
        <f t="array" ref="AK13">INDEX(W_psid!$B$2:$CZ$104,W_!$A13,W_!AK$1)/Ns!$B$1</f>
        <v>-2.363642981037807</v>
      </c>
      <c r="AL13" s="20" cm="1">
        <f t="array" ref="AL13">INDEX(W_psid!$B$2:$CZ$104,W_!$A13,W_!AL$1)/Ns!$B$1</f>
        <v>-4.5559895958142986</v>
      </c>
      <c r="AM13" s="20" cm="1">
        <f t="array" ref="AM13">INDEX(W_psid!$B$2:$CZ$104,W_!$A13,W_!AM$1)/Ns!$B$1</f>
        <v>2.2288258055699006</v>
      </c>
      <c r="AN13" s="20" cm="1">
        <f t="array" ref="AN13">INDEX(W_psid!$B$2:$CZ$104,W_!$A13,W_!AN$1)/Ns!$B$1</f>
        <v>2.0952311896691785E-2</v>
      </c>
      <c r="AO13" s="20" cm="1">
        <f t="array" ref="AO13">INDEX(W_psid!$B$2:$CZ$104,W_!$A13,W_!AO$1)/Ns!$B$1</f>
        <v>-2.2152197060234551E-4</v>
      </c>
      <c r="AP13" s="20" cm="1">
        <f t="array" ref="AP13">INDEX(W_psid!$B$2:$CZ$104,W_!$A13,W_!AP$1)/Ns!$B$1</f>
        <v>22.674530878758258</v>
      </c>
      <c r="AQ13" s="20" cm="1">
        <f t="array" ref="AQ13">INDEX(W_psid!$B$2:$CZ$104,W_!$A13,W_!AQ$1)/Ns!$B$1</f>
        <v>12.15459471988361</v>
      </c>
      <c r="AR13" s="20" cm="1">
        <f t="array" ref="AR13">INDEX(W_psid!$B$2:$CZ$104,W_!$A13,W_!AR$1)/Ns!$B$1</f>
        <v>0.91473757891688467</v>
      </c>
      <c r="AS13" s="20" cm="1">
        <f t="array" ref="AS13">INDEX(W_psid!$B$2:$CZ$104,W_!$A13,W_!AS$1)/Ns!$B$1</f>
        <v>8.0843652449672247E-4</v>
      </c>
      <c r="AT13" s="20" cm="1">
        <f t="array" ref="AT13">INDEX(W_psid!$B$2:$CZ$104,W_!$A13,W_!AT$1)/Ns!$B$1</f>
        <v>-8.9051696866563317E-3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-30.740531624322113</v>
      </c>
      <c r="AW13" s="20" cm="1">
        <f t="array" ref="AW13">INDEX(W_psid!$B$2:$CZ$104,W_!$A13,W_!AW$1)/Ns!$B$1</f>
        <v>-0.76993934161583721</v>
      </c>
      <c r="AX13" s="20" cm="1">
        <f t="array" ref="AX13">INDEX(W_psid!$B$2:$CZ$104,W_!$A13,W_!AX$1)/Ns!$B$1</f>
        <v>1.1216874168235829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</row>
    <row r="14" spans="1:58" x14ac:dyDescent="0.3">
      <c r="A14" s="18">
        <f>MATCH(C14,W_psid!$A$2:$A$104,0)</f>
        <v>51</v>
      </c>
      <c r="B14" s="18" t="str">
        <f>MOMS!$A$12</f>
        <v>whwk_pnw_dif</v>
      </c>
      <c r="C14" s="18" t="str">
        <f>MOMS!$B$12</f>
        <v>whwk_pnw_dif</v>
      </c>
      <c r="D14" s="20" cm="1">
        <f t="array" ref="D14">INDEX(W_psid!$B$2:$CZ$104,W_!$A14,W_!D$1)/Ns!$B$1</f>
        <v>1.0007256124847201E-2</v>
      </c>
      <c r="E14" s="20" cm="1">
        <f t="array" ref="E14">INDEX(W_psid!$B$2:$CZ$104,W_!$A14,W_!E$1)/Ns!$B$1</f>
        <v>-0.42692396150362272</v>
      </c>
      <c r="F14" s="20" cm="1">
        <f t="array" ref="F14">INDEX(W_psid!$B$2:$CZ$104,W_!$A14,W_!F$1)/Ns!$B$1</f>
        <v>-0.45224137177027246</v>
      </c>
      <c r="G14" s="20" cm="1">
        <f t="array" ref="G14">INDEX(W_psid!$B$2:$CZ$104,W_!$A14,W_!G$1)/Ns!$B$1</f>
        <v>-5.0167886346806672</v>
      </c>
      <c r="H14" s="20" cm="1">
        <f t="array" ref="H14">INDEX(W_psid!$B$2:$CZ$104,W_!$A14,W_!H$1)/Ns!$B$1</f>
        <v>9.6536928921084151</v>
      </c>
      <c r="I14" s="20" cm="1">
        <f t="array" ref="I14">INDEX(W_psid!$B$2:$CZ$104,W_!$A14,W_!I$1)/Ns!$B$1</f>
        <v>-1.2732683769027242</v>
      </c>
      <c r="J14" s="20" cm="1">
        <f t="array" ref="J14">INDEX(W_psid!$B$2:$CZ$104,W_!$A14,W_!J$1)/Ns!$B$1</f>
        <v>-11.836556259264706</v>
      </c>
      <c r="K14" s="20" cm="1">
        <f t="array" ref="K14">INDEX(W_psid!$B$2:$CZ$104,W_!$A14,W_!K$1)/Ns!$B$1</f>
        <v>-6.789814296711814</v>
      </c>
      <c r="L14" s="20" cm="1">
        <f t="array" ref="L14">INDEX(W_psid!$B$2:$CZ$104,W_!$A14,W_!L$1)/Ns!$B$1</f>
        <v>-4.5343429805533928</v>
      </c>
      <c r="M14" s="20" cm="1">
        <f t="array" ref="M14">INDEX(W_psid!$B$2:$CZ$104,W_!$A14,W_!M$1)/Ns!$B$1</f>
        <v>0.77215358819383584</v>
      </c>
      <c r="N14" s="20" cm="1">
        <f t="array" ref="N14">INDEX(W_psid!$B$2:$CZ$104,W_!$A14,W_!N$1)/Ns!$B$1</f>
        <v>13.387819178564218</v>
      </c>
      <c r="O14" s="20" cm="1">
        <f t="array" ref="O14">INDEX(W_psid!$B$2:$CZ$104,W_!$A14,W_!O$1)/Ns!$B$1</f>
        <v>-1.6837003330846676</v>
      </c>
      <c r="P14" s="20" cm="1">
        <f t="array" ref="P14">INDEX(W_psid!$B$2:$CZ$104,W_!$A14,W_!P$1)/Ns!$B$1</f>
        <v>1.0245440926399632</v>
      </c>
      <c r="Q14" s="20" cm="1">
        <f t="array" ref="Q14">INDEX(W_psid!$B$2:$CZ$104,W_!$A14,W_!Q$1)/Ns!$B$1</f>
        <v>-48.287100899821624</v>
      </c>
      <c r="R14" s="20" cm="1">
        <f t="array" ref="R14">INDEX(W_psid!$B$2:$CZ$104,W_!$A14,W_!R$1)/Ns!$B$1</f>
        <v>0.75693212338701454</v>
      </c>
      <c r="S14" s="20" cm="1">
        <f t="array" ref="S14">INDEX(W_psid!$B$2:$CZ$104,W_!$A14,W_!S$1)/Ns!$B$1</f>
        <v>-2.0903175277505303E-3</v>
      </c>
      <c r="T14" s="20" cm="1">
        <f t="array" ref="T14">INDEX(W_psid!$B$2:$CZ$104,W_!$A14,W_!T$1)/Ns!$B$1</f>
        <v>6.4961390225632429E-4</v>
      </c>
      <c r="U14" s="20" cm="1">
        <f t="array" ref="U14">INDEX(W_psid!$B$2:$CZ$104,W_!$A14,W_!U$1)/Ns!$B$1</f>
        <v>1.4391069248797602E-2</v>
      </c>
      <c r="V14" s="20" cm="1">
        <f t="array" ref="V14">INDEX(W_psid!$B$2:$CZ$104,W_!$A14,W_!V$1)/Ns!$B$1</f>
        <v>0.50716367865579814</v>
      </c>
      <c r="W14" s="20" cm="1">
        <f t="array" ref="W14">INDEX(W_psid!$B$2:$CZ$104,W_!$A14,W_!W$1)/Ns!$B$1</f>
        <v>0.4858693400339224</v>
      </c>
      <c r="X14" s="20" cm="1">
        <f t="array" ref="X14">INDEX(W_psid!$B$2:$CZ$104,W_!$A14,W_!X$1)/Ns!$B$1</f>
        <v>8.330105698212753E-2</v>
      </c>
      <c r="Y14" s="20" cm="1">
        <f t="array" ref="Y14">INDEX(W_psid!$B$2:$CZ$104,W_!$A14,W_!Y$1)/Ns!$B$1</f>
        <v>7.2890918368422625E-2</v>
      </c>
      <c r="Z14" s="20" cm="1">
        <f t="array" ref="Z14">INDEX(W_psid!$B$2:$CZ$104,W_!$A14,W_!Z$1)/Ns!$B$1</f>
        <v>0.16380543880850273</v>
      </c>
      <c r="AA14" s="20" cm="1">
        <f t="array" ref="AA14">INDEX(W_psid!$B$2:$CZ$104,W_!$A14,W_!AA$1)/Ns!$B$1</f>
        <v>0.24654757717993914</v>
      </c>
      <c r="AB14" s="20" cm="1">
        <f t="array" ref="AB14">INDEX(W_psid!$B$2:$CZ$104,W_!$A14,W_!AB$1)/Ns!$B$1</f>
        <v>0.35602398877403924</v>
      </c>
      <c r="AC14" s="20" cm="1">
        <f t="array" ref="AC14">INDEX(W_psid!$B$2:$CZ$104,W_!$A14,W_!AC$1)/Ns!$B$1</f>
        <v>6.8646629791664516E-3</v>
      </c>
      <c r="AD14" s="20" cm="1">
        <f t="array" ref="AD14">INDEX(W_psid!$B$2:$CZ$104,W_!$A14,W_!AD$1)/Ns!$B$1</f>
        <v>-9.615152321366717E-2</v>
      </c>
      <c r="AE14" s="20" cm="1">
        <f t="array" ref="AE14">INDEX(W_psid!$B$2:$CZ$104,W_!$A14,W_!AE$1)/Ns!$B$1</f>
        <v>-3.0076543513120623E-2</v>
      </c>
      <c r="AF14" s="20" cm="1">
        <f t="array" ref="AF14">INDEX(W_psid!$B$2:$CZ$104,W_!$A14,W_!AF$1)/Ns!$B$1</f>
        <v>8.2429462752879576</v>
      </c>
      <c r="AG14" s="20" cm="1">
        <f t="array" ref="AG14">INDEX(W_psid!$B$2:$CZ$104,W_!$A14,W_!AG$1)/Ns!$B$1</f>
        <v>8.0194735152615628</v>
      </c>
      <c r="AH14" s="20" cm="1">
        <f t="array" ref="AH14">INDEX(W_psid!$B$2:$CZ$104,W_!$A14,W_!AH$1)/Ns!$B$1</f>
        <v>3.3783956275549157E-2</v>
      </c>
      <c r="AI14" s="20" cm="1">
        <f t="array" ref="AI14">INDEX(W_psid!$B$2:$CZ$104,W_!$A14,W_!AI$1)/Ns!$B$1</f>
        <v>-1.0768392840734536E-2</v>
      </c>
      <c r="AJ14" s="20" cm="1">
        <f t="array" ref="AJ14">INDEX(W_psid!$B$2:$CZ$104,W_!$A14,W_!AJ$1)/Ns!$B$1</f>
        <v>5.6828490397741646E-5</v>
      </c>
      <c r="AK14" s="20" cm="1">
        <f t="array" ref="AK14">INDEX(W_psid!$B$2:$CZ$104,W_!$A14,W_!AK$1)/Ns!$B$1</f>
        <v>0.41982301174556053</v>
      </c>
      <c r="AL14" s="20" cm="1">
        <f t="array" ref="AL14">INDEX(W_psid!$B$2:$CZ$104,W_!$A14,W_!AL$1)/Ns!$B$1</f>
        <v>0.57374104647262947</v>
      </c>
      <c r="AM14" s="20" cm="1">
        <f t="array" ref="AM14">INDEX(W_psid!$B$2:$CZ$104,W_!$A14,W_!AM$1)/Ns!$B$1</f>
        <v>-0.42925235078162455</v>
      </c>
      <c r="AN14" s="20" cm="1">
        <f t="array" ref="AN14">INDEX(W_psid!$B$2:$CZ$104,W_!$A14,W_!AN$1)/Ns!$B$1</f>
        <v>-0.20504726432727796</v>
      </c>
      <c r="AO14" s="20" cm="1">
        <f t="array" ref="AO14">INDEX(W_psid!$B$2:$CZ$104,W_!$A14,W_!AO$1)/Ns!$B$1</f>
        <v>1.6238967737109888E-3</v>
      </c>
      <c r="AP14" s="20" cm="1">
        <f t="array" ref="AP14">INDEX(W_psid!$B$2:$CZ$104,W_!$A14,W_!AP$1)/Ns!$B$1</f>
        <v>0.64671794178374431</v>
      </c>
      <c r="AQ14" s="20" cm="1">
        <f t="array" ref="AQ14">INDEX(W_psid!$B$2:$CZ$104,W_!$A14,W_!AQ$1)/Ns!$B$1</f>
        <v>3.7448439410466765</v>
      </c>
      <c r="AR14" s="20" cm="1">
        <f t="array" ref="AR14">INDEX(W_psid!$B$2:$CZ$104,W_!$A14,W_!AR$1)/Ns!$B$1</f>
        <v>0.42345146679983864</v>
      </c>
      <c r="AS14" s="20" cm="1">
        <f t="array" ref="AS14">INDEX(W_psid!$B$2:$CZ$104,W_!$A14,W_!AS$1)/Ns!$B$1</f>
        <v>4.4392322980419015E-4</v>
      </c>
      <c r="AT14" s="20" cm="1">
        <f t="array" ref="AT14">INDEX(W_psid!$B$2:$CZ$104,W_!$A14,W_!AT$1)/Ns!$B$1</f>
        <v>-3.3595282986962731E-3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11.500296885428261</v>
      </c>
      <c r="AW14" s="20" cm="1">
        <f t="array" ref="AW14">INDEX(W_psid!$B$2:$CZ$104,W_!$A14,W_!AW$1)/Ns!$B$1</f>
        <v>0.25001019800871183</v>
      </c>
      <c r="AX14" s="20" cm="1">
        <f t="array" ref="AX14">INDEX(W_psid!$B$2:$CZ$104,W_!$A14,W_!AX$1)/Ns!$B$1</f>
        <v>-6.4307143333198938E-2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</row>
    <row r="15" spans="1:58" x14ac:dyDescent="0.3">
      <c r="A15" s="18">
        <f>MATCH(C15,W_psid!$A$2:$A$104,0)</f>
        <v>52</v>
      </c>
      <c r="B15" s="18" t="str">
        <f>MOMS!$A$13</f>
        <v>hhwk_pww_dif</v>
      </c>
      <c r="C15" s="18" t="str">
        <f>MOMS!$B$13</f>
        <v>hhwk_pww_dif</v>
      </c>
      <c r="D15" s="20" cm="1">
        <f t="array" ref="D15">INDEX(W_psid!$B$2:$CZ$104,W_!$A15,W_!D$1)/Ns!$B$1</f>
        <v>1.0531141259652548</v>
      </c>
      <c r="E15" s="20" cm="1">
        <f t="array" ref="E15">INDEX(W_psid!$B$2:$CZ$104,W_!$A15,W_!E$1)/Ns!$B$1</f>
        <v>-0.54290346208305751</v>
      </c>
      <c r="F15" s="20" cm="1">
        <f t="array" ref="F15">INDEX(W_psid!$B$2:$CZ$104,W_!$A15,W_!F$1)/Ns!$B$1</f>
        <v>0.36012500387789165</v>
      </c>
      <c r="G15" s="20" cm="1">
        <f t="array" ref="G15">INDEX(W_psid!$B$2:$CZ$104,W_!$A15,W_!G$1)/Ns!$B$1</f>
        <v>55.168622581061264</v>
      </c>
      <c r="H15" s="20" cm="1">
        <f t="array" ref="H15">INDEX(W_psid!$B$2:$CZ$104,W_!$A15,W_!H$1)/Ns!$B$1</f>
        <v>15.265138809707166</v>
      </c>
      <c r="I15" s="20" cm="1">
        <f t="array" ref="I15">INDEX(W_psid!$B$2:$CZ$104,W_!$A15,W_!I$1)/Ns!$B$1</f>
        <v>-4.7110310739290773</v>
      </c>
      <c r="J15" s="20" cm="1">
        <f t="array" ref="J15">INDEX(W_psid!$B$2:$CZ$104,W_!$A15,W_!J$1)/Ns!$B$1</f>
        <v>-0.89453648228895044</v>
      </c>
      <c r="K15" s="20" cm="1">
        <f t="array" ref="K15">INDEX(W_psid!$B$2:$CZ$104,W_!$A15,W_!K$1)/Ns!$B$1</f>
        <v>-7.5370449037801572</v>
      </c>
      <c r="L15" s="20" cm="1">
        <f t="array" ref="L15">INDEX(W_psid!$B$2:$CZ$104,W_!$A15,W_!L$1)/Ns!$B$1</f>
        <v>-120.73923043440932</v>
      </c>
      <c r="M15" s="20" cm="1">
        <f t="array" ref="M15">INDEX(W_psid!$B$2:$CZ$104,W_!$A15,W_!M$1)/Ns!$B$1</f>
        <v>-5.3432020747206153</v>
      </c>
      <c r="N15" s="20" cm="1">
        <f t="array" ref="N15">INDEX(W_psid!$B$2:$CZ$104,W_!$A15,W_!N$1)/Ns!$B$1</f>
        <v>-1.6837003330846676</v>
      </c>
      <c r="O15" s="20" cm="1">
        <f t="array" ref="O15">INDEX(W_psid!$B$2:$CZ$104,W_!$A15,W_!O$1)/Ns!$B$1</f>
        <v>140.17435338032743</v>
      </c>
      <c r="P15" s="20" cm="1">
        <f t="array" ref="P15">INDEX(W_psid!$B$2:$CZ$104,W_!$A15,W_!P$1)/Ns!$B$1</f>
        <v>-2.9376769243129752</v>
      </c>
      <c r="Q15" s="20" cm="1">
        <f t="array" ref="Q15">INDEX(W_psid!$B$2:$CZ$104,W_!$A15,W_!Q$1)/Ns!$B$1</f>
        <v>-13.512058873063335</v>
      </c>
      <c r="R15" s="20" cm="1">
        <f t="array" ref="R15">INDEX(W_psid!$B$2:$CZ$104,W_!$A15,W_!R$1)/Ns!$B$1</f>
        <v>-20.6857952975983</v>
      </c>
      <c r="S15" s="20" cm="1">
        <f t="array" ref="S15">INDEX(W_psid!$B$2:$CZ$104,W_!$A15,W_!S$1)/Ns!$B$1</f>
        <v>2.3224491819608475E-2</v>
      </c>
      <c r="T15" s="20" cm="1">
        <f t="array" ref="T15">INDEX(W_psid!$B$2:$CZ$104,W_!$A15,W_!T$1)/Ns!$B$1</f>
        <v>-5.4019871641474413E-4</v>
      </c>
      <c r="U15" s="20" cm="1">
        <f t="array" ref="U15">INDEX(W_psid!$B$2:$CZ$104,W_!$A15,W_!U$1)/Ns!$B$1</f>
        <v>2.9863648737288553E-2</v>
      </c>
      <c r="V15" s="20" cm="1">
        <f t="array" ref="V15">INDEX(W_psid!$B$2:$CZ$104,W_!$A15,W_!V$1)/Ns!$B$1</f>
        <v>-5.2266666446561381E-2</v>
      </c>
      <c r="W15" s="20" cm="1">
        <f t="array" ref="W15">INDEX(W_psid!$B$2:$CZ$104,W_!$A15,W_!W$1)/Ns!$B$1</f>
        <v>-0.30167905961548969</v>
      </c>
      <c r="X15" s="20" cm="1">
        <f t="array" ref="X15">INDEX(W_psid!$B$2:$CZ$104,W_!$A15,W_!X$1)/Ns!$B$1</f>
        <v>1.6559341647018948</v>
      </c>
      <c r="Y15" s="20" cm="1">
        <f t="array" ref="Y15">INDEX(W_psid!$B$2:$CZ$104,W_!$A15,W_!Y$1)/Ns!$B$1</f>
        <v>1.9609119999708657</v>
      </c>
      <c r="Z15" s="20" cm="1">
        <f t="array" ref="Z15">INDEX(W_psid!$B$2:$CZ$104,W_!$A15,W_!Z$1)/Ns!$B$1</f>
        <v>1.5197799181983216</v>
      </c>
      <c r="AA15" s="20" cm="1">
        <f t="array" ref="AA15">INDEX(W_psid!$B$2:$CZ$104,W_!$A15,W_!AA$1)/Ns!$B$1</f>
        <v>1.5919291159276721</v>
      </c>
      <c r="AB15" s="20" cm="1">
        <f t="array" ref="AB15">INDEX(W_psid!$B$2:$CZ$104,W_!$A15,W_!AB$1)/Ns!$B$1</f>
        <v>4.8548480290894029E-2</v>
      </c>
      <c r="AC15" s="20" cm="1">
        <f t="array" ref="AC15">INDEX(W_psid!$B$2:$CZ$104,W_!$A15,W_!AC$1)/Ns!$B$1</f>
        <v>4.503093804871678E-2</v>
      </c>
      <c r="AD15" s="20" cm="1">
        <f t="array" ref="AD15">INDEX(W_psid!$B$2:$CZ$104,W_!$A15,W_!AD$1)/Ns!$B$1</f>
        <v>-0.64247346018794016</v>
      </c>
      <c r="AE15" s="20" cm="1">
        <f t="array" ref="AE15">INDEX(W_psid!$B$2:$CZ$104,W_!$A15,W_!AE$1)/Ns!$B$1</f>
        <v>-0.27387519055746368</v>
      </c>
      <c r="AF15" s="20" cm="1">
        <f t="array" ref="AF15">INDEX(W_psid!$B$2:$CZ$104,W_!$A15,W_!AF$1)/Ns!$B$1</f>
        <v>-21.648413594580806</v>
      </c>
      <c r="AG15" s="20" cm="1">
        <f t="array" ref="AG15">INDEX(W_psid!$B$2:$CZ$104,W_!$A15,W_!AG$1)/Ns!$B$1</f>
        <v>-19.195060326575124</v>
      </c>
      <c r="AH15" s="20" cm="1">
        <f t="array" ref="AH15">INDEX(W_psid!$B$2:$CZ$104,W_!$A15,W_!AH$1)/Ns!$B$1</f>
        <v>3.8262370924965185E-2</v>
      </c>
      <c r="AI15" s="20" cm="1">
        <f t="array" ref="AI15">INDEX(W_psid!$B$2:$CZ$104,W_!$A15,W_!AI$1)/Ns!$B$1</f>
        <v>5.732041008199168E-2</v>
      </c>
      <c r="AJ15" s="20" cm="1">
        <f t="array" ref="AJ15">INDEX(W_psid!$B$2:$CZ$104,W_!$A15,W_!AJ$1)/Ns!$B$1</f>
        <v>-3.8106056129042951E-4</v>
      </c>
      <c r="AK15" s="20" cm="1">
        <f t="array" ref="AK15">INDEX(W_psid!$B$2:$CZ$104,W_!$A15,W_!AK$1)/Ns!$B$1</f>
        <v>-0.81966717897400898</v>
      </c>
      <c r="AL15" s="20" cm="1">
        <f t="array" ref="AL15">INDEX(W_psid!$B$2:$CZ$104,W_!$A15,W_!AL$1)/Ns!$B$1</f>
        <v>-1.4224655266011572</v>
      </c>
      <c r="AM15" s="20" cm="1">
        <f t="array" ref="AM15">INDEX(W_psid!$B$2:$CZ$104,W_!$A15,W_!AM$1)/Ns!$B$1</f>
        <v>-0.53975292499347238</v>
      </c>
      <c r="AN15" s="20" cm="1">
        <f t="array" ref="AN15">INDEX(W_psid!$B$2:$CZ$104,W_!$A15,W_!AN$1)/Ns!$B$1</f>
        <v>-0.11030683653697052</v>
      </c>
      <c r="AO15" s="20" cm="1">
        <f t="array" ref="AO15">INDEX(W_psid!$B$2:$CZ$104,W_!$A15,W_!AO$1)/Ns!$B$1</f>
        <v>-6.5912781929759713E-5</v>
      </c>
      <c r="AP15" s="20" cm="1">
        <f t="array" ref="AP15">INDEX(W_psid!$B$2:$CZ$104,W_!$A15,W_!AP$1)/Ns!$B$1</f>
        <v>13.77640660501863</v>
      </c>
      <c r="AQ15" s="20" cm="1">
        <f t="array" ref="AQ15">INDEX(W_psid!$B$2:$CZ$104,W_!$A15,W_!AQ$1)/Ns!$B$1</f>
        <v>9.7475784829171754</v>
      </c>
      <c r="AR15" s="20" cm="1">
        <f t="array" ref="AR15">INDEX(W_psid!$B$2:$CZ$104,W_!$A15,W_!AR$1)/Ns!$B$1</f>
        <v>1.6825050014821856</v>
      </c>
      <c r="AS15" s="20" cm="1">
        <f t="array" ref="AS15">INDEX(W_psid!$B$2:$CZ$104,W_!$A15,W_!AS$1)/Ns!$B$1</f>
        <v>-2.6007390919419496E-3</v>
      </c>
      <c r="AT15" s="20" cm="1">
        <f t="array" ref="AT15">INDEX(W_psid!$B$2:$CZ$104,W_!$A15,W_!AT$1)/Ns!$B$1</f>
        <v>2.3954240972004121E-2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-13.675057620330946</v>
      </c>
      <c r="AW15" s="20" cm="1">
        <f t="array" ref="AW15">INDEX(W_psid!$B$2:$CZ$104,W_!$A15,W_!AW$1)/Ns!$B$1</f>
        <v>1.0079393811256363</v>
      </c>
      <c r="AX15" s="20" cm="1">
        <f t="array" ref="AX15">INDEX(W_psid!$B$2:$CZ$104,W_!$A15,W_!AX$1)/Ns!$B$1</f>
        <v>-0.4975601355112389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</row>
    <row r="16" spans="1:58" x14ac:dyDescent="0.3">
      <c r="A16" s="18">
        <f>MATCH(C16,W_psid!$A$2:$A$104,0)</f>
        <v>53</v>
      </c>
      <c r="B16" s="18" t="str">
        <f>MOMS!$A$14</f>
        <v>hhwk_pwn_difhpww</v>
      </c>
      <c r="C16" s="18" t="str">
        <f>MOMS!$B$14</f>
        <v>hhwk_pwn_difhpww</v>
      </c>
      <c r="D16" s="20" cm="1">
        <f t="array" ref="D16">INDEX(W_psid!$B$2:$CZ$104,W_!$A16,W_!D$1)/Ns!$B$1</f>
        <v>0.25951679073077683</v>
      </c>
      <c r="E16" s="20" cm="1">
        <f t="array" ref="E16">INDEX(W_psid!$B$2:$CZ$104,W_!$A16,W_!E$1)/Ns!$B$1</f>
        <v>0.16674849669600575</v>
      </c>
      <c r="F16" s="20" cm="1">
        <f t="array" ref="F16">INDEX(W_psid!$B$2:$CZ$104,W_!$A16,W_!F$1)/Ns!$B$1</f>
        <v>0.52896066799456121</v>
      </c>
      <c r="G16" s="20" cm="1">
        <f t="array" ref="G16">INDEX(W_psid!$B$2:$CZ$104,W_!$A16,W_!G$1)/Ns!$B$1</f>
        <v>4.8563948713868914</v>
      </c>
      <c r="H16" s="20" cm="1">
        <f t="array" ref="H16">INDEX(W_psid!$B$2:$CZ$104,W_!$A16,W_!H$1)/Ns!$B$1</f>
        <v>-7.569602816461571</v>
      </c>
      <c r="I16" s="20" cm="1">
        <f t="array" ref="I16">INDEX(W_psid!$B$2:$CZ$104,W_!$A16,W_!I$1)/Ns!$B$1</f>
        <v>-19.288366748009036</v>
      </c>
      <c r="J16" s="20" cm="1">
        <f t="array" ref="J16">INDEX(W_psid!$B$2:$CZ$104,W_!$A16,W_!J$1)/Ns!$B$1</f>
        <v>-1.4485804295053126</v>
      </c>
      <c r="K16" s="20" cm="1">
        <f t="array" ref="K16">INDEX(W_psid!$B$2:$CZ$104,W_!$A16,W_!K$1)/Ns!$B$1</f>
        <v>-16.497327389197729</v>
      </c>
      <c r="L16" s="20" cm="1">
        <f t="array" ref="L16">INDEX(W_psid!$B$2:$CZ$104,W_!$A16,W_!L$1)/Ns!$B$1</f>
        <v>3.1850819479994379</v>
      </c>
      <c r="M16" s="20" cm="1">
        <f t="array" ref="M16">INDEX(W_psid!$B$2:$CZ$104,W_!$A16,W_!M$1)/Ns!$B$1</f>
        <v>20.115140426348905</v>
      </c>
      <c r="N16" s="20" cm="1">
        <f t="array" ref="N16">INDEX(W_psid!$B$2:$CZ$104,W_!$A16,W_!N$1)/Ns!$B$1</f>
        <v>1.0245440926399632</v>
      </c>
      <c r="O16" s="20" cm="1">
        <f t="array" ref="O16">INDEX(W_psid!$B$2:$CZ$104,W_!$A16,W_!O$1)/Ns!$B$1</f>
        <v>-2.9376769243129752</v>
      </c>
      <c r="P16" s="20" cm="1">
        <f t="array" ref="P16">INDEX(W_psid!$B$2:$CZ$104,W_!$A16,W_!P$1)/Ns!$B$1</f>
        <v>39.755640359284904</v>
      </c>
      <c r="Q16" s="20" cm="1">
        <f t="array" ref="Q16">INDEX(W_psid!$B$2:$CZ$104,W_!$A16,W_!Q$1)/Ns!$B$1</f>
        <v>39.26749590875535</v>
      </c>
      <c r="R16" s="20" cm="1">
        <f t="array" ref="R16">INDEX(W_psid!$B$2:$CZ$104,W_!$A16,W_!R$1)/Ns!$B$1</f>
        <v>12.179150355047694</v>
      </c>
      <c r="S16" s="20" cm="1">
        <f t="array" ref="S16">INDEX(W_psid!$B$2:$CZ$104,W_!$A16,W_!S$1)/Ns!$B$1</f>
        <v>3.2804675357705815E-4</v>
      </c>
      <c r="T16" s="20" cm="1">
        <f t="array" ref="T16">INDEX(W_psid!$B$2:$CZ$104,W_!$A16,W_!T$1)/Ns!$B$1</f>
        <v>2.2650969176257947E-3</v>
      </c>
      <c r="U16" s="20" cm="1">
        <f t="array" ref="U16">INDEX(W_psid!$B$2:$CZ$104,W_!$A16,W_!U$1)/Ns!$B$1</f>
        <v>1.0534664335000513E-2</v>
      </c>
      <c r="V16" s="20" cm="1">
        <f t="array" ref="V16">INDEX(W_psid!$B$2:$CZ$104,W_!$A16,W_!V$1)/Ns!$B$1</f>
        <v>-0.60345799539401734</v>
      </c>
      <c r="W16" s="20" cm="1">
        <f t="array" ref="W16">INDEX(W_psid!$B$2:$CZ$104,W_!$A16,W_!W$1)/Ns!$B$1</f>
        <v>-0.58589294803888126</v>
      </c>
      <c r="X16" s="20" cm="1">
        <f t="array" ref="X16">INDEX(W_psid!$B$2:$CZ$104,W_!$A16,W_!X$1)/Ns!$B$1</f>
        <v>-0.66488421677028631</v>
      </c>
      <c r="Y16" s="20" cm="1">
        <f t="array" ref="Y16">INDEX(W_psid!$B$2:$CZ$104,W_!$A16,W_!Y$1)/Ns!$B$1</f>
        <v>-0.50122753531170938</v>
      </c>
      <c r="Z16" s="20" cm="1">
        <f t="array" ref="Z16">INDEX(W_psid!$B$2:$CZ$104,W_!$A16,W_!Z$1)/Ns!$B$1</f>
        <v>-0.38891122972257697</v>
      </c>
      <c r="AA16" s="20" cm="1">
        <f t="array" ref="AA16">INDEX(W_psid!$B$2:$CZ$104,W_!$A16,W_!AA$1)/Ns!$B$1</f>
        <v>-0.70168542407958212</v>
      </c>
      <c r="AB16" s="20" cm="1">
        <f t="array" ref="AB16">INDEX(W_psid!$B$2:$CZ$104,W_!$A16,W_!AB$1)/Ns!$B$1</f>
        <v>1.48498572933203E-2</v>
      </c>
      <c r="AC16" s="20" cm="1">
        <f t="array" ref="AC16">INDEX(W_psid!$B$2:$CZ$104,W_!$A16,W_!AC$1)/Ns!$B$1</f>
        <v>-1.0203518063208095E-2</v>
      </c>
      <c r="AD16" s="20" cm="1">
        <f t="array" ref="AD16">INDEX(W_psid!$B$2:$CZ$104,W_!$A16,W_!AD$1)/Ns!$B$1</f>
        <v>0.30950696238472508</v>
      </c>
      <c r="AE16" s="20" cm="1">
        <f t="array" ref="AE16">INDEX(W_psid!$B$2:$CZ$104,W_!$A16,W_!AE$1)/Ns!$B$1</f>
        <v>-1.0122397587703936E-3</v>
      </c>
      <c r="AF16" s="20" cm="1">
        <f t="array" ref="AF16">INDEX(W_psid!$B$2:$CZ$104,W_!$A16,W_!AF$1)/Ns!$B$1</f>
        <v>-12.294416310687279</v>
      </c>
      <c r="AG16" s="20" cm="1">
        <f t="array" ref="AG16">INDEX(W_psid!$B$2:$CZ$104,W_!$A16,W_!AG$1)/Ns!$B$1</f>
        <v>-9.5652237032338512</v>
      </c>
      <c r="AH16" s="20" cm="1">
        <f t="array" ref="AH16">INDEX(W_psid!$B$2:$CZ$104,W_!$A16,W_!AH$1)/Ns!$B$1</f>
        <v>-6.2171600398451016E-2</v>
      </c>
      <c r="AI16" s="20" cm="1">
        <f t="array" ref="AI16">INDEX(W_psid!$B$2:$CZ$104,W_!$A16,W_!AI$1)/Ns!$B$1</f>
        <v>6.3074251424118336E-2</v>
      </c>
      <c r="AJ16" s="20" cm="1">
        <f t="array" ref="AJ16">INDEX(W_psid!$B$2:$CZ$104,W_!$A16,W_!AJ$1)/Ns!$B$1</f>
        <v>-2.0768676717635486E-4</v>
      </c>
      <c r="AK16" s="20" cm="1">
        <f t="array" ref="AK16">INDEX(W_psid!$B$2:$CZ$104,W_!$A16,W_!AK$1)/Ns!$B$1</f>
        <v>-5.3276783834579362E-3</v>
      </c>
      <c r="AL16" s="20" cm="1">
        <f t="array" ref="AL16">INDEX(W_psid!$B$2:$CZ$104,W_!$A16,W_!AL$1)/Ns!$B$1</f>
        <v>-3.9445329933461462E-2</v>
      </c>
      <c r="AM16" s="20" cm="1">
        <f t="array" ref="AM16">INDEX(W_psid!$B$2:$CZ$104,W_!$A16,W_!AM$1)/Ns!$B$1</f>
        <v>0.24521314630293212</v>
      </c>
      <c r="AN16" s="20" cm="1">
        <f t="array" ref="AN16">INDEX(W_psid!$B$2:$CZ$104,W_!$A16,W_!AN$1)/Ns!$B$1</f>
        <v>-9.1463954627892932E-2</v>
      </c>
      <c r="AO16" s="20" cm="1">
        <f t="array" ref="AO16">INDEX(W_psid!$B$2:$CZ$104,W_!$A16,W_!AO$1)/Ns!$B$1</f>
        <v>2.1294941760165173E-3</v>
      </c>
      <c r="AP16" s="20" cm="1">
        <f t="array" ref="AP16">INDEX(W_psid!$B$2:$CZ$104,W_!$A16,W_!AP$1)/Ns!$B$1</f>
        <v>5.7317873816886031</v>
      </c>
      <c r="AQ16" s="20" cm="1">
        <f t="array" ref="AQ16">INDEX(W_psid!$B$2:$CZ$104,W_!$A16,W_!AQ$1)/Ns!$B$1</f>
        <v>4.5180039198399236</v>
      </c>
      <c r="AR16" s="20" cm="1">
        <f t="array" ref="AR16">INDEX(W_psid!$B$2:$CZ$104,W_!$A16,W_!AR$1)/Ns!$B$1</f>
        <v>-1.8926461945954194</v>
      </c>
      <c r="AS16" s="20" cm="1">
        <f t="array" ref="AS16">INDEX(W_psid!$B$2:$CZ$104,W_!$A16,W_!AS$1)/Ns!$B$1</f>
        <v>2.1905977817385771E-5</v>
      </c>
      <c r="AT16" s="20" cm="1">
        <f t="array" ref="AT16">INDEX(W_psid!$B$2:$CZ$104,W_!$A16,W_!AT$1)/Ns!$B$1</f>
        <v>-4.8459647724024696E-3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-17.023527871051975</v>
      </c>
      <c r="AW16" s="20" cm="1">
        <f t="array" ref="AW16">INDEX(W_psid!$B$2:$CZ$104,W_!$A16,W_!AW$1)/Ns!$B$1</f>
        <v>-0.90333909039851346</v>
      </c>
      <c r="AX16" s="20" cm="1">
        <f t="array" ref="AX16">INDEX(W_psid!$B$2:$CZ$104,W_!$A16,W_!AX$1)/Ns!$B$1</f>
        <v>0.38751112762763223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</row>
    <row r="17" spans="1:58" x14ac:dyDescent="0.3">
      <c r="A17" s="18">
        <f>MATCH(C17,W_psid!$A$2:$A$104,0)</f>
        <v>54</v>
      </c>
      <c r="B17" s="18" t="str">
        <f>MOMS!$A$15</f>
        <v>hhwk_pnw_difhpww</v>
      </c>
      <c r="C17" s="18" t="str">
        <f>MOMS!$B$15</f>
        <v>hhwk_pnw_difhpww</v>
      </c>
      <c r="D17" s="20" cm="1">
        <f t="array" ref="D17">INDEX(W_psid!$B$2:$CZ$104,W_!$A17,W_!D$1)/Ns!$B$1</f>
        <v>0.12674004597105881</v>
      </c>
      <c r="E17" s="20" cm="1">
        <f t="array" ref="E17">INDEX(W_psid!$B$2:$CZ$104,W_!$A17,W_!E$1)/Ns!$B$1</f>
        <v>-4.9665912563076802</v>
      </c>
      <c r="F17" s="20" cm="1">
        <f t="array" ref="F17">INDEX(W_psid!$B$2:$CZ$104,W_!$A17,W_!F$1)/Ns!$B$1</f>
        <v>-0.23660096325698426</v>
      </c>
      <c r="G17" s="20" cm="1">
        <f t="array" ref="G17">INDEX(W_psid!$B$2:$CZ$104,W_!$A17,W_!G$1)/Ns!$B$1</f>
        <v>-57.742872783374089</v>
      </c>
      <c r="H17" s="20" cm="1">
        <f t="array" ref="H17">INDEX(W_psid!$B$2:$CZ$104,W_!$A17,W_!H$1)/Ns!$B$1</f>
        <v>-48.456880860037323</v>
      </c>
      <c r="I17" s="20" cm="1">
        <f t="array" ref="I17">INDEX(W_psid!$B$2:$CZ$104,W_!$A17,W_!I$1)/Ns!$B$1</f>
        <v>-27.546353260961382</v>
      </c>
      <c r="J17" s="20" cm="1">
        <f t="array" ref="J17">INDEX(W_psid!$B$2:$CZ$104,W_!$A17,W_!J$1)/Ns!$B$1</f>
        <v>116.85998602606817</v>
      </c>
      <c r="K17" s="20" cm="1">
        <f t="array" ref="K17">INDEX(W_psid!$B$2:$CZ$104,W_!$A17,W_!K$1)/Ns!$B$1</f>
        <v>18.250627336894446</v>
      </c>
      <c r="L17" s="20" cm="1">
        <f t="array" ref="L17">INDEX(W_psid!$B$2:$CZ$104,W_!$A17,W_!L$1)/Ns!$B$1</f>
        <v>33.990228906505429</v>
      </c>
      <c r="M17" s="20" cm="1">
        <f t="array" ref="M17">INDEX(W_psid!$B$2:$CZ$104,W_!$A17,W_!M$1)/Ns!$B$1</f>
        <v>30.475213992747385</v>
      </c>
      <c r="N17" s="20" cm="1">
        <f t="array" ref="N17">INDEX(W_psid!$B$2:$CZ$104,W_!$A17,W_!N$1)/Ns!$B$1</f>
        <v>-48.287100899821624</v>
      </c>
      <c r="O17" s="20" cm="1">
        <f t="array" ref="O17">INDEX(W_psid!$B$2:$CZ$104,W_!$A17,W_!O$1)/Ns!$B$1</f>
        <v>-13.512058873063335</v>
      </c>
      <c r="P17" s="20" cm="1">
        <f t="array" ref="P17">INDEX(W_psid!$B$2:$CZ$104,W_!$A17,W_!P$1)/Ns!$B$1</f>
        <v>39.26749590875535</v>
      </c>
      <c r="Q17" s="20" cm="1">
        <f t="array" ref="Q17">INDEX(W_psid!$B$2:$CZ$104,W_!$A17,W_!Q$1)/Ns!$B$1</f>
        <v>1196.221132877668</v>
      </c>
      <c r="R17" s="20" cm="1">
        <f t="array" ref="R17">INDEX(W_psid!$B$2:$CZ$104,W_!$A17,W_!R$1)/Ns!$B$1</f>
        <v>-36.546885381844099</v>
      </c>
      <c r="S17" s="20" cm="1">
        <f t="array" ref="S17">INDEX(W_psid!$B$2:$CZ$104,W_!$A17,W_!S$1)/Ns!$B$1</f>
        <v>-2.8674714563664314E-2</v>
      </c>
      <c r="T17" s="20" cm="1">
        <f t="array" ref="T17">INDEX(W_psid!$B$2:$CZ$104,W_!$A17,W_!T$1)/Ns!$B$1</f>
        <v>-7.6495774892767912E-3</v>
      </c>
      <c r="U17" s="20" cm="1">
        <f t="array" ref="U17">INDEX(W_psid!$B$2:$CZ$104,W_!$A17,W_!U$1)/Ns!$B$1</f>
        <v>-6.5648957022688081E-2</v>
      </c>
      <c r="V17" s="20" cm="1">
        <f t="array" ref="V17">INDEX(W_psid!$B$2:$CZ$104,W_!$A17,W_!V$1)/Ns!$B$1</f>
        <v>4.7452178569251844</v>
      </c>
      <c r="W17" s="20" cm="1">
        <f t="array" ref="W17">INDEX(W_psid!$B$2:$CZ$104,W_!$A17,W_!W$1)/Ns!$B$1</f>
        <v>4.6386406284693908</v>
      </c>
      <c r="X17" s="20" cm="1">
        <f t="array" ref="X17">INDEX(W_psid!$B$2:$CZ$104,W_!$A17,W_!X$1)/Ns!$B$1</f>
        <v>3.7943099820373307</v>
      </c>
      <c r="Y17" s="20" cm="1">
        <f t="array" ref="Y17">INDEX(W_psid!$B$2:$CZ$104,W_!$A17,W_!Y$1)/Ns!$B$1</f>
        <v>3.0791799905168427</v>
      </c>
      <c r="Z17" s="20" cm="1">
        <f t="array" ref="Z17">INDEX(W_psid!$B$2:$CZ$104,W_!$A17,W_!Z$1)/Ns!$B$1</f>
        <v>2.5180846926311444</v>
      </c>
      <c r="AA17" s="20" cm="1">
        <f t="array" ref="AA17">INDEX(W_psid!$B$2:$CZ$104,W_!$A17,W_!AA$1)/Ns!$B$1</f>
        <v>2.9535308097887731</v>
      </c>
      <c r="AB17" s="20" cm="1">
        <f t="array" ref="AB17">INDEX(W_psid!$B$2:$CZ$104,W_!$A17,W_!AB$1)/Ns!$B$1</f>
        <v>-0.64289349934593021</v>
      </c>
      <c r="AC17" s="20" cm="1">
        <f t="array" ref="AC17">INDEX(W_psid!$B$2:$CZ$104,W_!$A17,W_!AC$1)/Ns!$B$1</f>
        <v>-7.0677233342985576E-2</v>
      </c>
      <c r="AD17" s="20" cm="1">
        <f t="array" ref="AD17">INDEX(W_psid!$B$2:$CZ$104,W_!$A17,W_!AD$1)/Ns!$B$1</f>
        <v>1.7221667936394278</v>
      </c>
      <c r="AE17" s="20" cm="1">
        <f t="array" ref="AE17">INDEX(W_psid!$B$2:$CZ$104,W_!$A17,W_!AE$1)/Ns!$B$1</f>
        <v>-0.73190077955316901</v>
      </c>
      <c r="AF17" s="20" cm="1">
        <f t="array" ref="AF17">INDEX(W_psid!$B$2:$CZ$104,W_!$A17,W_!AF$1)/Ns!$B$1</f>
        <v>21.471606413558508</v>
      </c>
      <c r="AG17" s="20" cm="1">
        <f t="array" ref="AG17">INDEX(W_psid!$B$2:$CZ$104,W_!$A17,W_!AG$1)/Ns!$B$1</f>
        <v>17.300620369107168</v>
      </c>
      <c r="AH17" s="20" cm="1">
        <f t="array" ref="AH17">INDEX(W_psid!$B$2:$CZ$104,W_!$A17,W_!AH$1)/Ns!$B$1</f>
        <v>0.23441409181538292</v>
      </c>
      <c r="AI17" s="20" cm="1">
        <f t="array" ref="AI17">INDEX(W_psid!$B$2:$CZ$104,W_!$A17,W_!AI$1)/Ns!$B$1</f>
        <v>0.10485019971983607</v>
      </c>
      <c r="AJ17" s="20" cm="1">
        <f t="array" ref="AJ17">INDEX(W_psid!$B$2:$CZ$104,W_!$A17,W_!AJ$1)/Ns!$B$1</f>
        <v>-3.4205728603731193E-3</v>
      </c>
      <c r="AK17" s="20" cm="1">
        <f t="array" ref="AK17">INDEX(W_psid!$B$2:$CZ$104,W_!$A17,W_!AK$1)/Ns!$B$1</f>
        <v>-4.3623033080328684</v>
      </c>
      <c r="AL17" s="20" cm="1">
        <f t="array" ref="AL17">INDEX(W_psid!$B$2:$CZ$104,W_!$A17,W_!AL$1)/Ns!$B$1</f>
        <v>-10.705116349676027</v>
      </c>
      <c r="AM17" s="20" cm="1">
        <f t="array" ref="AM17">INDEX(W_psid!$B$2:$CZ$104,W_!$A17,W_!AM$1)/Ns!$B$1</f>
        <v>1.9844590314666792</v>
      </c>
      <c r="AN17" s="20" cm="1">
        <f t="array" ref="AN17">INDEX(W_psid!$B$2:$CZ$104,W_!$A17,W_!AN$1)/Ns!$B$1</f>
        <v>1.15446283087839</v>
      </c>
      <c r="AO17" s="20" cm="1">
        <f t="array" ref="AO17">INDEX(W_psid!$B$2:$CZ$104,W_!$A17,W_!AO$1)/Ns!$B$1</f>
        <v>9.6556002898318741E-3</v>
      </c>
      <c r="AP17" s="20" cm="1">
        <f t="array" ref="AP17">INDEX(W_psid!$B$2:$CZ$104,W_!$A17,W_!AP$1)/Ns!$B$1</f>
        <v>-26.738741444666946</v>
      </c>
      <c r="AQ17" s="20" cm="1">
        <f t="array" ref="AQ17">INDEX(W_psid!$B$2:$CZ$104,W_!$A17,W_!AQ$1)/Ns!$B$1</f>
        <v>-21.997133848896411</v>
      </c>
      <c r="AR17" s="20" cm="1">
        <f t="array" ref="AR17">INDEX(W_psid!$B$2:$CZ$104,W_!$A17,W_!AR$1)/Ns!$B$1</f>
        <v>22.27021139019115</v>
      </c>
      <c r="AS17" s="20" cm="1">
        <f t="array" ref="AS17">INDEX(W_psid!$B$2:$CZ$104,W_!$A17,W_!AS$1)/Ns!$B$1</f>
        <v>-1.7659525279157752E-3</v>
      </c>
      <c r="AT17" s="20" cm="1">
        <f t="array" ref="AT17">INDEX(W_psid!$B$2:$CZ$104,W_!$A17,W_!AT$1)/Ns!$B$1</f>
        <v>1.9844823230092942E-2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-14.554650270386208</v>
      </c>
      <c r="AW17" s="20" cm="1">
        <f t="array" ref="AW17">INDEX(W_psid!$B$2:$CZ$104,W_!$A17,W_!AW$1)/Ns!$B$1</f>
        <v>-1.4179029096202442</v>
      </c>
      <c r="AX17" s="20" cm="1">
        <f t="array" ref="AX17">INDEX(W_psid!$B$2:$CZ$104,W_!$A17,W_!AX$1)/Ns!$B$1</f>
        <v>0.65206997973784142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</row>
    <row r="18" spans="1:58" x14ac:dyDescent="0.3">
      <c r="A18" s="18">
        <f>MATCH(C18,W_psid!$A$2:$A$104,0)</f>
        <v>39</v>
      </c>
      <c r="B18" s="18" t="str">
        <f>MOMS!$A$16</f>
        <v>shwk</v>
      </c>
      <c r="C18" s="18" t="str">
        <f>MOMS!$B$16</f>
        <v>shwk</v>
      </c>
      <c r="D18" s="20" cm="1">
        <f t="array" ref="D18">INDEX(W_psid!$B$2:$CZ$104,W_!$A18,W_!D$1)/Ns!$B$1</f>
        <v>0.58147363910938721</v>
      </c>
      <c r="E18" s="20" cm="1">
        <f t="array" ref="E18">INDEX(W_psid!$B$2:$CZ$104,W_!$A18,W_!E$1)/Ns!$B$1</f>
        <v>2.5999301537871151</v>
      </c>
      <c r="F18" s="20" cm="1">
        <f t="array" ref="F18">INDEX(W_psid!$B$2:$CZ$104,W_!$A18,W_!F$1)/Ns!$B$1</f>
        <v>3.187599065670534</v>
      </c>
      <c r="G18" s="20" cm="1">
        <f t="array" ref="G18">INDEX(W_psid!$B$2:$CZ$104,W_!$A18,W_!G$1)/Ns!$B$1</f>
        <v>75.793313992170354</v>
      </c>
      <c r="H18" s="20" cm="1">
        <f t="array" ref="H18">INDEX(W_psid!$B$2:$CZ$104,W_!$A18,W_!H$1)/Ns!$B$1</f>
        <v>-23.210982420542383</v>
      </c>
      <c r="I18" s="20" cm="1">
        <f t="array" ref="I18">INDEX(W_psid!$B$2:$CZ$104,W_!$A18,W_!I$1)/Ns!$B$1</f>
        <v>-60.73926256592047</v>
      </c>
      <c r="J18" s="20" cm="1">
        <f t="array" ref="J18">INDEX(W_psid!$B$2:$CZ$104,W_!$A18,W_!J$1)/Ns!$B$1</f>
        <v>-77.290311344460576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46.000542130549448</v>
      </c>
      <c r="M18" s="20" cm="1">
        <f t="array" ref="M18">INDEX(W_psid!$B$2:$CZ$104,W_!$A18,W_!M$1)/Ns!$B$1</f>
        <v>28.739326402269835</v>
      </c>
      <c r="N18" s="20" cm="1">
        <f t="array" ref="N18">INDEX(W_psid!$B$2:$CZ$104,W_!$A18,W_!N$1)/Ns!$B$1</f>
        <v>0.75693212338701454</v>
      </c>
      <c r="O18" s="20" cm="1">
        <f t="array" ref="O18">INDEX(W_psid!$B$2:$CZ$104,W_!$A18,W_!O$1)/Ns!$B$1</f>
        <v>-20.6857952975983</v>
      </c>
      <c r="P18" s="20" cm="1">
        <f t="array" ref="P18">INDEX(W_psid!$B$2:$CZ$104,W_!$A18,W_!P$1)/Ns!$B$1</f>
        <v>12.179150355047694</v>
      </c>
      <c r="Q18" s="20" cm="1">
        <f t="array" ref="Q18">INDEX(W_psid!$B$2:$CZ$104,W_!$A18,W_!Q$1)/Ns!$B$1</f>
        <v>-36.546885381844099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-1.0999822460285463E-3</v>
      </c>
      <c r="T18" s="20" cm="1">
        <f t="array" ref="T18">INDEX(W_psid!$B$2:$CZ$104,W_!$A18,W_!T$1)/Ns!$B$1</f>
        <v>-5.4282230657870106E-3</v>
      </c>
      <c r="U18" s="20" cm="1">
        <f t="array" ref="U18">INDEX(W_psid!$B$2:$CZ$104,W_!$A18,W_!U$1)/Ns!$B$1</f>
        <v>-8.1372034850398414E-2</v>
      </c>
      <c r="V18" s="20" cm="1">
        <f t="array" ref="V18">INDEX(W_psid!$B$2:$CZ$104,W_!$A18,W_!V$1)/Ns!$B$1</f>
        <v>-4.7229924117265272</v>
      </c>
      <c r="W18" s="20" cm="1">
        <f t="array" ref="W18">INDEX(W_psid!$B$2:$CZ$104,W_!$A18,W_!W$1)/Ns!$B$1</f>
        <v>-4.5023767824796144</v>
      </c>
      <c r="X18" s="20" cm="1">
        <f t="array" ref="X18">INDEX(W_psid!$B$2:$CZ$104,W_!$A18,W_!X$1)/Ns!$B$1</f>
        <v>-2.7750068472985956</v>
      </c>
      <c r="Y18" s="20" cm="1">
        <f t="array" ref="Y18">INDEX(W_psid!$B$2:$CZ$104,W_!$A18,W_!Y$1)/Ns!$B$1</f>
        <v>-1.4263818249980713</v>
      </c>
      <c r="Z18" s="20" cm="1">
        <f t="array" ref="Z18">INDEX(W_psid!$B$2:$CZ$104,W_!$A18,W_!Z$1)/Ns!$B$1</f>
        <v>-0.95768702618199031</v>
      </c>
      <c r="AA18" s="20" cm="1">
        <f t="array" ref="AA18">INDEX(W_psid!$B$2:$CZ$104,W_!$A18,W_!AA$1)/Ns!$B$1</f>
        <v>-2.2817064415570103</v>
      </c>
      <c r="AB18" s="20" cm="1">
        <f t="array" ref="AB18">INDEX(W_psid!$B$2:$CZ$104,W_!$A18,W_!AB$1)/Ns!$B$1</f>
        <v>1.3231156122718926</v>
      </c>
      <c r="AC18" s="20" cm="1">
        <f t="array" ref="AC18">INDEX(W_psid!$B$2:$CZ$104,W_!$A18,W_!AC$1)/Ns!$B$1</f>
        <v>-9.7776653537335039E-3</v>
      </c>
      <c r="AD18" s="20" cm="1">
        <f t="array" ref="AD18">INDEX(W_psid!$B$2:$CZ$104,W_!$A18,W_!AD$1)/Ns!$B$1</f>
        <v>1.2214151664474922</v>
      </c>
      <c r="AE18" s="20" cm="1">
        <f t="array" ref="AE18">INDEX(W_psid!$B$2:$CZ$104,W_!$A18,W_!AE$1)/Ns!$B$1</f>
        <v>2.367473806744164E-2</v>
      </c>
      <c r="AF18" s="20" cm="1">
        <f t="array" ref="AF18">INDEX(W_psid!$B$2:$CZ$104,W_!$A18,W_!AF$1)/Ns!$B$1</f>
        <v>-74.093544163415288</v>
      </c>
      <c r="AG18" s="20" cm="1">
        <f t="array" ref="AG18">INDEX(W_psid!$B$2:$CZ$104,W_!$A18,W_!AG$1)/Ns!$B$1</f>
        <v>-63.043721017964131</v>
      </c>
      <c r="AH18" s="20" cm="1">
        <f t="array" ref="AH18">INDEX(W_psid!$B$2:$CZ$104,W_!$A18,W_!AH$1)/Ns!$B$1</f>
        <v>-0.18049677139967293</v>
      </c>
      <c r="AI18" s="20" cm="1">
        <f t="array" ref="AI18">INDEX(W_psid!$B$2:$CZ$104,W_!$A18,W_!AI$1)/Ns!$B$1</f>
        <v>-0.10599222346925073</v>
      </c>
      <c r="AJ18" s="20" cm="1">
        <f t="array" ref="AJ18">INDEX(W_psid!$B$2:$CZ$104,W_!$A18,W_!AJ$1)/Ns!$B$1</f>
        <v>1.3924503344605447E-3</v>
      </c>
      <c r="AK18" s="20" cm="1">
        <f t="array" ref="AK18">INDEX(W_psid!$B$2:$CZ$104,W_!$A18,W_!AK$1)/Ns!$B$1</f>
        <v>7.2720216023545996</v>
      </c>
      <c r="AL18" s="20" cm="1">
        <f t="array" ref="AL18">INDEX(W_psid!$B$2:$CZ$104,W_!$A18,W_!AL$1)/Ns!$B$1</f>
        <v>8.7639010884126165</v>
      </c>
      <c r="AM18" s="20" cm="1">
        <f t="array" ref="AM18">INDEX(W_psid!$B$2:$CZ$104,W_!$A18,W_!AM$1)/Ns!$B$1</f>
        <v>-2.1608060285536097</v>
      </c>
      <c r="AN18" s="20" cm="1">
        <f t="array" ref="AN18">INDEX(W_psid!$B$2:$CZ$104,W_!$A18,W_!AN$1)/Ns!$B$1</f>
        <v>-0.55193326065494019</v>
      </c>
      <c r="AO18" s="20" cm="1">
        <f t="array" ref="AO18">INDEX(W_psid!$B$2:$CZ$104,W_!$A18,W_!AO$1)/Ns!$B$1</f>
        <v>-2.2757596970095326E-3</v>
      </c>
      <c r="AP18" s="20" cm="1">
        <f t="array" ref="AP18">INDEX(W_psid!$B$2:$CZ$104,W_!$A18,W_!AP$1)/Ns!$B$1</f>
        <v>7.9021873126290432</v>
      </c>
      <c r="AQ18" s="20" cm="1">
        <f t="array" ref="AQ18">INDEX(W_psid!$B$2:$CZ$104,W_!$A18,W_!AQ$1)/Ns!$B$1</f>
        <v>6.8769408639930028</v>
      </c>
      <c r="AR18" s="20" cm="1">
        <f t="array" ref="AR18">INDEX(W_psid!$B$2:$CZ$104,W_!$A18,W_!AR$1)/Ns!$B$1</f>
        <v>-18.682074008353883</v>
      </c>
      <c r="AS18" s="20" cm="1">
        <f t="array" ref="AS18">INDEX(W_psid!$B$2:$CZ$104,W_!$A18,W_!AS$1)/Ns!$B$1</f>
        <v>-2.0982141386123604E-4</v>
      </c>
      <c r="AT18" s="20" cm="1">
        <f t="array" ref="AT18">INDEX(W_psid!$B$2:$CZ$104,W_!$A18,W_!AT$1)/Ns!$B$1</f>
        <v>5.0376286904272151E-3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-32.777396461746335</v>
      </c>
      <c r="AW18" s="20" cm="1">
        <f t="array" ref="AW18">INDEX(W_psid!$B$2:$CZ$104,W_!$A18,W_!AW$1)/Ns!$B$1</f>
        <v>-0.72184564319645494</v>
      </c>
      <c r="AX18" s="20" cm="1">
        <f t="array" ref="AX18">INDEX(W_psid!$B$2:$CZ$104,W_!$A18,W_!AX$1)/Ns!$B$1</f>
        <v>1.0002264821964526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</row>
    <row r="19" spans="1:58" x14ac:dyDescent="0.3">
      <c r="A19" s="18">
        <f>MATCH(C19,W_psid!$A$2:$A$104,0)</f>
        <v>35</v>
      </c>
      <c r="B19" s="18" t="str">
        <f>MOMS!$A$17</f>
        <v>wlfp_dif</v>
      </c>
      <c r="C19" s="18" t="str">
        <f>MOMS!$B$17</f>
        <v>wlfp_dif</v>
      </c>
      <c r="D19" s="20" cm="1">
        <f t="array" ref="D19">INDEX(W_psid!$B$2:$CZ$104,W_!$A19,W_!D$1)/Ns!$B$1</f>
        <v>1.6404555638092091E-4</v>
      </c>
      <c r="E19" s="20" cm="1">
        <f t="array" ref="E19">INDEX(W_psid!$B$2:$CZ$104,W_!$A19,W_!E$1)/Ns!$B$1</f>
        <v>3.8235820130903087E-4</v>
      </c>
      <c r="F19" s="20" cm="1">
        <f t="array" ref="F19">INDEX(W_psid!$B$2:$CZ$104,W_!$A19,W_!F$1)/Ns!$B$1</f>
        <v>3.080766292763718E-4</v>
      </c>
      <c r="G19" s="20" cm="1">
        <f t="array" ref="G19">INDEX(W_psid!$B$2:$CZ$104,W_!$A19,W_!G$1)/Ns!$B$1</f>
        <v>4.9694127889082354E-2</v>
      </c>
      <c r="H19" s="20" cm="1">
        <f t="array" ref="H19">INDEX(W_psid!$B$2:$CZ$104,W_!$A19,W_!H$1)/Ns!$B$1</f>
        <v>2.2897992100573707E-3</v>
      </c>
      <c r="I19" s="20" cm="1">
        <f t="array" ref="I19">INDEX(W_psid!$B$2:$CZ$104,W_!$A19,W_!I$1)/Ns!$B$1</f>
        <v>-6.3913429607830334E-3</v>
      </c>
      <c r="J19" s="20" cm="1">
        <f t="array" ref="J19">INDEX(W_psid!$B$2:$CZ$104,W_!$A19,W_!J$1)/Ns!$B$1</f>
        <v>-8.0873265758053918E-3</v>
      </c>
      <c r="K19" s="20" cm="1">
        <f t="array" ref="K19">INDEX(W_psid!$B$2:$CZ$104,W_!$A19,W_!K$1)/Ns!$B$1</f>
        <v>-7.932224065922729E-3</v>
      </c>
      <c r="L19" s="20" cm="1">
        <f t="array" ref="L19">INDEX(W_psid!$B$2:$CZ$104,W_!$A19,W_!L$1)/Ns!$B$1</f>
        <v>-2.2014829407432934E-2</v>
      </c>
      <c r="M19" s="20" cm="1">
        <f t="array" ref="M19">INDEX(W_psid!$B$2:$CZ$104,W_!$A19,W_!M$1)/Ns!$B$1</f>
        <v>1.9033316093118426E-3</v>
      </c>
      <c r="N19" s="20" cm="1">
        <f t="array" ref="N19">INDEX(W_psid!$B$2:$CZ$104,W_!$A19,W_!N$1)/Ns!$B$1</f>
        <v>-2.0903175277505303E-3</v>
      </c>
      <c r="O19" s="20" cm="1">
        <f t="array" ref="O19">INDEX(W_psid!$B$2:$CZ$104,W_!$A19,W_!O$1)/Ns!$B$1</f>
        <v>2.3224491819608475E-2</v>
      </c>
      <c r="P19" s="20" cm="1">
        <f t="array" ref="P19">INDEX(W_psid!$B$2:$CZ$104,W_!$A19,W_!P$1)/Ns!$B$1</f>
        <v>3.2804675357705815E-4</v>
      </c>
      <c r="Q19" s="20" cm="1">
        <f t="array" ref="Q19">INDEX(W_psid!$B$2:$CZ$104,W_!$A19,W_!Q$1)/Ns!$B$1</f>
        <v>-2.8674714563664314E-2</v>
      </c>
      <c r="R19" s="20" cm="1">
        <f t="array" ref="R19">INDEX(W_psid!$B$2:$CZ$104,W_!$A19,W_!R$1)/Ns!$B$1</f>
        <v>-1.0999822460285463E-3</v>
      </c>
      <c r="S19" s="20" cm="1">
        <f t="array" ref="S19">INDEX(W_psid!$B$2:$CZ$104,W_!$A19,W_!S$1)/Ns!$B$1</f>
        <v>3.3085821809979652E-5</v>
      </c>
      <c r="T19" s="20" cm="1">
        <f t="array" ref="T19">INDEX(W_psid!$B$2:$CZ$104,W_!$A19,W_!T$1)/Ns!$B$1</f>
        <v>-9.3087667180557145E-7</v>
      </c>
      <c r="U19" s="20" cm="1">
        <f t="array" ref="U19">INDEX(W_psid!$B$2:$CZ$104,W_!$A19,W_!U$1)/Ns!$B$1</f>
        <v>1.8030500715817416E-5</v>
      </c>
      <c r="V19" s="20" cm="1">
        <f t="array" ref="V19">INDEX(W_psid!$B$2:$CZ$104,W_!$A19,W_!V$1)/Ns!$B$1</f>
        <v>-2.4608355312733823E-3</v>
      </c>
      <c r="W19" s="20" cm="1">
        <f t="array" ref="W19">INDEX(W_psid!$B$2:$CZ$104,W_!$A19,W_!W$1)/Ns!$B$1</f>
        <v>-2.4444750438491489E-3</v>
      </c>
      <c r="X19" s="20" cm="1">
        <f t="array" ref="X19">INDEX(W_psid!$B$2:$CZ$104,W_!$A19,W_!X$1)/Ns!$B$1</f>
        <v>-2.0275152773063074E-3</v>
      </c>
      <c r="Y19" s="20" cm="1">
        <f t="array" ref="Y19">INDEX(W_psid!$B$2:$CZ$104,W_!$A19,W_!Y$1)/Ns!$B$1</f>
        <v>-1.7938199019546517E-3</v>
      </c>
      <c r="Z19" s="20" cm="1">
        <f t="array" ref="Z19">INDEX(W_psid!$B$2:$CZ$104,W_!$A19,W_!Z$1)/Ns!$B$1</f>
        <v>-1.6919525015474202E-3</v>
      </c>
      <c r="AA19" s="20" cm="1">
        <f t="array" ref="AA19">INDEX(W_psid!$B$2:$CZ$104,W_!$A19,W_!AA$1)/Ns!$B$1</f>
        <v>-1.916312540180216E-3</v>
      </c>
      <c r="AB19" s="20" cm="1">
        <f t="array" ref="AB19">INDEX(W_psid!$B$2:$CZ$104,W_!$A19,W_!AB$1)/Ns!$B$1</f>
        <v>-4.386765345687592E-4</v>
      </c>
      <c r="AC19" s="20" cm="1">
        <f t="array" ref="AC19">INDEX(W_psid!$B$2:$CZ$104,W_!$A19,W_!AC$1)/Ns!$B$1</f>
        <v>-8.0640938680217363E-6</v>
      </c>
      <c r="AD19" s="20" cm="1">
        <f t="array" ref="AD19">INDEX(W_psid!$B$2:$CZ$104,W_!$A19,W_!AD$1)/Ns!$B$1</f>
        <v>1.496822967759983E-4</v>
      </c>
      <c r="AE19" s="20" cm="1">
        <f t="array" ref="AE19">INDEX(W_psid!$B$2:$CZ$104,W_!$A19,W_!AE$1)/Ns!$B$1</f>
        <v>1.5323663901675204E-4</v>
      </c>
      <c r="AF19" s="20" cm="1">
        <f t="array" ref="AF19">INDEX(W_psid!$B$2:$CZ$104,W_!$A19,W_!AF$1)/Ns!$B$1</f>
        <v>-2.0093577529196344E-2</v>
      </c>
      <c r="AG19" s="20" cm="1">
        <f t="array" ref="AG19">INDEX(W_psid!$B$2:$CZ$104,W_!$A19,W_!AG$1)/Ns!$B$1</f>
        <v>-1.8480624435300578E-2</v>
      </c>
      <c r="AH19" s="20" cm="1">
        <f t="array" ref="AH19">INDEX(W_psid!$B$2:$CZ$104,W_!$A19,W_!AH$1)/Ns!$B$1</f>
        <v>-2.7050326154582082E-5</v>
      </c>
      <c r="AI19" s="20" cm="1">
        <f t="array" ref="AI19">INDEX(W_psid!$B$2:$CZ$104,W_!$A19,W_!AI$1)/Ns!$B$1</f>
        <v>-2.652402622634618E-5</v>
      </c>
      <c r="AJ19" s="20" cm="1">
        <f t="array" ref="AJ19">INDEX(W_psid!$B$2:$CZ$104,W_!$A19,W_!AJ$1)/Ns!$B$1</f>
        <v>7.7944824096572342E-7</v>
      </c>
      <c r="AK19" s="20" cm="1">
        <f t="array" ref="AK19">INDEX(W_psid!$B$2:$CZ$104,W_!$A19,W_!AK$1)/Ns!$B$1</f>
        <v>2.4339433856142927E-3</v>
      </c>
      <c r="AL19" s="20" cm="1">
        <f t="array" ref="AL19">INDEX(W_psid!$B$2:$CZ$104,W_!$A19,W_!AL$1)/Ns!$B$1</f>
        <v>3.9418319682392421E-3</v>
      </c>
      <c r="AM19" s="20" cm="1">
        <f t="array" ref="AM19">INDEX(W_psid!$B$2:$CZ$104,W_!$A19,W_!AM$1)/Ns!$B$1</f>
        <v>-8.9001213500686466E-4</v>
      </c>
      <c r="AN19" s="20" cm="1">
        <f t="array" ref="AN19">INDEX(W_psid!$B$2:$CZ$104,W_!$A19,W_!AN$1)/Ns!$B$1</f>
        <v>-1.1840998320993241E-4</v>
      </c>
      <c r="AO19" s="20" cm="1">
        <f t="array" ref="AO19">INDEX(W_psid!$B$2:$CZ$104,W_!$A19,W_!AO$1)/Ns!$B$1</f>
        <v>-1.7349786237770195E-6</v>
      </c>
      <c r="AP19" s="20" cm="1">
        <f t="array" ref="AP19">INDEX(W_psid!$B$2:$CZ$104,W_!$A19,W_!AP$1)/Ns!$B$1</f>
        <v>9.3063231139873005E-3</v>
      </c>
      <c r="AQ19" s="20" cm="1">
        <f t="array" ref="AQ19">INDEX(W_psid!$B$2:$CZ$104,W_!$A19,W_!AQ$1)/Ns!$B$1</f>
        <v>3.1678833704185359E-3</v>
      </c>
      <c r="AR19" s="20" cm="1">
        <f t="array" ref="AR19">INDEX(W_psid!$B$2:$CZ$104,W_!$A19,W_!AR$1)/Ns!$B$1</f>
        <v>-2.120257135105697E-3</v>
      </c>
      <c r="AS19" s="20" cm="1">
        <f t="array" ref="AS19">INDEX(W_psid!$B$2:$CZ$104,W_!$A19,W_!AS$1)/Ns!$B$1</f>
        <v>1.869428923516468E-7</v>
      </c>
      <c r="AT19" s="20" cm="1">
        <f t="array" ref="AT19">INDEX(W_psid!$B$2:$CZ$104,W_!$A19,W_!AT$1)/Ns!$B$1</f>
        <v>3.1425332741081251E-7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-8.5244534945116569E-3</v>
      </c>
      <c r="AW19" s="20" cm="1">
        <f t="array" ref="AW19">INDEX(W_psid!$B$2:$CZ$104,W_!$A19,W_!AW$1)/Ns!$B$1</f>
        <v>5.6263534237016132E-4</v>
      </c>
      <c r="AX19" s="20" cm="1">
        <f t="array" ref="AX19">INDEX(W_psid!$B$2:$CZ$104,W_!$A19,W_!AX$1)/Ns!$B$1</f>
        <v>4.2376930329549641E-4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</row>
    <row r="20" spans="1:58" x14ac:dyDescent="0.3">
      <c r="A20" s="18">
        <f>MATCH(C20,W_psid!$A$2:$A$104,0)</f>
        <v>34</v>
      </c>
      <c r="B20" s="18" t="str">
        <f>MOMS!$A$18</f>
        <v>hlfp</v>
      </c>
      <c r="C20" s="18" t="str">
        <f>MOMS!$B$18</f>
        <v>hlfp</v>
      </c>
      <c r="D20" s="20" cm="1">
        <f t="array" ref="D20">INDEX(W_psid!$B$2:$CZ$104,W_!$A20,W_!D$1)/Ns!$B$1</f>
        <v>-9.1815233339457756E-5</v>
      </c>
      <c r="E20" s="20" cm="1">
        <f t="array" ref="E20">INDEX(W_psid!$B$2:$CZ$104,W_!$A20,W_!E$1)/Ns!$B$1</f>
        <v>-1.239233749965128E-4</v>
      </c>
      <c r="F20" s="20" cm="1">
        <f t="array" ref="F20">INDEX(W_psid!$B$2:$CZ$104,W_!$A20,W_!F$1)/Ns!$B$1</f>
        <v>-2.2057124625434873E-4</v>
      </c>
      <c r="G20" s="20" cm="1">
        <f t="array" ref="G20">INDEX(W_psid!$B$2:$CZ$104,W_!$A20,W_!G$1)/Ns!$B$1</f>
        <v>-9.3678146378609346E-3</v>
      </c>
      <c r="H20" s="20" cm="1">
        <f t="array" ref="H20">INDEX(W_psid!$B$2:$CZ$104,W_!$A20,W_!H$1)/Ns!$B$1</f>
        <v>5.4200651509371308E-3</v>
      </c>
      <c r="I20" s="20" cm="1">
        <f t="array" ref="I20">INDEX(W_psid!$B$2:$CZ$104,W_!$A20,W_!I$1)/Ns!$B$1</f>
        <v>4.3960023066412727E-3</v>
      </c>
      <c r="J20" s="20" cm="1">
        <f t="array" ref="J20">INDEX(W_psid!$B$2:$CZ$104,W_!$A20,W_!J$1)/Ns!$B$1</f>
        <v>7.1650301256946953E-3</v>
      </c>
      <c r="K20" s="20" cm="1">
        <f t="array" ref="K20">INDEX(W_psid!$B$2:$CZ$104,W_!$A20,W_!K$1)/Ns!$B$1</f>
        <v>5.5629652391202562E-3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9.7389171218511031E-4</v>
      </c>
      <c r="N20" s="20" cm="1">
        <f t="array" ref="N20">INDEX(W_psid!$B$2:$CZ$104,W_!$A20,W_!N$1)/Ns!$B$1</f>
        <v>6.4961390225632429E-4</v>
      </c>
      <c r="O20" s="20" cm="1">
        <f t="array" ref="O20">INDEX(W_psid!$B$2:$CZ$104,W_!$A20,W_!O$1)/Ns!$B$1</f>
        <v>-5.4019871641474413E-4</v>
      </c>
      <c r="P20" s="20" cm="1">
        <f t="array" ref="P20">INDEX(W_psid!$B$2:$CZ$104,W_!$A20,W_!P$1)/Ns!$B$1</f>
        <v>2.2650969176257947E-3</v>
      </c>
      <c r="Q20" s="20" cm="1">
        <f t="array" ref="Q20">INDEX(W_psid!$B$2:$CZ$104,W_!$A20,W_!Q$1)/Ns!$B$1</f>
        <v>-7.6495774892767912E-3</v>
      </c>
      <c r="R20" s="20" cm="1">
        <f t="array" ref="R20">INDEX(W_psid!$B$2:$CZ$104,W_!$A20,W_!R$1)/Ns!$B$1</f>
        <v>-5.4282230657870106E-3</v>
      </c>
      <c r="S20" s="20" cm="1">
        <f t="array" ref="S20">INDEX(W_psid!$B$2:$CZ$104,W_!$A20,W_!S$1)/Ns!$B$1</f>
        <v>-9.3087667180557145E-7</v>
      </c>
      <c r="T20" s="20" cm="1">
        <f t="array" ref="T20">INDEX(W_psid!$B$2:$CZ$104,W_!$A20,W_!T$1)/Ns!$B$1</f>
        <v>3.7630141980514969E-6</v>
      </c>
      <c r="U20" s="20" cm="1">
        <f t="array" ref="U20">INDEX(W_psid!$B$2:$CZ$104,W_!$A20,W_!U$1)/Ns!$B$1</f>
        <v>5.56850185849165E-6</v>
      </c>
      <c r="V20" s="20" cm="1">
        <f t="array" ref="V20">INDEX(W_psid!$B$2:$CZ$104,W_!$A20,W_!V$1)/Ns!$B$1</f>
        <v>5.6888508642920926E-4</v>
      </c>
      <c r="W20" s="20" cm="1">
        <f t="array" ref="W20">INDEX(W_psid!$B$2:$CZ$104,W_!$A20,W_!W$1)/Ns!$B$1</f>
        <v>5.7403701464231688E-4</v>
      </c>
      <c r="X20" s="20" cm="1">
        <f t="array" ref="X20">INDEX(W_psid!$B$2:$CZ$104,W_!$A20,W_!X$1)/Ns!$B$1</f>
        <v>3.3395174630067482E-4</v>
      </c>
      <c r="Y20" s="20" cm="1">
        <f t="array" ref="Y20">INDEX(W_psid!$B$2:$CZ$104,W_!$A20,W_!Y$1)/Ns!$B$1</f>
        <v>2.8988782191916978E-4</v>
      </c>
      <c r="Z20" s="20" cm="1">
        <f t="array" ref="Z20">INDEX(W_psid!$B$2:$CZ$104,W_!$A20,W_!Z$1)/Ns!$B$1</f>
        <v>2.8922697934674889E-4</v>
      </c>
      <c r="AA20" s="20" cm="1">
        <f t="array" ref="AA20">INDEX(W_psid!$B$2:$CZ$104,W_!$A20,W_!AA$1)/Ns!$B$1</f>
        <v>3.2500607097535317E-4</v>
      </c>
      <c r="AB20" s="20" cm="1">
        <f t="array" ref="AB20">INDEX(W_psid!$B$2:$CZ$104,W_!$A20,W_!AB$1)/Ns!$B$1</f>
        <v>8.8627850296082842E-5</v>
      </c>
      <c r="AC20" s="20" cm="1">
        <f t="array" ref="AC20">INDEX(W_psid!$B$2:$CZ$104,W_!$A20,W_!AC$1)/Ns!$B$1</f>
        <v>6.402012045040773E-6</v>
      </c>
      <c r="AD20" s="20" cm="1">
        <f t="array" ref="AD20">INDEX(W_psid!$B$2:$CZ$104,W_!$A20,W_!AD$1)/Ns!$B$1</f>
        <v>-3.016521056511834E-4</v>
      </c>
      <c r="AE20" s="20" cm="1">
        <f t="array" ref="AE20">INDEX(W_psid!$B$2:$CZ$104,W_!$A20,W_!AE$1)/Ns!$B$1</f>
        <v>4.0239332772022007E-5</v>
      </c>
      <c r="AF20" s="20" cm="1">
        <f t="array" ref="AF20">INDEX(W_psid!$B$2:$CZ$104,W_!$A20,W_!AF$1)/Ns!$B$1</f>
        <v>6.3006164722277675E-3</v>
      </c>
      <c r="AG20" s="20" cm="1">
        <f t="array" ref="AG20">INDEX(W_psid!$B$2:$CZ$104,W_!$A20,W_!AG$1)/Ns!$B$1</f>
        <v>5.8366682468646135E-3</v>
      </c>
      <c r="AH20" s="20" cm="1">
        <f t="array" ref="AH20">INDEX(W_psid!$B$2:$CZ$104,W_!$A20,W_!AH$1)/Ns!$B$1</f>
        <v>2.707219385102754E-5</v>
      </c>
      <c r="AI20" s="20" cm="1">
        <f t="array" ref="AI20">INDEX(W_psid!$B$2:$CZ$104,W_!$A20,W_!AI$1)/Ns!$B$1</f>
        <v>2.4412677031538338E-5</v>
      </c>
      <c r="AJ20" s="20" cm="1">
        <f t="array" ref="AJ20">INDEX(W_psid!$B$2:$CZ$104,W_!$A20,W_!AJ$1)/Ns!$B$1</f>
        <v>2.1506769084584918E-9</v>
      </c>
      <c r="AK20" s="20" cm="1">
        <f t="array" ref="AK20">INDEX(W_psid!$B$2:$CZ$104,W_!$A20,W_!AK$1)/Ns!$B$1</f>
        <v>-1.2312013403957343E-5</v>
      </c>
      <c r="AL20" s="20" cm="1">
        <f t="array" ref="AL20">INDEX(W_psid!$B$2:$CZ$104,W_!$A20,W_!AL$1)/Ns!$B$1</f>
        <v>-1.632940465147422E-4</v>
      </c>
      <c r="AM20" s="20" cm="1">
        <f t="array" ref="AM20">INDEX(W_psid!$B$2:$CZ$104,W_!$A20,W_!AM$1)/Ns!$B$1</f>
        <v>-2.5694311619734271E-5</v>
      </c>
      <c r="AN20" s="20" cm="1">
        <f t="array" ref="AN20">INDEX(W_psid!$B$2:$CZ$104,W_!$A20,W_!AN$1)/Ns!$B$1</f>
        <v>-9.7657821818359184E-6</v>
      </c>
      <c r="AO20" s="20" cm="1">
        <f t="array" ref="AO20">INDEX(W_psid!$B$2:$CZ$104,W_!$A20,W_!AO$1)/Ns!$B$1</f>
        <v>-4.7172317334649043E-7</v>
      </c>
      <c r="AP20" s="20" cm="1">
        <f t="array" ref="AP20">INDEX(W_psid!$B$2:$CZ$104,W_!$A20,W_!AP$1)/Ns!$B$1</f>
        <v>-4.8244033191779459E-3</v>
      </c>
      <c r="AQ20" s="20" cm="1">
        <f t="array" ref="AQ20">INDEX(W_psid!$B$2:$CZ$104,W_!$A20,W_!AQ$1)/Ns!$B$1</f>
        <v>-4.3353401870465666E-3</v>
      </c>
      <c r="AR20" s="20" cm="1">
        <f t="array" ref="AR20">INDEX(W_psid!$B$2:$CZ$104,W_!$A20,W_!AR$1)/Ns!$B$1</f>
        <v>3.5203935395045466E-3</v>
      </c>
      <c r="AS20" s="20" cm="1">
        <f t="array" ref="AS20">INDEX(W_psid!$B$2:$CZ$104,W_!$A20,W_!AS$1)/Ns!$B$1</f>
        <v>2.0892220021972877E-7</v>
      </c>
      <c r="AT20" s="20" cm="1">
        <f t="array" ref="AT20">INDEX(W_psid!$B$2:$CZ$104,W_!$A20,W_!AT$1)/Ns!$B$1</f>
        <v>-1.4533876281593218E-6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9.372630188177846E-4</v>
      </c>
      <c r="AW20" s="20" cm="1">
        <f t="array" ref="AW20">INDEX(W_psid!$B$2:$CZ$104,W_!$A20,W_!AW$1)/Ns!$B$1</f>
        <v>1.6881099785479381E-4</v>
      </c>
      <c r="AX20" s="20" cm="1">
        <f t="array" ref="AX20">INDEX(W_psid!$B$2:$CZ$104,W_!$A20,W_!AX$1)/Ns!$B$1</f>
        <v>-2.2475172015180568E-4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</row>
    <row r="21" spans="1:58" x14ac:dyDescent="0.3">
      <c r="A21" s="18">
        <f>MATCH(C21,W_psid!$A$2:$A$104,0)</f>
        <v>87</v>
      </c>
      <c r="B21" s="18" t="str">
        <f>MOMS!$A$19</f>
        <v>wagegap_hw_withn</v>
      </c>
      <c r="C21" s="18" t="str">
        <f>MOMS!$B$19</f>
        <v>wagegap_hw_within_1990</v>
      </c>
      <c r="D21" s="20" cm="1">
        <f t="array" ref="D21">INDEX(W_psid!$B$2:$CZ$104,W_!$A21,W_!D$1)/Ns!$B$1</f>
        <v>-9.0630980388274943E-4</v>
      </c>
      <c r="E21" s="20" cm="1">
        <f t="array" ref="E21">INDEX(W_psid!$B$2:$CZ$104,W_!$A21,W_!E$1)/Ns!$B$1</f>
        <v>-4.1851442665314887E-3</v>
      </c>
      <c r="F21" s="20" cm="1">
        <f t="array" ref="F21">INDEX(W_psid!$B$2:$CZ$104,W_!$A21,W_!F$1)/Ns!$B$1</f>
        <v>-1.0414560855824247E-3</v>
      </c>
      <c r="G21" s="20" cm="1">
        <f t="array" ref="G21">INDEX(W_psid!$B$2:$CZ$104,W_!$A21,W_!G$1)/Ns!$B$1</f>
        <v>5.5124757218783314E-2</v>
      </c>
      <c r="H21" s="20" cm="1">
        <f t="array" ref="H21">INDEX(W_psid!$B$2:$CZ$104,W_!$A21,W_!H$1)/Ns!$B$1</f>
        <v>4.2319125724907092E-2</v>
      </c>
      <c r="I21" s="20" cm="1">
        <f t="array" ref="I21">INDEX(W_psid!$B$2:$CZ$104,W_!$A21,W_!I$1)/Ns!$B$1</f>
        <v>2.6141971792049912E-2</v>
      </c>
      <c r="J21" s="20" cm="1">
        <f t="array" ref="J21">INDEX(W_psid!$B$2:$CZ$104,W_!$A21,W_!J$1)/Ns!$B$1</f>
        <v>2.3101827422388768E-2</v>
      </c>
      <c r="K21" s="20" cm="1">
        <f t="array" ref="K21">INDEX(W_psid!$B$2:$CZ$104,W_!$A21,W_!K$1)/Ns!$B$1</f>
        <v>6.7896328942665868E-2</v>
      </c>
      <c r="L21" s="20" cm="1">
        <f t="array" ref="L21">INDEX(W_psid!$B$2:$CZ$104,W_!$A21,W_!L$1)/Ns!$B$1</f>
        <v>-7.4383076206799376E-2</v>
      </c>
      <c r="M21" s="20" cm="1">
        <f t="array" ref="M21">INDEX(W_psid!$B$2:$CZ$104,W_!$A21,W_!M$1)/Ns!$B$1</f>
        <v>-8.1320252723595179E-2</v>
      </c>
      <c r="N21" s="20" cm="1">
        <f t="array" ref="N21">INDEX(W_psid!$B$2:$CZ$104,W_!$A21,W_!N$1)/Ns!$B$1</f>
        <v>1.4391069248797602E-2</v>
      </c>
      <c r="O21" s="20" cm="1">
        <f t="array" ref="O21">INDEX(W_psid!$B$2:$CZ$104,W_!$A21,W_!O$1)/Ns!$B$1</f>
        <v>2.9863648737288553E-2</v>
      </c>
      <c r="P21" s="20" cm="1">
        <f t="array" ref="P21">INDEX(W_psid!$B$2:$CZ$104,W_!$A21,W_!P$1)/Ns!$B$1</f>
        <v>1.0534664335000513E-2</v>
      </c>
      <c r="Q21" s="20" cm="1">
        <f t="array" ref="Q21">INDEX(W_psid!$B$2:$CZ$104,W_!$A21,W_!Q$1)/Ns!$B$1</f>
        <v>-6.5648957022688081E-2</v>
      </c>
      <c r="R21" s="20" cm="1">
        <f t="array" ref="R21">INDEX(W_psid!$B$2:$CZ$104,W_!$A21,W_!R$1)/Ns!$B$1</f>
        <v>-8.1372034850398414E-2</v>
      </c>
      <c r="S21" s="20" cm="1">
        <f t="array" ref="S21">INDEX(W_psid!$B$2:$CZ$104,W_!$A21,W_!S$1)/Ns!$B$1</f>
        <v>1.8030500715817416E-5</v>
      </c>
      <c r="T21" s="20" cm="1">
        <f t="array" ref="T21">INDEX(W_psid!$B$2:$CZ$104,W_!$A21,W_!T$1)/Ns!$B$1</f>
        <v>5.56850185849165E-6</v>
      </c>
      <c r="U21" s="20" cm="1">
        <f t="array" ref="U21">INDEX(W_psid!$B$2:$CZ$104,W_!$A21,W_!U$1)/Ns!$B$1</f>
        <v>5.2408377483177605E-4</v>
      </c>
      <c r="V21" s="20" cm="1">
        <f t="array" ref="V21">INDEX(W_psid!$B$2:$CZ$104,W_!$A21,W_!V$1)/Ns!$B$1</f>
        <v>-1.0377093524344066E-5</v>
      </c>
      <c r="W21" s="20" cm="1">
        <f t="array" ref="W21">INDEX(W_psid!$B$2:$CZ$104,W_!$A21,W_!W$1)/Ns!$B$1</f>
        <v>-2.1850760431038724E-4</v>
      </c>
      <c r="X21" s="20" cm="1">
        <f t="array" ref="X21">INDEX(W_psid!$B$2:$CZ$104,W_!$A21,W_!X$1)/Ns!$B$1</f>
        <v>2.4075853550710232E-3</v>
      </c>
      <c r="Y21" s="20" cm="1">
        <f t="array" ref="Y21">INDEX(W_psid!$B$2:$CZ$104,W_!$A21,W_!Y$1)/Ns!$B$1</f>
        <v>2.4362188306926583E-3</v>
      </c>
      <c r="Z21" s="20" cm="1">
        <f t="array" ref="Z21">INDEX(W_psid!$B$2:$CZ$104,W_!$A21,W_!Z$1)/Ns!$B$1</f>
        <v>2.9929442398620894E-3</v>
      </c>
      <c r="AA21" s="20" cm="1">
        <f t="array" ref="AA21">INDEX(W_psid!$B$2:$CZ$104,W_!$A21,W_!AA$1)/Ns!$B$1</f>
        <v>3.3413441944272356E-3</v>
      </c>
      <c r="AB21" s="20" cm="1">
        <f t="array" ref="AB21">INDEX(W_psid!$B$2:$CZ$104,W_!$A21,W_!AB$1)/Ns!$B$1</f>
        <v>7.3956000894304541E-4</v>
      </c>
      <c r="AC21" s="20" cm="1">
        <f t="array" ref="AC21">INDEX(W_psid!$B$2:$CZ$104,W_!$A21,W_!AC$1)/Ns!$B$1</f>
        <v>-3.3087425754245217E-5</v>
      </c>
      <c r="AD21" s="20" cm="1">
        <f t="array" ref="AD21">INDEX(W_psid!$B$2:$CZ$104,W_!$A21,W_!AD$1)/Ns!$B$1</f>
        <v>-1.2801401029621971E-3</v>
      </c>
      <c r="AE21" s="20" cm="1">
        <f t="array" ref="AE21">INDEX(W_psid!$B$2:$CZ$104,W_!$A21,W_!AE$1)/Ns!$B$1</f>
        <v>6.0261004515246711E-4</v>
      </c>
      <c r="AF21" s="20" cm="1">
        <f t="array" ref="AF21">INDEX(W_psid!$B$2:$CZ$104,W_!$A21,W_!AF$1)/Ns!$B$1</f>
        <v>1.2902948916350153E-2</v>
      </c>
      <c r="AG21" s="20" cm="1">
        <f t="array" ref="AG21">INDEX(W_psid!$B$2:$CZ$104,W_!$A21,W_!AG$1)/Ns!$B$1</f>
        <v>8.0081622011309844E-3</v>
      </c>
      <c r="AH21" s="20" cm="1">
        <f t="array" ref="AH21">INDEX(W_psid!$B$2:$CZ$104,W_!$A21,W_!AH$1)/Ns!$B$1</f>
        <v>-8.6688987054876114E-5</v>
      </c>
      <c r="AI21" s="20" cm="1">
        <f t="array" ref="AI21">INDEX(W_psid!$B$2:$CZ$104,W_!$A21,W_!AI$1)/Ns!$B$1</f>
        <v>7.0514296059762449E-5</v>
      </c>
      <c r="AJ21" s="20" cm="1">
        <f t="array" ref="AJ21">INDEX(W_psid!$B$2:$CZ$104,W_!$A21,W_!AJ$1)/Ns!$B$1</f>
        <v>1.3605971522528948E-6</v>
      </c>
      <c r="AK21" s="20" cm="1">
        <f t="array" ref="AK21">INDEX(W_psid!$B$2:$CZ$104,W_!$A21,W_!AK$1)/Ns!$B$1</f>
        <v>-2.9153960370648154E-3</v>
      </c>
      <c r="AL21" s="20" cm="1">
        <f t="array" ref="AL21">INDEX(W_psid!$B$2:$CZ$104,W_!$A21,W_!AL$1)/Ns!$B$1</f>
        <v>1.6618237691310973E-3</v>
      </c>
      <c r="AM21" s="20" cm="1">
        <f t="array" ref="AM21">INDEX(W_psid!$B$2:$CZ$104,W_!$A21,W_!AM$1)/Ns!$B$1</f>
        <v>-3.5488244132793833E-3</v>
      </c>
      <c r="AN21" s="20" cm="1">
        <f t="array" ref="AN21">INDEX(W_psid!$B$2:$CZ$104,W_!$A21,W_!AN$1)/Ns!$B$1</f>
        <v>1.8809139434090142E-4</v>
      </c>
      <c r="AO21" s="20" cm="1">
        <f t="array" ref="AO21">INDEX(W_psid!$B$2:$CZ$104,W_!$A21,W_!AO$1)/Ns!$B$1</f>
        <v>6.9241985147724297E-6</v>
      </c>
      <c r="AP21" s="20" cm="1">
        <f t="array" ref="AP21">INDEX(W_psid!$B$2:$CZ$104,W_!$A21,W_!AP$1)/Ns!$B$1</f>
        <v>3.4497522957964498E-3</v>
      </c>
      <c r="AQ21" s="20" cm="1">
        <f t="array" ref="AQ21">INDEX(W_psid!$B$2:$CZ$104,W_!$A21,W_!AQ$1)/Ns!$B$1</f>
        <v>1.12278973638405E-2</v>
      </c>
      <c r="AR21" s="20" cm="1">
        <f t="array" ref="AR21">INDEX(W_psid!$B$2:$CZ$104,W_!$A21,W_!AR$1)/Ns!$B$1</f>
        <v>3.3228787434744354E-2</v>
      </c>
      <c r="AS21" s="20" cm="1">
        <f t="array" ref="AS21">INDEX(W_psid!$B$2:$CZ$104,W_!$A21,W_!AS$1)/Ns!$B$1</f>
        <v>1.2722568707285448E-6</v>
      </c>
      <c r="AT21" s="20" cm="1">
        <f t="array" ref="AT21">INDEX(W_psid!$B$2:$CZ$104,W_!$A21,W_!AT$1)/Ns!$B$1</f>
        <v>-3.2900215323586733E-5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1.3840885880352491E-2</v>
      </c>
      <c r="AW21" s="20" cm="1">
        <f t="array" ref="AW21">INDEX(W_psid!$B$2:$CZ$104,W_!$A21,W_!AW$1)/Ns!$B$1</f>
        <v>-1.3027952264439395E-4</v>
      </c>
      <c r="AX21" s="20" cm="1">
        <f t="array" ref="AX21">INDEX(W_psid!$B$2:$CZ$104,W_!$A21,W_!AX$1)/Ns!$B$1</f>
        <v>-3.7844365773835278E-4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</row>
    <row r="22" spans="1:58" x14ac:dyDescent="0.3">
      <c r="A22" s="18">
        <f>MATCH(C22,W_psid!$A$2:$A$104,0)</f>
        <v>29</v>
      </c>
      <c r="B22" s="18" t="str">
        <f>MOMS!$A$20</f>
        <v>hdj</v>
      </c>
      <c r="C22" s="18" t="str">
        <f>MOMS!$B$20</f>
        <v>hdj</v>
      </c>
      <c r="D22" s="20" cm="1">
        <f t="array" ref="D22">INDEX(W_psid!$B$2:$CZ$104,W_!$A22,W_!D$1)/Ns!$B$1</f>
        <v>-3.2270510508470546E-2</v>
      </c>
      <c r="E22" s="20" cm="1">
        <f t="array" ref="E22">INDEX(W_psid!$B$2:$CZ$104,W_!$A22,W_!E$1)/Ns!$B$1</f>
        <v>-0.22250883854526451</v>
      </c>
      <c r="F22" s="20" cm="1">
        <f t="array" ref="F22">INDEX(W_psid!$B$2:$CZ$104,W_!$A22,W_!F$1)/Ns!$B$1</f>
        <v>-0.23256324679938939</v>
      </c>
      <c r="G22" s="20" cm="1">
        <f t="array" ref="G22">INDEX(W_psid!$B$2:$CZ$104,W_!$A22,W_!G$1)/Ns!$B$1</f>
        <v>-10.156293304889534</v>
      </c>
      <c r="H22" s="20" cm="1">
        <f t="array" ref="H22">INDEX(W_psid!$B$2:$CZ$104,W_!$A22,W_!H$1)/Ns!$B$1</f>
        <v>2.6085869553976395</v>
      </c>
      <c r="I22" s="20" cm="1">
        <f t="array" ref="I22">INDEX(W_psid!$B$2:$CZ$104,W_!$A22,W_!I$1)/Ns!$B$1</f>
        <v>3.7387747459842724</v>
      </c>
      <c r="J22" s="20" cm="1">
        <f t="array" ref="J22">INDEX(W_psid!$B$2:$CZ$104,W_!$A22,W_!J$1)/Ns!$B$1</f>
        <v>2.8415236040266367</v>
      </c>
      <c r="K22" s="20" cm="1">
        <f t="array" ref="K22">INDEX(W_psid!$B$2:$CZ$104,W_!$A22,W_!K$1)/Ns!$B$1</f>
        <v>4.8932721023164856</v>
      </c>
      <c r="L22" s="20" cm="1">
        <f t="array" ref="L22">INDEX(W_psid!$B$2:$CZ$104,W_!$A22,W_!L$1)/Ns!$B$1</f>
        <v>-2.0571030328086159</v>
      </c>
      <c r="M22" s="20" cm="1">
        <f t="array" ref="M22">INDEX(W_psid!$B$2:$CZ$104,W_!$A22,W_!M$1)/Ns!$B$1</f>
        <v>-0.74843833634327028</v>
      </c>
      <c r="N22" s="20" cm="1">
        <f t="array" ref="N22">INDEX(W_psid!$B$2:$CZ$104,W_!$A22,W_!N$1)/Ns!$B$1</f>
        <v>0.50716367865579814</v>
      </c>
      <c r="O22" s="20" cm="1">
        <f t="array" ref="O22">INDEX(W_psid!$B$2:$CZ$104,W_!$A22,W_!O$1)/Ns!$B$1</f>
        <v>-5.2266666446561381E-2</v>
      </c>
      <c r="P22" s="20" cm="1">
        <f t="array" ref="P22">INDEX(W_psid!$B$2:$CZ$104,W_!$A22,W_!P$1)/Ns!$B$1</f>
        <v>-0.60345799539401734</v>
      </c>
      <c r="Q22" s="20" cm="1">
        <f t="array" ref="Q22">INDEX(W_psid!$B$2:$CZ$104,W_!$A22,W_!Q$1)/Ns!$B$1</f>
        <v>4.7452178569251844</v>
      </c>
      <c r="R22" s="20" cm="1">
        <f t="array" ref="R22">INDEX(W_psid!$B$2:$CZ$104,W_!$A22,W_!R$1)/Ns!$B$1</f>
        <v>-4.7229924117265272</v>
      </c>
      <c r="S22" s="20" cm="1">
        <f t="array" ref="S22">INDEX(W_psid!$B$2:$CZ$104,W_!$A22,W_!S$1)/Ns!$B$1</f>
        <v>-2.4608355312733823E-3</v>
      </c>
      <c r="T22" s="20" cm="1">
        <f t="array" ref="T22">INDEX(W_psid!$B$2:$CZ$104,W_!$A22,W_!T$1)/Ns!$B$1</f>
        <v>5.6888508642920926E-4</v>
      </c>
      <c r="U22" s="20" cm="1">
        <f t="array" ref="U22">INDEX(W_psid!$B$2:$CZ$104,W_!$A22,W_!U$1)/Ns!$B$1</f>
        <v>-1.0377093524344066E-5</v>
      </c>
      <c r="V22" s="20" cm="1">
        <f t="array" ref="V22">INDEX(W_psid!$B$2:$CZ$104,W_!$A22,W_!V$1)/Ns!$B$1</f>
        <v>1.1837737248862139</v>
      </c>
      <c r="W22" s="20" cm="1">
        <f t="array" ref="W22">INDEX(W_psid!$B$2:$CZ$104,W_!$A22,W_!W$1)/Ns!$B$1</f>
        <v>1.1747635249730002</v>
      </c>
      <c r="X22" s="20" cm="1">
        <f t="array" ref="X22">INDEX(W_psid!$B$2:$CZ$104,W_!$A22,W_!X$1)/Ns!$B$1</f>
        <v>0.73917984227360345</v>
      </c>
      <c r="Y22" s="20" cm="1">
        <f t="array" ref="Y22">INDEX(W_psid!$B$2:$CZ$104,W_!$A22,W_!Y$1)/Ns!$B$1</f>
        <v>0.69284730459563648</v>
      </c>
      <c r="Z22" s="20" cm="1">
        <f t="array" ref="Z22">INDEX(W_psid!$B$2:$CZ$104,W_!$A22,W_!Z$1)/Ns!$B$1</f>
        <v>0.65908870437628053</v>
      </c>
      <c r="AA22" s="20" cm="1">
        <f t="array" ref="AA22">INDEX(W_psid!$B$2:$CZ$104,W_!$A22,W_!AA$1)/Ns!$B$1</f>
        <v>0.73230855531554584</v>
      </c>
      <c r="AB22" s="20" cm="1">
        <f t="array" ref="AB22">INDEX(W_psid!$B$2:$CZ$104,W_!$A22,W_!AB$1)/Ns!$B$1</f>
        <v>0.16703078497042745</v>
      </c>
      <c r="AC22" s="20" cm="1">
        <f t="array" ref="AC22">INDEX(W_psid!$B$2:$CZ$104,W_!$A22,W_!AC$1)/Ns!$B$1</f>
        <v>3.517010263382594E-3</v>
      </c>
      <c r="AD22" s="20" cm="1">
        <f t="array" ref="AD22">INDEX(W_psid!$B$2:$CZ$104,W_!$A22,W_!AD$1)/Ns!$B$1</f>
        <v>-0.13588104316889579</v>
      </c>
      <c r="AE22" s="20" cm="1">
        <f t="array" ref="AE22">INDEX(W_psid!$B$2:$CZ$104,W_!$A22,W_!AE$1)/Ns!$B$1</f>
        <v>-4.804050493766264E-2</v>
      </c>
      <c r="AF22" s="20" cm="1">
        <f t="array" ref="AF22">INDEX(W_psid!$B$2:$CZ$104,W_!$A22,W_!AF$1)/Ns!$B$1</f>
        <v>9.7617157011900453</v>
      </c>
      <c r="AG22" s="20" cm="1">
        <f t="array" ref="AG22">INDEX(W_psid!$B$2:$CZ$104,W_!$A22,W_!AG$1)/Ns!$B$1</f>
        <v>8.7348015658355997</v>
      </c>
      <c r="AH22" s="20" cm="1">
        <f t="array" ref="AH22">INDEX(W_psid!$B$2:$CZ$104,W_!$A22,W_!AH$1)/Ns!$B$1</f>
        <v>3.3642092359635764E-2</v>
      </c>
      <c r="AI22" s="20" cm="1">
        <f t="array" ref="AI22">INDEX(W_psid!$B$2:$CZ$104,W_!$A22,W_!AI$1)/Ns!$B$1</f>
        <v>1.1708891110651251E-2</v>
      </c>
      <c r="AJ22" s="20" cm="1">
        <f t="array" ref="AJ22">INDEX(W_psid!$B$2:$CZ$104,W_!$A22,W_!AJ$1)/Ns!$B$1</f>
        <v>-2.2448913826030904E-4</v>
      </c>
      <c r="AK22" s="20" cm="1">
        <f t="array" ref="AK22">INDEX(W_psid!$B$2:$CZ$104,W_!$A22,W_!AK$1)/Ns!$B$1</f>
        <v>-0.29846371057493082</v>
      </c>
      <c r="AL22" s="20" cm="1">
        <f t="array" ref="AL22">INDEX(W_psid!$B$2:$CZ$104,W_!$A22,W_!AL$1)/Ns!$B$1</f>
        <v>-0.73755269637817011</v>
      </c>
      <c r="AM22" s="20" cm="1">
        <f t="array" ref="AM22">INDEX(W_psid!$B$2:$CZ$104,W_!$A22,W_!AM$1)/Ns!$B$1</f>
        <v>-6.494376775702633E-2</v>
      </c>
      <c r="AN22" s="20" cm="1">
        <f t="array" ref="AN22">INDEX(W_psid!$B$2:$CZ$104,W_!$A22,W_!AN$1)/Ns!$B$1</f>
        <v>4.3905894926830898E-2</v>
      </c>
      <c r="AO22" s="20" cm="1">
        <f t="array" ref="AO22">INDEX(W_psid!$B$2:$CZ$104,W_!$A22,W_!AO$1)/Ns!$B$1</f>
        <v>1.6104659543635203E-4</v>
      </c>
      <c r="AP22" s="20" cm="1">
        <f t="array" ref="AP22">INDEX(W_psid!$B$2:$CZ$104,W_!$A22,W_!AP$1)/Ns!$B$1</f>
        <v>-4.3191672179491158</v>
      </c>
      <c r="AQ22" s="20" cm="1">
        <f t="array" ref="AQ22">INDEX(W_psid!$B$2:$CZ$104,W_!$A22,W_!AQ$1)/Ns!$B$1</f>
        <v>-3.4728970295260684</v>
      </c>
      <c r="AR22" s="20" cm="1">
        <f t="array" ref="AR22">INDEX(W_psid!$B$2:$CZ$104,W_!$A22,W_!AR$1)/Ns!$B$1</f>
        <v>3.6529716455396324</v>
      </c>
      <c r="AS22" s="20" cm="1">
        <f t="array" ref="AS22">INDEX(W_psid!$B$2:$CZ$104,W_!$A22,W_!AS$1)/Ns!$B$1</f>
        <v>4.994022238653593E-5</v>
      </c>
      <c r="AT22" s="20" cm="1">
        <f t="array" ref="AT22">INDEX(W_psid!$B$2:$CZ$104,W_!$A22,W_!AT$1)/Ns!$B$1</f>
        <v>1.1981111660152792E-3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4.5363742872264456</v>
      </c>
      <c r="AW22" s="20" cm="1">
        <f t="array" ref="AW22">INDEX(W_psid!$B$2:$CZ$104,W_!$A22,W_!AW$1)/Ns!$B$1</f>
        <v>0.15595615166767451</v>
      </c>
      <c r="AX22" s="20" cm="1">
        <f t="array" ref="AX22">INDEX(W_psid!$B$2:$CZ$104,W_!$A22,W_!AX$1)/Ns!$B$1</f>
        <v>-0.16287667531216776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</row>
    <row r="23" spans="1:58" x14ac:dyDescent="0.3">
      <c r="A23" s="18">
        <f>MATCH(C23,W_psid!$A$2:$A$104,0)</f>
        <v>24</v>
      </c>
      <c r="B23" s="18" t="str">
        <f>MOMS!$A$21</f>
        <v>hdo</v>
      </c>
      <c r="C23" s="18" t="str">
        <f>MOMS!$B$21</f>
        <v>hdo</v>
      </c>
      <c r="D23" s="20" cm="1">
        <f t="array" ref="D23">INDEX(W_psid!$B$2:$CZ$104,W_!$A23,W_!D$1)/Ns!$B$1</f>
        <v>-3.1786486264284194E-2</v>
      </c>
      <c r="E23" s="20" cm="1">
        <f t="array" ref="E23">INDEX(W_psid!$B$2:$CZ$104,W_!$A23,W_!E$1)/Ns!$B$1</f>
        <v>-0.2074652143915704</v>
      </c>
      <c r="F23" s="20" cm="1">
        <f t="array" ref="F23">INDEX(W_psid!$B$2:$CZ$104,W_!$A23,W_!F$1)/Ns!$B$1</f>
        <v>-0.23054149884791014</v>
      </c>
      <c r="G23" s="20" cm="1">
        <f t="array" ref="G23">INDEX(W_psid!$B$2:$CZ$104,W_!$A23,W_!G$1)/Ns!$B$1</f>
        <v>-10.036088588048495</v>
      </c>
      <c r="H23" s="20" cm="1">
        <f t="array" ref="H23">INDEX(W_psid!$B$2:$CZ$104,W_!$A23,W_!H$1)/Ns!$B$1</f>
        <v>2.5828791666323592</v>
      </c>
      <c r="I23" s="20" cm="1">
        <f t="array" ref="I23">INDEX(W_psid!$B$2:$CZ$104,W_!$A23,W_!I$1)/Ns!$B$1</f>
        <v>3.6524572663500954</v>
      </c>
      <c r="J23" s="20" cm="1">
        <f t="array" ref="J23">INDEX(W_psid!$B$2:$CZ$104,W_!$A23,W_!J$1)/Ns!$B$1</f>
        <v>2.6580224261719252</v>
      </c>
      <c r="K23" s="20" cm="1">
        <f t="array" ref="K23">INDEX(W_psid!$B$2:$CZ$104,W_!$A23,W_!K$1)/Ns!$B$1</f>
        <v>4.8135437542066128</v>
      </c>
      <c r="L23" s="20" cm="1">
        <f t="array" ref="L23">INDEX(W_psid!$B$2:$CZ$104,W_!$A23,W_!L$1)/Ns!$B$1</f>
        <v>-1.7868481187691316</v>
      </c>
      <c r="M23" s="20" cm="1">
        <f t="array" ref="M23">INDEX(W_psid!$B$2:$CZ$104,W_!$A23,W_!M$1)/Ns!$B$1</f>
        <v>-0.62950708823542323</v>
      </c>
      <c r="N23" s="20" cm="1">
        <f t="array" ref="N23">INDEX(W_psid!$B$2:$CZ$104,W_!$A23,W_!N$1)/Ns!$B$1</f>
        <v>0.4858693400339224</v>
      </c>
      <c r="O23" s="20" cm="1">
        <f t="array" ref="O23">INDEX(W_psid!$B$2:$CZ$104,W_!$A23,W_!O$1)/Ns!$B$1</f>
        <v>-0.30167905961548969</v>
      </c>
      <c r="P23" s="20" cm="1">
        <f t="array" ref="P23">INDEX(W_psid!$B$2:$CZ$104,W_!$A23,W_!P$1)/Ns!$B$1</f>
        <v>-0.58589294803888126</v>
      </c>
      <c r="Q23" s="20" cm="1">
        <f t="array" ref="Q23">INDEX(W_psid!$B$2:$CZ$104,W_!$A23,W_!Q$1)/Ns!$B$1</f>
        <v>4.6386406284693908</v>
      </c>
      <c r="R23" s="20" cm="1">
        <f t="array" ref="R23">INDEX(W_psid!$B$2:$CZ$104,W_!$A23,W_!R$1)/Ns!$B$1</f>
        <v>-4.5023767824796144</v>
      </c>
      <c r="S23" s="20" cm="1">
        <f t="array" ref="S23">INDEX(W_psid!$B$2:$CZ$104,W_!$A23,W_!S$1)/Ns!$B$1</f>
        <v>-2.4444750438491489E-3</v>
      </c>
      <c r="T23" s="20" cm="1">
        <f t="array" ref="T23">INDEX(W_psid!$B$2:$CZ$104,W_!$A23,W_!T$1)/Ns!$B$1</f>
        <v>5.7403701464231688E-4</v>
      </c>
      <c r="U23" s="20" cm="1">
        <f t="array" ref="U23">INDEX(W_psid!$B$2:$CZ$104,W_!$A23,W_!U$1)/Ns!$B$1</f>
        <v>-2.1850760431038724E-4</v>
      </c>
      <c r="V23" s="20" cm="1">
        <f t="array" ref="V23">INDEX(W_psid!$B$2:$CZ$104,W_!$A23,W_!V$1)/Ns!$B$1</f>
        <v>1.1747635249730002</v>
      </c>
      <c r="W23" s="20" cm="1">
        <f t="array" ref="W23">INDEX(W_psid!$B$2:$CZ$104,W_!$A23,W_!W$1)/Ns!$B$1</f>
        <v>1.1700846614191827</v>
      </c>
      <c r="X23" s="20" cm="1">
        <f t="array" ref="X23">INDEX(W_psid!$B$2:$CZ$104,W_!$A23,W_!X$1)/Ns!$B$1</f>
        <v>0.71893806278542827</v>
      </c>
      <c r="Y23" s="20" cm="1">
        <f t="array" ref="Y23">INDEX(W_psid!$B$2:$CZ$104,W_!$A23,W_!Y$1)/Ns!$B$1</f>
        <v>0.67503940808200336</v>
      </c>
      <c r="Z23" s="20" cm="1">
        <f t="array" ref="Z23">INDEX(W_psid!$B$2:$CZ$104,W_!$A23,W_!Z$1)/Ns!$B$1</f>
        <v>0.64562253522294388</v>
      </c>
      <c r="AA23" s="20" cm="1">
        <f t="array" ref="AA23">INDEX(W_psid!$B$2:$CZ$104,W_!$A23,W_!AA$1)/Ns!$B$1</f>
        <v>0.71371917044094968</v>
      </c>
      <c r="AB23" s="20" cm="1">
        <f t="array" ref="AB23">INDEX(W_psid!$B$2:$CZ$104,W_!$A23,W_!AB$1)/Ns!$B$1</f>
        <v>0.17108626684150277</v>
      </c>
      <c r="AC23" s="20" cm="1">
        <f t="array" ref="AC23">INDEX(W_psid!$B$2:$CZ$104,W_!$A23,W_!AC$1)/Ns!$B$1</f>
        <v>3.3849538746265713E-3</v>
      </c>
      <c r="AD23" s="20" cm="1">
        <f t="array" ref="AD23">INDEX(W_psid!$B$2:$CZ$104,W_!$A23,W_!AD$1)/Ns!$B$1</f>
        <v>-0.13337629652734712</v>
      </c>
      <c r="AE23" s="20" cm="1">
        <f t="array" ref="AE23">INDEX(W_psid!$B$2:$CZ$104,W_!$A23,W_!AE$1)/Ns!$B$1</f>
        <v>-4.7906120349139859E-2</v>
      </c>
      <c r="AF23" s="20" cm="1">
        <f t="array" ref="AF23">INDEX(W_psid!$B$2:$CZ$104,W_!$A23,W_!AF$1)/Ns!$B$1</f>
        <v>9.6757815071780602</v>
      </c>
      <c r="AG23" s="20" cm="1">
        <f t="array" ref="AG23">INDEX(W_psid!$B$2:$CZ$104,W_!$A23,W_!AG$1)/Ns!$B$1</f>
        <v>8.6627688835358985</v>
      </c>
      <c r="AH23" s="20" cm="1">
        <f t="array" ref="AH23">INDEX(W_psid!$B$2:$CZ$104,W_!$A23,W_!AH$1)/Ns!$B$1</f>
        <v>3.3061631138216148E-2</v>
      </c>
      <c r="AI23" s="20" cm="1">
        <f t="array" ref="AI23">INDEX(W_psid!$B$2:$CZ$104,W_!$A23,W_!AI$1)/Ns!$B$1</f>
        <v>1.1604625437416076E-2</v>
      </c>
      <c r="AJ23" s="20" cm="1">
        <f t="array" ref="AJ23">INDEX(W_psid!$B$2:$CZ$104,W_!$A23,W_!AJ$1)/Ns!$B$1</f>
        <v>-2.1874207071277124E-4</v>
      </c>
      <c r="AK23" s="20" cm="1">
        <f t="array" ref="AK23">INDEX(W_psid!$B$2:$CZ$104,W_!$A23,W_!AK$1)/Ns!$B$1</f>
        <v>-0.2752281659101139</v>
      </c>
      <c r="AL23" s="20" cm="1">
        <f t="array" ref="AL23">INDEX(W_psid!$B$2:$CZ$104,W_!$A23,W_!AL$1)/Ns!$B$1</f>
        <v>-0.70451704426248585</v>
      </c>
      <c r="AM23" s="20" cm="1">
        <f t="array" ref="AM23">INDEX(W_psid!$B$2:$CZ$104,W_!$A23,W_!AM$1)/Ns!$B$1</f>
        <v>-6.7238603502855224E-2</v>
      </c>
      <c r="AN23" s="20" cm="1">
        <f t="array" ref="AN23">INDEX(W_psid!$B$2:$CZ$104,W_!$A23,W_!AN$1)/Ns!$B$1</f>
        <v>4.2739931522903958E-2</v>
      </c>
      <c r="AO23" s="20" cm="1">
        <f t="array" ref="AO23">INDEX(W_psid!$B$2:$CZ$104,W_!$A23,W_!AO$1)/Ns!$B$1</f>
        <v>1.1330866192499276E-4</v>
      </c>
      <c r="AP23" s="20" cm="1">
        <f t="array" ref="AP23">INDEX(W_psid!$B$2:$CZ$104,W_!$A23,W_!AP$1)/Ns!$B$1</f>
        <v>-4.3752446030637726</v>
      </c>
      <c r="AQ23" s="20" cm="1">
        <f t="array" ref="AQ23">INDEX(W_psid!$B$2:$CZ$104,W_!$A23,W_!AQ$1)/Ns!$B$1</f>
        <v>-3.5542489566523812</v>
      </c>
      <c r="AR23" s="20" cm="1">
        <f t="array" ref="AR23">INDEX(W_psid!$B$2:$CZ$104,W_!$A23,W_!AR$1)/Ns!$B$1</f>
        <v>3.5999278343945105</v>
      </c>
      <c r="AS23" s="20" cm="1">
        <f t="array" ref="AS23">INDEX(W_psid!$B$2:$CZ$104,W_!$A23,W_!AS$1)/Ns!$B$1</f>
        <v>4.9792364116906325E-5</v>
      </c>
      <c r="AT23" s="20" cm="1">
        <f t="array" ref="AT23">INDEX(W_psid!$B$2:$CZ$104,W_!$A23,W_!AT$1)/Ns!$B$1</f>
        <v>1.1414073239810205E-3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4.5171002912393323</v>
      </c>
      <c r="AW23" s="20" cm="1">
        <f t="array" ref="AW23">INDEX(W_psid!$B$2:$CZ$104,W_!$A23,W_!AW$1)/Ns!$B$1</f>
        <v>0.14601768080329131</v>
      </c>
      <c r="AX23" s="20" cm="1">
        <f t="array" ref="AX23">INDEX(W_psid!$B$2:$CZ$104,W_!$A23,W_!AX$1)/Ns!$B$1</f>
        <v>-0.15925795708824506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</row>
    <row r="24" spans="1:58" x14ac:dyDescent="0.3">
      <c r="A24" s="18">
        <f>MATCH(C24,W_psid!$A$2:$A$104,0)</f>
        <v>55</v>
      </c>
      <c r="B24" s="18" t="str">
        <f>MOMS!$A$22</f>
        <v>d_jobjob_all_psid</v>
      </c>
      <c r="C24" s="18" t="str">
        <f>MOMS!$B$22</f>
        <v>d_jobjob_all_psid</v>
      </c>
      <c r="D24" s="20" cm="1">
        <f t="array" ref="D24">INDEX(W_psid!$B$2:$CZ$104,W_!$A24,W_!D$1)/Ns!$B$1</f>
        <v>-5.4902005932268981E-2</v>
      </c>
      <c r="E24" s="20" cm="1">
        <f t="array" ref="E24">INDEX(W_psid!$B$2:$CZ$104,W_!$A24,W_!E$1)/Ns!$B$1</f>
        <v>-0.23826414211331268</v>
      </c>
      <c r="F24" s="20" cm="1">
        <f t="array" ref="F24">INDEX(W_psid!$B$2:$CZ$104,W_!$A24,W_!F$1)/Ns!$B$1</f>
        <v>-8.1706624139918471E-2</v>
      </c>
      <c r="G24" s="20" cm="1">
        <f t="array" ref="G24">INDEX(W_psid!$B$2:$CZ$104,W_!$A24,W_!G$1)/Ns!$B$1</f>
        <v>-5.8114909165292792</v>
      </c>
      <c r="H24" s="20" cm="1">
        <f t="array" ref="H24">INDEX(W_psid!$B$2:$CZ$104,W_!$A24,W_!H$1)/Ns!$B$1</f>
        <v>1.7136865009747146</v>
      </c>
      <c r="I24" s="20" cm="1">
        <f t="array" ref="I24">INDEX(W_psid!$B$2:$CZ$104,W_!$A24,W_!I$1)/Ns!$B$1</f>
        <v>2.0513962496968969</v>
      </c>
      <c r="J24" s="20" cm="1">
        <f t="array" ref="J24">INDEX(W_psid!$B$2:$CZ$104,W_!$A24,W_!J$1)/Ns!$B$1</f>
        <v>2.4828175663095302</v>
      </c>
      <c r="K24" s="20" cm="1">
        <f t="array" ref="K24">INDEX(W_psid!$B$2:$CZ$104,W_!$A24,W_!K$1)/Ns!$B$1</f>
        <v>4.0361119251143176</v>
      </c>
      <c r="L24" s="20" cm="1">
        <f t="array" ref="L24">INDEX(W_psid!$B$2:$CZ$104,W_!$A24,W_!L$1)/Ns!$B$1</f>
        <v>-3.284848680577098</v>
      </c>
      <c r="M24" s="20" cm="1">
        <f t="array" ref="M24">INDEX(W_psid!$B$2:$CZ$104,W_!$A24,W_!M$1)/Ns!$B$1</f>
        <v>-2.9620137594063776</v>
      </c>
      <c r="N24" s="20" cm="1">
        <f t="array" ref="N24">INDEX(W_psid!$B$2:$CZ$104,W_!$A24,W_!N$1)/Ns!$B$1</f>
        <v>8.330105698212753E-2</v>
      </c>
      <c r="O24" s="20" cm="1">
        <f t="array" ref="O24">INDEX(W_psid!$B$2:$CZ$104,W_!$A24,W_!O$1)/Ns!$B$1</f>
        <v>1.6559341647018948</v>
      </c>
      <c r="P24" s="20" cm="1">
        <f t="array" ref="P24">INDEX(W_psid!$B$2:$CZ$104,W_!$A24,W_!P$1)/Ns!$B$1</f>
        <v>-0.66488421677028631</v>
      </c>
      <c r="Q24" s="20" cm="1">
        <f t="array" ref="Q24">INDEX(W_psid!$B$2:$CZ$104,W_!$A24,W_!Q$1)/Ns!$B$1</f>
        <v>3.7943099820373307</v>
      </c>
      <c r="R24" s="20" cm="1">
        <f t="array" ref="R24">INDEX(W_psid!$B$2:$CZ$104,W_!$A24,W_!R$1)/Ns!$B$1</f>
        <v>-2.7750068472985956</v>
      </c>
      <c r="S24" s="20" cm="1">
        <f t="array" ref="S24">INDEX(W_psid!$B$2:$CZ$104,W_!$A24,W_!S$1)/Ns!$B$1</f>
        <v>-2.0275152773063074E-3</v>
      </c>
      <c r="T24" s="20" cm="1">
        <f t="array" ref="T24">INDEX(W_psid!$B$2:$CZ$104,W_!$A24,W_!T$1)/Ns!$B$1</f>
        <v>3.3395174630067482E-4</v>
      </c>
      <c r="U24" s="20" cm="1">
        <f t="array" ref="U24">INDEX(W_psid!$B$2:$CZ$104,W_!$A24,W_!U$1)/Ns!$B$1</f>
        <v>2.4075853550710232E-3</v>
      </c>
      <c r="V24" s="20" cm="1">
        <f t="array" ref="V24">INDEX(W_psid!$B$2:$CZ$104,W_!$A24,W_!V$1)/Ns!$B$1</f>
        <v>0.73917984227360345</v>
      </c>
      <c r="W24" s="20" cm="1">
        <f t="array" ref="W24">INDEX(W_psid!$B$2:$CZ$104,W_!$A24,W_!W$1)/Ns!$B$1</f>
        <v>0.71893806278542827</v>
      </c>
      <c r="X24" s="20" cm="1">
        <f t="array" ref="X24">INDEX(W_psid!$B$2:$CZ$104,W_!$A24,W_!X$1)/Ns!$B$1</f>
        <v>0.77910944821894557</v>
      </c>
      <c r="Y24" s="20" cm="1">
        <f t="array" ref="Y24">INDEX(W_psid!$B$2:$CZ$104,W_!$A24,W_!Y$1)/Ns!$B$1</f>
        <v>0.7494679458929574</v>
      </c>
      <c r="Z24" s="20" cm="1">
        <f t="array" ref="Z24">INDEX(W_psid!$B$2:$CZ$104,W_!$A24,W_!Z$1)/Ns!$B$1</f>
        <v>0.69808025315666866</v>
      </c>
      <c r="AA24" s="20" cm="1">
        <f t="array" ref="AA24">INDEX(W_psid!$B$2:$CZ$104,W_!$A24,W_!AA$1)/Ns!$B$1</f>
        <v>0.77458997390455642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1.32342224707616E-3</v>
      </c>
      <c r="AD24" s="20" cm="1">
        <f t="array" ref="AD24">INDEX(W_psid!$B$2:$CZ$104,W_!$A24,W_!AD$1)/Ns!$B$1</f>
        <v>-0.12135431071622152</v>
      </c>
      <c r="AE24" s="20" cm="1">
        <f t="array" ref="AE24">INDEX(W_psid!$B$2:$CZ$104,W_!$A24,W_!AE$1)/Ns!$B$1</f>
        <v>-3.5180851459039646E-2</v>
      </c>
      <c r="AF24" s="20" cm="1">
        <f t="array" ref="AF24">INDEX(W_psid!$B$2:$CZ$104,W_!$A24,W_!AF$1)/Ns!$B$1</f>
        <v>5.319462110886052</v>
      </c>
      <c r="AG24" s="20" cm="1">
        <f t="array" ref="AG24">INDEX(W_psid!$B$2:$CZ$104,W_!$A24,W_!AG$1)/Ns!$B$1</f>
        <v>4.5563806718211284</v>
      </c>
      <c r="AH24" s="20" cm="1">
        <f t="array" ref="AH24">INDEX(W_psid!$B$2:$CZ$104,W_!$A24,W_!AH$1)/Ns!$B$1</f>
        <v>2.4900855347173231E-2</v>
      </c>
      <c r="AI24" s="20" cm="1">
        <f t="array" ref="AI24">INDEX(W_psid!$B$2:$CZ$104,W_!$A24,W_!AI$1)/Ns!$B$1</f>
        <v>4.5338051566207946E-3</v>
      </c>
      <c r="AJ24" s="20" cm="1">
        <f t="array" ref="AJ24">INDEX(W_psid!$B$2:$CZ$104,W_!$A24,W_!AJ$1)/Ns!$B$1</f>
        <v>-1.3269491105320324E-4</v>
      </c>
      <c r="AK24" s="20" cm="1">
        <f t="array" ref="AK24">INDEX(W_psid!$B$2:$CZ$104,W_!$A24,W_!AK$1)/Ns!$B$1</f>
        <v>-0.20372633960071718</v>
      </c>
      <c r="AL24" s="20" cm="1">
        <f t="array" ref="AL24">INDEX(W_psid!$B$2:$CZ$104,W_!$A24,W_!AL$1)/Ns!$B$1</f>
        <v>-0.51656789555781224</v>
      </c>
      <c r="AM24" s="20" cm="1">
        <f t="array" ref="AM24">INDEX(W_psid!$B$2:$CZ$104,W_!$A24,W_!AM$1)/Ns!$B$1</f>
        <v>-0.13720264922439371</v>
      </c>
      <c r="AN24" s="20" cm="1">
        <f t="array" ref="AN24">INDEX(W_psid!$B$2:$CZ$104,W_!$A24,W_!AN$1)/Ns!$B$1</f>
        <v>2.8871953815078281E-2</v>
      </c>
      <c r="AO24" s="20" cm="1">
        <f t="array" ref="AO24">INDEX(W_psid!$B$2:$CZ$104,W_!$A24,W_!AO$1)/Ns!$B$1</f>
        <v>2.4081060356268729E-4</v>
      </c>
      <c r="AP24" s="20" cm="1">
        <f t="array" ref="AP24">INDEX(W_psid!$B$2:$CZ$104,W_!$A24,W_!AP$1)/Ns!$B$1</f>
        <v>-4.4591386621130003</v>
      </c>
      <c r="AQ24" s="20" cm="1">
        <f t="array" ref="AQ24">INDEX(W_psid!$B$2:$CZ$104,W_!$A24,W_!AQ$1)/Ns!$B$1</f>
        <v>-3.2089785316162209</v>
      </c>
      <c r="AR24" s="20" cm="1">
        <f t="array" ref="AR24">INDEX(W_psid!$B$2:$CZ$104,W_!$A24,W_!AR$1)/Ns!$B$1</f>
        <v>2.8013816206874229</v>
      </c>
      <c r="AS24" s="20" cm="1">
        <f t="array" ref="AS24">INDEX(W_psid!$B$2:$CZ$104,W_!$A24,W_!AS$1)/Ns!$B$1</f>
        <v>-1.1845323693847906E-4</v>
      </c>
      <c r="AT24" s="20" cm="1">
        <f t="array" ref="AT24">INDEX(W_psid!$B$2:$CZ$104,W_!$A24,W_!AT$1)/Ns!$B$1</f>
        <v>1.6703687510118035E-3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2.5876094156049918</v>
      </c>
      <c r="AW24" s="20" cm="1">
        <f t="array" ref="AW24">INDEX(W_psid!$B$2:$CZ$104,W_!$A24,W_!AW$1)/Ns!$B$1</f>
        <v>0.15562350415765139</v>
      </c>
      <c r="AX24" s="20" cm="1">
        <f t="array" ref="AX24">INDEX(W_psid!$B$2:$CZ$104,W_!$A24,W_!AX$1)/Ns!$B$1</f>
        <v>-0.15787800408651992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</row>
    <row r="25" spans="1:58" x14ac:dyDescent="0.3">
      <c r="A25" s="18">
        <f>MATCH(C25,W_psid!$A$2:$A$104,0)</f>
        <v>56</v>
      </c>
      <c r="B25" s="18" t="str">
        <f>MOMS!$A$23</f>
        <v>d_jobjob_within_psid</v>
      </c>
      <c r="C25" s="18" t="str">
        <f>MOMS!$B$23</f>
        <v>d_jobjob_within_psid</v>
      </c>
      <c r="D25" s="20" cm="1">
        <f t="array" ref="D25">INDEX(W_psid!$B$2:$CZ$104,W_!$A25,W_!D$1)/Ns!$B$1</f>
        <v>-3.9006774329265193E-2</v>
      </c>
      <c r="E25" s="20" cm="1">
        <f t="array" ref="E25">INDEX(W_psid!$B$2:$CZ$104,W_!$A25,W_!E$1)/Ns!$B$1</f>
        <v>-0.21303895626676525</v>
      </c>
      <c r="F25" s="20" cm="1">
        <f t="array" ref="F25">INDEX(W_psid!$B$2:$CZ$104,W_!$A25,W_!F$1)/Ns!$B$1</f>
        <v>-4.2781579052046471E-2</v>
      </c>
      <c r="G25" s="20" cm="1">
        <f t="array" ref="G25">INDEX(W_psid!$B$2:$CZ$104,W_!$A25,W_!G$1)/Ns!$B$1</f>
        <v>-4.4112061587029512</v>
      </c>
      <c r="H25" s="20" cm="1">
        <f t="array" ref="H25">INDEX(W_psid!$B$2:$CZ$104,W_!$A25,W_!H$1)/Ns!$B$1</f>
        <v>1.7963035176988975</v>
      </c>
      <c r="I25" s="20" cm="1">
        <f t="array" ref="I25">INDEX(W_psid!$B$2:$CZ$104,W_!$A25,W_!I$1)/Ns!$B$1</f>
        <v>1.4232654763757566</v>
      </c>
      <c r="J25" s="20" cm="1">
        <f t="array" ref="J25">INDEX(W_psid!$B$2:$CZ$104,W_!$A25,W_!J$1)/Ns!$B$1</f>
        <v>1.2466420215588472</v>
      </c>
      <c r="K25" s="20" cm="1">
        <f t="array" ref="K25">INDEX(W_psid!$B$2:$CZ$104,W_!$A25,W_!K$1)/Ns!$B$1</f>
        <v>3.1550534952839455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-2.7828884143803916</v>
      </c>
      <c r="N25" s="20" cm="1">
        <f t="array" ref="N25">INDEX(W_psid!$B$2:$CZ$104,W_!$A25,W_!N$1)/Ns!$B$1</f>
        <v>7.2890918368422625E-2</v>
      </c>
      <c r="O25" s="20" cm="1">
        <f t="array" ref="O25">INDEX(W_psid!$B$2:$CZ$104,W_!$A25,W_!O$1)/Ns!$B$1</f>
        <v>1.9609119999708657</v>
      </c>
      <c r="P25" s="20" cm="1">
        <f t="array" ref="P25">INDEX(W_psid!$B$2:$CZ$104,W_!$A25,W_!P$1)/Ns!$B$1</f>
        <v>-0.50122753531170938</v>
      </c>
      <c r="Q25" s="20" cm="1">
        <f t="array" ref="Q25">INDEX(W_psid!$B$2:$CZ$104,W_!$A25,W_!Q$1)/Ns!$B$1</f>
        <v>3.0791799905168427</v>
      </c>
      <c r="R25" s="20" cm="1">
        <f t="array" ref="R25">INDEX(W_psid!$B$2:$CZ$104,W_!$A25,W_!R$1)/Ns!$B$1</f>
        <v>-1.4263818249980713</v>
      </c>
      <c r="S25" s="20" cm="1">
        <f t="array" ref="S25">INDEX(W_psid!$B$2:$CZ$104,W_!$A25,W_!S$1)/Ns!$B$1</f>
        <v>-1.7938199019546517E-3</v>
      </c>
      <c r="T25" s="20" cm="1">
        <f t="array" ref="T25">INDEX(W_psid!$B$2:$CZ$104,W_!$A25,W_!T$1)/Ns!$B$1</f>
        <v>2.8988782191916978E-4</v>
      </c>
      <c r="U25" s="20" cm="1">
        <f t="array" ref="U25">INDEX(W_psid!$B$2:$CZ$104,W_!$A25,W_!U$1)/Ns!$B$1</f>
        <v>2.4362188306926583E-3</v>
      </c>
      <c r="V25" s="20" cm="1">
        <f t="array" ref="V25">INDEX(W_psid!$B$2:$CZ$104,W_!$A25,W_!V$1)/Ns!$B$1</f>
        <v>0.69284730459563648</v>
      </c>
      <c r="W25" s="20" cm="1">
        <f t="array" ref="W25">INDEX(W_psid!$B$2:$CZ$104,W_!$A25,W_!W$1)/Ns!$B$1</f>
        <v>0.67503940808200336</v>
      </c>
      <c r="X25" s="20" cm="1">
        <f t="array" ref="X25">INDEX(W_psid!$B$2:$CZ$104,W_!$A25,W_!X$1)/Ns!$B$1</f>
        <v>0.7494679458929574</v>
      </c>
      <c r="Y25" s="20" cm="1">
        <f t="array" ref="Y25">INDEX(W_psid!$B$2:$CZ$104,W_!$A25,W_!Y$1)/Ns!$B$1</f>
        <v>0.74848461213908635</v>
      </c>
      <c r="Z25" s="20" cm="1">
        <f t="array" ref="Z25">INDEX(W_psid!$B$2:$CZ$104,W_!$A25,W_!Z$1)/Ns!$B$1</f>
        <v>0.70551848294501907</v>
      </c>
      <c r="AA25" s="20" cm="1">
        <f t="array" ref="AA25">INDEX(W_psid!$B$2:$CZ$104,W_!$A25,W_!AA$1)/Ns!$B$1</f>
        <v>0.75978134591975499</v>
      </c>
      <c r="AB25" s="20" cm="1">
        <f t="array" ref="AB25">INDEX(W_psid!$B$2:$CZ$104,W_!$A25,W_!AB$1)/Ns!$B$1</f>
        <v>0.14963823070422003</v>
      </c>
      <c r="AC25" s="20" cm="1">
        <f t="array" ref="AC25">INDEX(W_psid!$B$2:$CZ$104,W_!$A25,W_!AC$1)/Ns!$B$1</f>
        <v>1.2810399927317114E-3</v>
      </c>
      <c r="AD25" s="20" cm="1">
        <f t="array" ref="AD25">INDEX(W_psid!$B$2:$CZ$104,W_!$A25,W_!AD$1)/Ns!$B$1</f>
        <v>-0.10978800838928295</v>
      </c>
      <c r="AE25" s="20" cm="1">
        <f t="array" ref="AE25">INDEX(W_psid!$B$2:$CZ$104,W_!$A25,W_!AE$1)/Ns!$B$1</f>
        <v>-3.2945741066055148E-2</v>
      </c>
      <c r="AF25" s="20" cm="1">
        <f t="array" ref="AF25">INDEX(W_psid!$B$2:$CZ$104,W_!$A25,W_!AF$1)/Ns!$B$1</f>
        <v>4.3685095392803843</v>
      </c>
      <c r="AG25" s="20" cm="1">
        <f t="array" ref="AG25">INDEX(W_psid!$B$2:$CZ$104,W_!$A25,W_!AG$1)/Ns!$B$1</f>
        <v>3.7312871203107041</v>
      </c>
      <c r="AH25" s="20" cm="1">
        <f t="array" ref="AH25">INDEX(W_psid!$B$2:$CZ$104,W_!$A25,W_!AH$1)/Ns!$B$1</f>
        <v>2.3519805982855548E-2</v>
      </c>
      <c r="AI25" s="20" cm="1">
        <f t="array" ref="AI25">INDEX(W_psid!$B$2:$CZ$104,W_!$A25,W_!AI$1)/Ns!$B$1</f>
        <v>3.7999477889172442E-3</v>
      </c>
      <c r="AJ25" s="20" cm="1">
        <f t="array" ref="AJ25">INDEX(W_psid!$B$2:$CZ$104,W_!$A25,W_!AJ$1)/Ns!$B$1</f>
        <v>-1.1617220337066835E-4</v>
      </c>
      <c r="AK25" s="20" cm="1">
        <f t="array" ref="AK25">INDEX(W_psid!$B$2:$CZ$104,W_!$A25,W_!AK$1)/Ns!$B$1</f>
        <v>-0.13214703193476421</v>
      </c>
      <c r="AL25" s="20" cm="1">
        <f t="array" ref="AL25">INDEX(W_psid!$B$2:$CZ$104,W_!$A25,W_!AL$1)/Ns!$B$1</f>
        <v>-0.41234369020342626</v>
      </c>
      <c r="AM25" s="20" cm="1">
        <f t="array" ref="AM25">INDEX(W_psid!$B$2:$CZ$104,W_!$A25,W_!AM$1)/Ns!$B$1</f>
        <v>-0.17762896328257438</v>
      </c>
      <c r="AN25" s="20" cm="1">
        <f t="array" ref="AN25">INDEX(W_psid!$B$2:$CZ$104,W_!$A25,W_!AN$1)/Ns!$B$1</f>
        <v>2.1952265802927338E-2</v>
      </c>
      <c r="AO25" s="20" cm="1">
        <f t="array" ref="AO25">INDEX(W_psid!$B$2:$CZ$104,W_!$A25,W_!AO$1)/Ns!$B$1</f>
        <v>1.9937431162332615E-4</v>
      </c>
      <c r="AP25" s="20" cm="1">
        <f t="array" ref="AP25">INDEX(W_psid!$B$2:$CZ$104,W_!$A25,W_!AP$1)/Ns!$B$1</f>
        <v>-4.0356359392964363</v>
      </c>
      <c r="AQ25" s="20" cm="1">
        <f t="array" ref="AQ25">INDEX(W_psid!$B$2:$CZ$104,W_!$A25,W_!AQ$1)/Ns!$B$1</f>
        <v>-2.9091913241066907</v>
      </c>
      <c r="AR25" s="20" cm="1">
        <f t="array" ref="AR25">INDEX(W_psid!$B$2:$CZ$104,W_!$A25,W_!AR$1)/Ns!$B$1</f>
        <v>2.6865362686158796</v>
      </c>
      <c r="AS25" s="20" cm="1">
        <f t="array" ref="AS25">INDEX(W_psid!$B$2:$CZ$104,W_!$A25,W_!AS$1)/Ns!$B$1</f>
        <v>-1.104476705567402E-4</v>
      </c>
      <c r="AT25" s="20" cm="1">
        <f t="array" ref="AT25">INDEX(W_psid!$B$2:$CZ$104,W_!$A25,W_!AT$1)/Ns!$B$1</f>
        <v>1.7349907963090259E-3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2.1558746338096926</v>
      </c>
      <c r="AW25" s="20" cm="1">
        <f t="array" ref="AW25">INDEX(W_psid!$B$2:$CZ$104,W_!$A25,W_!AW$1)/Ns!$B$1</f>
        <v>0.158186609983445</v>
      </c>
      <c r="AX25" s="20" cm="1">
        <f t="array" ref="AX25">INDEX(W_psid!$B$2:$CZ$104,W_!$A25,W_!AX$1)/Ns!$B$1</f>
        <v>-0.14334287080920879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</row>
    <row r="26" spans="1:58" x14ac:dyDescent="0.3">
      <c r="A26" s="18">
        <f>MATCH(C26,W_psid!$A$2:$A$104,0)</f>
        <v>74</v>
      </c>
      <c r="B26" s="18" t="str">
        <f>MOMS!$A$24</f>
        <v>d_jobjob_hwithin_psid</v>
      </c>
      <c r="C26" s="18" t="str">
        <f>MOMS!$B$24</f>
        <v>d_jobjob_hwithin_psid</v>
      </c>
      <c r="D26" s="20" cm="1">
        <f t="array" ref="D26">INDEX(W_psid!$B$2:$CZ$104,W_!$A26,W_!D$1)/Ns!$B$1</f>
        <v>-3.6933688140424893E-2</v>
      </c>
      <c r="E26" s="20" cm="1">
        <f t="array" ref="E26">INDEX(W_psid!$B$2:$CZ$104,W_!$A26,W_!E$1)/Ns!$B$1</f>
        <v>-0.19354170291956091</v>
      </c>
      <c r="F26" s="20" cm="1">
        <f t="array" ref="F26">INDEX(W_psid!$B$2:$CZ$104,W_!$A26,W_!F$1)/Ns!$B$1</f>
        <v>-4.3256858499435093E-2</v>
      </c>
      <c r="G26" s="20" cm="1">
        <f t="array" ref="G26">INDEX(W_psid!$B$2:$CZ$104,W_!$A26,W_!G$1)/Ns!$B$1</f>
        <v>-3.8019539374599161</v>
      </c>
      <c r="H26" s="20" cm="1">
        <f t="array" ref="H26">INDEX(W_psid!$B$2:$CZ$104,W_!$A26,W_!H$1)/Ns!$B$1</f>
        <v>1.9238626097394409</v>
      </c>
      <c r="I26" s="20" cm="1">
        <f t="array" ref="I26">INDEX(W_psid!$B$2:$CZ$104,W_!$A26,W_!I$1)/Ns!$B$1</f>
        <v>0.99366597020066527</v>
      </c>
      <c r="J26" s="20" cm="1">
        <f t="array" ref="J26">INDEX(W_psid!$B$2:$CZ$104,W_!$A26,W_!J$1)/Ns!$B$1</f>
        <v>0.65501321087979469</v>
      </c>
      <c r="K26" s="20" cm="1">
        <f t="array" ref="K26">INDEX(W_psid!$B$2:$CZ$104,W_!$A26,W_!K$1)/Ns!$B$1</f>
        <v>2.8415736612521116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-2.44393638010389</v>
      </c>
      <c r="N26" s="20" cm="1">
        <f t="array" ref="N26">INDEX(W_psid!$B$2:$CZ$104,W_!$A26,W_!N$1)/Ns!$B$1</f>
        <v>0.16380543880850273</v>
      </c>
      <c r="O26" s="20" cm="1">
        <f t="array" ref="O26">INDEX(W_psid!$B$2:$CZ$104,W_!$A26,W_!O$1)/Ns!$B$1</f>
        <v>1.5197799181983216</v>
      </c>
      <c r="P26" s="20" cm="1">
        <f t="array" ref="P26">INDEX(W_psid!$B$2:$CZ$104,W_!$A26,W_!P$1)/Ns!$B$1</f>
        <v>-0.38891122972257697</v>
      </c>
      <c r="Q26" s="20" cm="1">
        <f t="array" ref="Q26">INDEX(W_psid!$B$2:$CZ$104,W_!$A26,W_!Q$1)/Ns!$B$1</f>
        <v>2.5180846926311444</v>
      </c>
      <c r="R26" s="20" cm="1">
        <f t="array" ref="R26">INDEX(W_psid!$B$2:$CZ$104,W_!$A26,W_!R$1)/Ns!$B$1</f>
        <v>-0.95768702618199031</v>
      </c>
      <c r="S26" s="20" cm="1">
        <f t="array" ref="S26">INDEX(W_psid!$B$2:$CZ$104,W_!$A26,W_!S$1)/Ns!$B$1</f>
        <v>-1.6919525015474202E-3</v>
      </c>
      <c r="T26" s="20" cm="1">
        <f t="array" ref="T26">INDEX(W_psid!$B$2:$CZ$104,W_!$A26,W_!T$1)/Ns!$B$1</f>
        <v>2.8922697934674889E-4</v>
      </c>
      <c r="U26" s="20" cm="1">
        <f t="array" ref="U26">INDEX(W_psid!$B$2:$CZ$104,W_!$A26,W_!U$1)/Ns!$B$1</f>
        <v>2.9929442398620894E-3</v>
      </c>
      <c r="V26" s="20" cm="1">
        <f t="array" ref="V26">INDEX(W_psid!$B$2:$CZ$104,W_!$A26,W_!V$1)/Ns!$B$1</f>
        <v>0.65908870437628053</v>
      </c>
      <c r="W26" s="20" cm="1">
        <f t="array" ref="W26">INDEX(W_psid!$B$2:$CZ$104,W_!$A26,W_!W$1)/Ns!$B$1</f>
        <v>0.64562253522294388</v>
      </c>
      <c r="X26" s="20" cm="1">
        <f t="array" ref="X26">INDEX(W_psid!$B$2:$CZ$104,W_!$A26,W_!X$1)/Ns!$B$1</f>
        <v>0.69808025315666866</v>
      </c>
      <c r="Y26" s="20" cm="1">
        <f t="array" ref="Y26">INDEX(W_psid!$B$2:$CZ$104,W_!$A26,W_!Y$1)/Ns!$B$1</f>
        <v>0.70551848294501907</v>
      </c>
      <c r="Z26" s="20" cm="1">
        <f t="array" ref="Z26">INDEX(W_psid!$B$2:$CZ$104,W_!$A26,W_!Z$1)/Ns!$B$1</f>
        <v>0.68100235631041317</v>
      </c>
      <c r="AA26" s="20" cm="1">
        <f t="array" ref="AA26">INDEX(W_psid!$B$2:$CZ$104,W_!$A26,W_!AA$1)/Ns!$B$1</f>
        <v>0.72110739082094866</v>
      </c>
      <c r="AB26" s="20" cm="1">
        <f t="array" ref="AB26">INDEX(W_psid!$B$2:$CZ$104,W_!$A26,W_!AB$1)/Ns!$B$1</f>
        <v>0.16219755646749462</v>
      </c>
      <c r="AC26" s="20" cm="1">
        <f t="array" ref="AC26">INDEX(W_psid!$B$2:$CZ$104,W_!$A26,W_!AC$1)/Ns!$B$1</f>
        <v>1.0196702837208011E-3</v>
      </c>
      <c r="AD26" s="20" cm="1">
        <f t="array" ref="AD26">INDEX(W_psid!$B$2:$CZ$104,W_!$A26,W_!AD$1)/Ns!$B$1</f>
        <v>-0.10209179526126905</v>
      </c>
      <c r="AE26" s="20" cm="1">
        <f t="array" ref="AE26">INDEX(W_psid!$B$2:$CZ$104,W_!$A26,W_!AE$1)/Ns!$B$1</f>
        <v>-2.4415957498807667E-2</v>
      </c>
      <c r="AF26" s="20" cm="1">
        <f t="array" ref="AF26">INDEX(W_psid!$B$2:$CZ$104,W_!$A26,W_!AF$1)/Ns!$B$1</f>
        <v>3.9633315979774451</v>
      </c>
      <c r="AG26" s="20" cm="1">
        <f t="array" ref="AG26">INDEX(W_psid!$B$2:$CZ$104,W_!$A26,W_!AG$1)/Ns!$B$1</f>
        <v>3.3877157345246185</v>
      </c>
      <c r="AH26" s="20" cm="1">
        <f t="array" ref="AH26">INDEX(W_psid!$B$2:$CZ$104,W_!$A26,W_!AH$1)/Ns!$B$1</f>
        <v>2.327535338142047E-2</v>
      </c>
      <c r="AI26" s="20" cm="1">
        <f t="array" ref="AI26">INDEX(W_psid!$B$2:$CZ$104,W_!$A26,W_!AI$1)/Ns!$B$1</f>
        <v>3.4086191819979162E-3</v>
      </c>
      <c r="AJ26" s="20" cm="1">
        <f t="array" ref="AJ26">INDEX(W_psid!$B$2:$CZ$104,W_!$A26,W_!AJ$1)/Ns!$B$1</f>
        <v>-9.482555892760693E-5</v>
      </c>
      <c r="AK26" s="20" cm="1">
        <f t="array" ref="AK26">INDEX(W_psid!$B$2:$CZ$104,W_!$A26,W_!AK$1)/Ns!$B$1</f>
        <v>-7.1746854412721703E-2</v>
      </c>
      <c r="AL26" s="20" cm="1">
        <f t="array" ref="AL26">INDEX(W_psid!$B$2:$CZ$104,W_!$A26,W_!AL$1)/Ns!$B$1</f>
        <v>-0.30979021885714791</v>
      </c>
      <c r="AM26" s="20" cm="1">
        <f t="array" ref="AM26">INDEX(W_psid!$B$2:$CZ$104,W_!$A26,W_!AM$1)/Ns!$B$1</f>
        <v>-0.1986671429372808</v>
      </c>
      <c r="AN26" s="20" cm="1">
        <f t="array" ref="AN26">INDEX(W_psid!$B$2:$CZ$104,W_!$A26,W_!AN$1)/Ns!$B$1</f>
        <v>1.8302172777476273E-2</v>
      </c>
      <c r="AO26" s="20" cm="1">
        <f t="array" ref="AO26">INDEX(W_psid!$B$2:$CZ$104,W_!$A26,W_!AO$1)/Ns!$B$1</f>
        <v>1.4384195571738701E-4</v>
      </c>
      <c r="AP26" s="20" cm="1">
        <f t="array" ref="AP26">INDEX(W_psid!$B$2:$CZ$104,W_!$A26,W_!AP$1)/Ns!$B$1</f>
        <v>-3.8731102655943217</v>
      </c>
      <c r="AQ26" s="20" cm="1">
        <f t="array" ref="AQ26">INDEX(W_psid!$B$2:$CZ$104,W_!$A26,W_!AQ$1)/Ns!$B$1</f>
        <v>-2.8167397393539426</v>
      </c>
      <c r="AR26" s="20" cm="1">
        <f t="array" ref="AR26">INDEX(W_psid!$B$2:$CZ$104,W_!$A26,W_!AR$1)/Ns!$B$1</f>
        <v>2.666714584342476</v>
      </c>
      <c r="AS26" s="20" cm="1">
        <f t="array" ref="AS26">INDEX(W_psid!$B$2:$CZ$104,W_!$A26,W_!AS$1)/Ns!$B$1</f>
        <v>-9.1459995543427108E-5</v>
      </c>
      <c r="AT26" s="20" cm="1">
        <f t="array" ref="AT26">INDEX(W_psid!$B$2:$CZ$104,W_!$A26,W_!AT$1)/Ns!$B$1</f>
        <v>1.5146583573871987E-3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2.0954265753140997</v>
      </c>
      <c r="AW26" s="20" cm="1">
        <f t="array" ref="AW26">INDEX(W_psid!$B$2:$CZ$104,W_!$A26,W_!AW$1)/Ns!$B$1</f>
        <v>0.15627272021862085</v>
      </c>
      <c r="AX26" s="20" cm="1">
        <f t="array" ref="AX26">INDEX(W_psid!$B$2:$CZ$104,W_!$A26,W_!AX$1)/Ns!$B$1</f>
        <v>-0.12957658612997938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</row>
    <row r="27" spans="1:58" x14ac:dyDescent="0.3">
      <c r="A27" s="18">
        <f>MATCH(C27,W_psid!$A$2:$A$104,0)</f>
        <v>58</v>
      </c>
      <c r="B27" s="18" t="str">
        <f>MOMS!$A$25</f>
        <v>d_jobjob_hw</v>
      </c>
      <c r="C27" s="18" t="str">
        <f>MOMS!$B$25</f>
        <v>d_jobjob_hw</v>
      </c>
      <c r="D27" s="20" cm="1">
        <f t="array" ref="D27">INDEX(W_psid!$B$2:$CZ$104,W_!$A27,W_!D$1)/Ns!$B$1</f>
        <v>-5.0280306713128643E-2</v>
      </c>
      <c r="E27" s="20" cm="1">
        <f t="array" ref="E27">INDEX(W_psid!$B$2:$CZ$104,W_!$A27,W_!E$1)/Ns!$B$1</f>
        <v>-0.24818652255884066</v>
      </c>
      <c r="F27" s="20" cm="1">
        <f t="array" ref="F27">INDEX(W_psid!$B$2:$CZ$104,W_!$A27,W_!F$1)/Ns!$B$1</f>
        <v>-7.8149522684286349E-2</v>
      </c>
      <c r="G27" s="20" cm="1">
        <f t="array" ref="G27">INDEX(W_psid!$B$2:$CZ$104,W_!$A27,W_!G$1)/Ns!$B$1</f>
        <v>-5.2502841497510673</v>
      </c>
      <c r="H27" s="20" cm="1">
        <f t="array" ref="H27">INDEX(W_psid!$B$2:$CZ$104,W_!$A27,W_!H$1)/Ns!$B$1</f>
        <v>2.0515247937380416</v>
      </c>
      <c r="I27" s="20" cm="1">
        <f t="array" ref="I27">INDEX(W_psid!$B$2:$CZ$104,W_!$A27,W_!I$1)/Ns!$B$1</f>
        <v>1.7922196911394588</v>
      </c>
      <c r="J27" s="20" cm="1">
        <f t="array" ref="J27">INDEX(W_psid!$B$2:$CZ$104,W_!$A27,W_!J$1)/Ns!$B$1</f>
        <v>1.8945768461738386</v>
      </c>
      <c r="K27" s="20" cm="1">
        <f t="array" ref="K27">INDEX(W_psid!$B$2:$CZ$104,W_!$A27,W_!K$1)/Ns!$B$1</f>
        <v>3.7601388726232878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-2.8650949668843966</v>
      </c>
      <c r="N27" s="20" cm="1">
        <f t="array" ref="N27">INDEX(W_psid!$B$2:$CZ$104,W_!$A27,W_!N$1)/Ns!$B$1</f>
        <v>0.24654757717993914</v>
      </c>
      <c r="O27" s="20" cm="1">
        <f t="array" ref="O27">INDEX(W_psid!$B$2:$CZ$104,W_!$A27,W_!O$1)/Ns!$B$1</f>
        <v>1.5919291159276721</v>
      </c>
      <c r="P27" s="20" cm="1">
        <f t="array" ref="P27">INDEX(W_psid!$B$2:$CZ$104,W_!$A27,W_!P$1)/Ns!$B$1</f>
        <v>-0.70168542407958212</v>
      </c>
      <c r="Q27" s="20" cm="1">
        <f t="array" ref="Q27">INDEX(W_psid!$B$2:$CZ$104,W_!$A27,W_!Q$1)/Ns!$B$1</f>
        <v>2.9535308097887731</v>
      </c>
      <c r="R27" s="20" cm="1">
        <f t="array" ref="R27">INDEX(W_psid!$B$2:$CZ$104,W_!$A27,W_!R$1)/Ns!$B$1</f>
        <v>-2.2817064415570103</v>
      </c>
      <c r="S27" s="20" cm="1">
        <f t="array" ref="S27">INDEX(W_psid!$B$2:$CZ$104,W_!$A27,W_!S$1)/Ns!$B$1</f>
        <v>-1.916312540180216E-3</v>
      </c>
      <c r="T27" s="20" cm="1">
        <f t="array" ref="T27">INDEX(W_psid!$B$2:$CZ$104,W_!$A27,W_!T$1)/Ns!$B$1</f>
        <v>3.2500607097535317E-4</v>
      </c>
      <c r="U27" s="20" cm="1">
        <f t="array" ref="U27">INDEX(W_psid!$B$2:$CZ$104,W_!$A27,W_!U$1)/Ns!$B$1</f>
        <v>3.3413441944272356E-3</v>
      </c>
      <c r="V27" s="20" cm="1">
        <f t="array" ref="V27">INDEX(W_psid!$B$2:$CZ$104,W_!$A27,W_!V$1)/Ns!$B$1</f>
        <v>0.73230855531554584</v>
      </c>
      <c r="W27" s="20" cm="1">
        <f t="array" ref="W27">INDEX(W_psid!$B$2:$CZ$104,W_!$A27,W_!W$1)/Ns!$B$1</f>
        <v>0.71371917044094968</v>
      </c>
      <c r="X27" s="20" cm="1">
        <f t="array" ref="X27">INDEX(W_psid!$B$2:$CZ$104,W_!$A27,W_!X$1)/Ns!$B$1</f>
        <v>0.77458997390455642</v>
      </c>
      <c r="Y27" s="20" cm="1">
        <f t="array" ref="Y27">INDEX(W_psid!$B$2:$CZ$104,W_!$A27,W_!Y$1)/Ns!$B$1</f>
        <v>0.75978134591975499</v>
      </c>
      <c r="Z27" s="20" cm="1">
        <f t="array" ref="Z27">INDEX(W_psid!$B$2:$CZ$104,W_!$A27,W_!Z$1)/Ns!$B$1</f>
        <v>0.72110739082094866</v>
      </c>
      <c r="AA27" s="20" cm="1">
        <f t="array" ref="AA27">INDEX(W_psid!$B$2:$CZ$104,W_!$A27,W_!AA$1)/Ns!$B$1</f>
        <v>0.79527305827534944</v>
      </c>
      <c r="AB27" s="20" cm="1">
        <f t="array" ref="AB27">INDEX(W_psid!$B$2:$CZ$104,W_!$A27,W_!AB$1)/Ns!$B$1</f>
        <v>0.15099587637898387</v>
      </c>
      <c r="AC27" s="20" cm="1">
        <f t="array" ref="AC27">INDEX(W_psid!$B$2:$CZ$104,W_!$A27,W_!AC$1)/Ns!$B$1</f>
        <v>1.1937643264677805E-3</v>
      </c>
      <c r="AD27" s="20" cm="1">
        <f t="array" ref="AD27">INDEX(W_psid!$B$2:$CZ$104,W_!$A27,W_!AD$1)/Ns!$B$1</f>
        <v>-0.12628725412125236</v>
      </c>
      <c r="AE27" s="20" cm="1">
        <f t="array" ref="AE27">INDEX(W_psid!$B$2:$CZ$104,W_!$A27,W_!AE$1)/Ns!$B$1</f>
        <v>-2.6475275246766471E-2</v>
      </c>
      <c r="AF27" s="20" cm="1">
        <f t="array" ref="AF27">INDEX(W_psid!$B$2:$CZ$104,W_!$A27,W_!AF$1)/Ns!$B$1</f>
        <v>4.9883986924947061</v>
      </c>
      <c r="AG27" s="20" cm="1">
        <f t="array" ref="AG27">INDEX(W_psid!$B$2:$CZ$104,W_!$A27,W_!AG$1)/Ns!$B$1</f>
        <v>4.259446766872073</v>
      </c>
      <c r="AH27" s="20" cm="1">
        <f t="array" ref="AH27">INDEX(W_psid!$B$2:$CZ$104,W_!$A27,W_!AH$1)/Ns!$B$1</f>
        <v>2.6838574486389932E-2</v>
      </c>
      <c r="AI27" s="20" cm="1">
        <f t="array" ref="AI27">INDEX(W_psid!$B$2:$CZ$104,W_!$A27,W_!AI$1)/Ns!$B$1</f>
        <v>4.4115427687250065E-3</v>
      </c>
      <c r="AJ27" s="20" cm="1">
        <f t="array" ref="AJ27">INDEX(W_psid!$B$2:$CZ$104,W_!$A27,W_!AJ$1)/Ns!$B$1</f>
        <v>-1.1558753543891975E-4</v>
      </c>
      <c r="AK27" s="20" cm="1">
        <f t="array" ref="AK27">INDEX(W_psid!$B$2:$CZ$104,W_!$A27,W_!AK$1)/Ns!$B$1</f>
        <v>-0.13340906686987569</v>
      </c>
      <c r="AL27" s="20" cm="1">
        <f t="array" ref="AL27">INDEX(W_psid!$B$2:$CZ$104,W_!$A27,W_!AL$1)/Ns!$B$1</f>
        <v>-0.41424699041219148</v>
      </c>
      <c r="AM27" s="20" cm="1">
        <f t="array" ref="AM27">INDEX(W_psid!$B$2:$CZ$104,W_!$A27,W_!AM$1)/Ns!$B$1</f>
        <v>-0.17467805837566447</v>
      </c>
      <c r="AN27" s="20" cm="1">
        <f t="array" ref="AN27">INDEX(W_psid!$B$2:$CZ$104,W_!$A27,W_!AN$1)/Ns!$B$1</f>
        <v>2.2447165594873881E-2</v>
      </c>
      <c r="AO27" s="20" cm="1">
        <f t="array" ref="AO27">INDEX(W_psid!$B$2:$CZ$104,W_!$A27,W_!AO$1)/Ns!$B$1</f>
        <v>2.3911746740832153E-4</v>
      </c>
      <c r="AP27" s="20" cm="1">
        <f t="array" ref="AP27">INDEX(W_psid!$B$2:$CZ$104,W_!$A27,W_!AP$1)/Ns!$B$1</f>
        <v>-4.4818020445393607</v>
      </c>
      <c r="AQ27" s="20" cm="1">
        <f t="array" ref="AQ27">INDEX(W_psid!$B$2:$CZ$104,W_!$A27,W_!AQ$1)/Ns!$B$1</f>
        <v>-3.173459406512352</v>
      </c>
      <c r="AR27" s="20" cm="1">
        <f t="array" ref="AR27">INDEX(W_psid!$B$2:$CZ$104,W_!$A27,W_!AR$1)/Ns!$B$1</f>
        <v>2.8876337180569736</v>
      </c>
      <c r="AS27" s="20" cm="1">
        <f t="array" ref="AS27">INDEX(W_psid!$B$2:$CZ$104,W_!$A27,W_!AS$1)/Ns!$B$1</f>
        <v>-1.1751427835946405E-4</v>
      </c>
      <c r="AT27" s="20" cm="1">
        <f t="array" ref="AT27">INDEX(W_psid!$B$2:$CZ$104,W_!$A27,W_!AT$1)/Ns!$B$1</f>
        <v>1.6467086008572032E-3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2.580284586395317</v>
      </c>
      <c r="AW27" s="20" cm="1">
        <f t="array" ref="AW27">INDEX(W_psid!$B$2:$CZ$104,W_!$A27,W_!AW$1)/Ns!$B$1</f>
        <v>0.17342064969610474</v>
      </c>
      <c r="AX27" s="20" cm="1">
        <f t="array" ref="AX27">INDEX(W_psid!$B$2:$CZ$104,W_!$A27,W_!AX$1)/Ns!$B$1</f>
        <v>-0.15784608113321749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</row>
    <row r="28" spans="1:58" x14ac:dyDescent="0.3">
      <c r="A28" s="18">
        <f>MATCH(C28,W_psid!$A$2:$A$104,0)</f>
        <v>59</v>
      </c>
      <c r="B28" s="18" t="str">
        <f>MOMS!$A$26</f>
        <v>d_jobjob_hw_actual</v>
      </c>
      <c r="C28" s="18" t="str">
        <f>MOMS!$B$26</f>
        <v>d_jobjob_hw_actual</v>
      </c>
      <c r="D28" s="20" cm="1">
        <f t="array" ref="D28">INDEX(W_psid!$B$2:$CZ$104,W_!$A28,W_!D$1)/Ns!$B$1</f>
        <v>1.1667639812260747E-2</v>
      </c>
      <c r="E28" s="20" cm="1">
        <f t="array" ref="E28">INDEX(W_psid!$B$2:$CZ$104,W_!$A28,W_!E$1)/Ns!$B$1</f>
        <v>-1.6933649872898024E-3</v>
      </c>
      <c r="F28" s="20" cm="1">
        <f t="array" ref="F28">INDEX(W_psid!$B$2:$CZ$104,W_!$A28,W_!F$1)/Ns!$B$1</f>
        <v>3.58038613716308E-3</v>
      </c>
      <c r="G28" s="20" cm="1">
        <f t="array" ref="G28">INDEX(W_psid!$B$2:$CZ$104,W_!$A28,W_!G$1)/Ns!$B$1</f>
        <v>0.20663652693768039</v>
      </c>
      <c r="H28" s="20" cm="1">
        <f t="array" ref="H28">INDEX(W_psid!$B$2:$CZ$104,W_!$A28,W_!H$1)/Ns!$B$1</f>
        <v>0.71081346536024348</v>
      </c>
      <c r="I28" s="20" cm="1">
        <f t="array" ref="I28">INDEX(W_psid!$B$2:$CZ$104,W_!$A28,W_!I$1)/Ns!$B$1</f>
        <v>-0.67205558716935032</v>
      </c>
      <c r="J28" s="20" cm="1">
        <f t="array" ref="J28">INDEX(W_psid!$B$2:$CZ$104,W_!$A28,W_!J$1)/Ns!$B$1</f>
        <v>-1.427222675609257</v>
      </c>
      <c r="K28" s="20" cm="1">
        <f t="array" ref="K28">INDEX(W_psid!$B$2:$CZ$104,W_!$A28,W_!K$1)/Ns!$B$1</f>
        <v>-7.3617456280690358E-2</v>
      </c>
      <c r="L28" s="20" cm="1">
        <f t="array" ref="L28">INDEX(W_psid!$B$2:$CZ$104,W_!$A28,W_!L$1)/Ns!$B$1</f>
        <v>-0.50605218775696437</v>
      </c>
      <c r="M28" s="20" cm="1">
        <f t="array" ref="M28">INDEX(W_psid!$B$2:$CZ$104,W_!$A28,W_!M$1)/Ns!$B$1</f>
        <v>0.26557819816815292</v>
      </c>
      <c r="N28" s="20" cm="1">
        <f t="array" ref="N28">INDEX(W_psid!$B$2:$CZ$104,W_!$A28,W_!N$1)/Ns!$B$1</f>
        <v>0.35602398877403924</v>
      </c>
      <c r="O28" s="20" cm="1">
        <f t="array" ref="O28">INDEX(W_psid!$B$2:$CZ$104,W_!$A28,W_!O$1)/Ns!$B$1</f>
        <v>4.8548480290894029E-2</v>
      </c>
      <c r="P28" s="20" cm="1">
        <f t="array" ref="P28">INDEX(W_psid!$B$2:$CZ$104,W_!$A28,W_!P$1)/Ns!$B$1</f>
        <v>1.48498572933203E-2</v>
      </c>
      <c r="Q28" s="20" cm="1">
        <f t="array" ref="Q28">INDEX(W_psid!$B$2:$CZ$104,W_!$A28,W_!Q$1)/Ns!$B$1</f>
        <v>-0.64289349934593021</v>
      </c>
      <c r="R28" s="20" cm="1">
        <f t="array" ref="R28">INDEX(W_psid!$B$2:$CZ$104,W_!$A28,W_!R$1)/Ns!$B$1</f>
        <v>1.3231156122718926</v>
      </c>
      <c r="S28" s="20" cm="1">
        <f t="array" ref="S28">INDEX(W_psid!$B$2:$CZ$104,W_!$A28,W_!S$1)/Ns!$B$1</f>
        <v>-4.386765345687592E-4</v>
      </c>
      <c r="T28" s="20" cm="1">
        <f t="array" ref="T28">INDEX(W_psid!$B$2:$CZ$104,W_!$A28,W_!T$1)/Ns!$B$1</f>
        <v>8.8627850296082842E-5</v>
      </c>
      <c r="U28" s="20" cm="1">
        <f t="array" ref="U28">INDEX(W_psid!$B$2:$CZ$104,W_!$A28,W_!U$1)/Ns!$B$1</f>
        <v>7.3956000894304541E-4</v>
      </c>
      <c r="V28" s="20" cm="1">
        <f t="array" ref="V28">INDEX(W_psid!$B$2:$CZ$104,W_!$A28,W_!V$1)/Ns!$B$1</f>
        <v>0.16703078497042745</v>
      </c>
      <c r="W28" s="20" cm="1">
        <f t="array" ref="W28">INDEX(W_psid!$B$2:$CZ$104,W_!$A28,W_!W$1)/Ns!$B$1</f>
        <v>0.17108626684150277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0.14963823070422003</v>
      </c>
      <c r="Z28" s="20" cm="1">
        <f t="array" ref="Z28">INDEX(W_psid!$B$2:$CZ$104,W_!$A28,W_!Z$1)/Ns!$B$1</f>
        <v>0.16219755646749462</v>
      </c>
      <c r="AA28" s="20" cm="1">
        <f t="array" ref="AA28">INDEX(W_psid!$B$2:$CZ$104,W_!$A28,W_!AA$1)/Ns!$B$1</f>
        <v>0.15099587637898387</v>
      </c>
      <c r="AB28" s="20" cm="1">
        <f t="array" ref="AB28">INDEX(W_psid!$B$2:$CZ$104,W_!$A28,W_!AB$1)/Ns!$B$1</f>
        <v>0.15051401023213565</v>
      </c>
      <c r="AC28" s="20" cm="1">
        <f t="array" ref="AC28">INDEX(W_psid!$B$2:$CZ$104,W_!$A28,W_!AC$1)/Ns!$B$1</f>
        <v>1.9404739029469213E-4</v>
      </c>
      <c r="AD28" s="20" cm="1">
        <f t="array" ref="AD28">INDEX(W_psid!$B$2:$CZ$104,W_!$A28,W_!AD$1)/Ns!$B$1</f>
        <v>-9.773767441235641E-3</v>
      </c>
      <c r="AE28" s="20" cm="1">
        <f t="array" ref="AE28">INDEX(W_psid!$B$2:$CZ$104,W_!$A28,W_!AE$1)/Ns!$B$1</f>
        <v>-8.554702753211945E-3</v>
      </c>
      <c r="AF28" s="20" cm="1">
        <f t="array" ref="AF28">INDEX(W_psid!$B$2:$CZ$104,W_!$A28,W_!AF$1)/Ns!$B$1</f>
        <v>0.33432351040029673</v>
      </c>
      <c r="AG28" s="20" cm="1">
        <f t="array" ref="AG28">INDEX(W_psid!$B$2:$CZ$104,W_!$A28,W_!AG$1)/Ns!$B$1</f>
        <v>0.2788861699097413</v>
      </c>
      <c r="AH28" s="20" cm="1">
        <f t="array" ref="AH28">INDEX(W_psid!$B$2:$CZ$104,W_!$A28,W_!AH$1)/Ns!$B$1</f>
        <v>4.9311898005029303E-3</v>
      </c>
      <c r="AI28" s="20" cm="1">
        <f t="array" ref="AI28">INDEX(W_psid!$B$2:$CZ$104,W_!$A28,W_!AI$1)/Ns!$B$1</f>
        <v>-1.2389704701272206E-3</v>
      </c>
      <c r="AJ28" s="20" cm="1">
        <f t="array" ref="AJ28">INDEX(W_psid!$B$2:$CZ$104,W_!$A28,W_!AJ$1)/Ns!$B$1</f>
        <v>2.0178709405034271E-5</v>
      </c>
      <c r="AK28" s="20" cm="1">
        <f t="array" ref="AK28">INDEX(W_psid!$B$2:$CZ$104,W_!$A28,W_!AK$1)/Ns!$B$1</f>
        <v>0.12008185487924335</v>
      </c>
      <c r="AL28" s="20" cm="1">
        <f t="array" ref="AL28">INDEX(W_psid!$B$2:$CZ$104,W_!$A28,W_!AL$1)/Ns!$B$1</f>
        <v>0.1442145137283487</v>
      </c>
      <c r="AM28" s="20" cm="1">
        <f t="array" ref="AM28">INDEX(W_psid!$B$2:$CZ$104,W_!$A28,W_!AM$1)/Ns!$B$1</f>
        <v>-7.2018522250505326E-2</v>
      </c>
      <c r="AN28" s="20" cm="1">
        <f t="array" ref="AN28">INDEX(W_psid!$B$2:$CZ$104,W_!$A28,W_!AN$1)/Ns!$B$1</f>
        <v>-5.0475449425882828E-3</v>
      </c>
      <c r="AO28" s="20" cm="1">
        <f t="array" ref="AO28">INDEX(W_psid!$B$2:$CZ$104,W_!$A28,W_!AO$1)/Ns!$B$1</f>
        <v>-5.7118747145927298E-5</v>
      </c>
      <c r="AP28" s="20" cm="1">
        <f t="array" ref="AP28">INDEX(W_psid!$B$2:$CZ$104,W_!$A28,W_!AP$1)/Ns!$B$1</f>
        <v>-0.89517590002501157</v>
      </c>
      <c r="AQ28" s="20" cm="1">
        <f t="array" ref="AQ28">INDEX(W_psid!$B$2:$CZ$104,W_!$A28,W_!AQ$1)/Ns!$B$1</f>
        <v>-0.59620916245714939</v>
      </c>
      <c r="AR28" s="20" cm="1">
        <f t="array" ref="AR28">INDEX(W_psid!$B$2:$CZ$104,W_!$A28,W_!AR$1)/Ns!$B$1</f>
        <v>0.57334033908555393</v>
      </c>
      <c r="AS28" s="20" cm="1">
        <f t="array" ref="AS28">INDEX(W_psid!$B$2:$CZ$104,W_!$A28,W_!AS$1)/Ns!$B$1</f>
        <v>1.8967245879111776E-5</v>
      </c>
      <c r="AT28" s="20" cm="1">
        <f t="array" ref="AT28">INDEX(W_psid!$B$2:$CZ$104,W_!$A28,W_!AT$1)/Ns!$B$1</f>
        <v>4.2281244678576544E-5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0.57994354707788542</v>
      </c>
      <c r="AW28" s="20" cm="1">
        <f t="array" ref="AW28">INDEX(W_psid!$B$2:$CZ$104,W_!$A28,W_!AW$1)/Ns!$B$1</f>
        <v>2.663757574831219E-2</v>
      </c>
      <c r="AX28" s="20" cm="1">
        <f t="array" ref="AX28">INDEX(W_psid!$B$2:$CZ$104,W_!$A28,W_!AX$1)/Ns!$B$1</f>
        <v>-3.2914664264450037E-3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</row>
    <row r="29" spans="1:58" x14ac:dyDescent="0.3">
      <c r="A29" s="18">
        <f>MATCH(C29,W_psid!$A$2:$A$104,0)</f>
        <v>33</v>
      </c>
      <c r="B29" s="18" t="str">
        <f>MOMS!$A$27</f>
        <v>scity_dif</v>
      </c>
      <c r="C29" s="18" t="str">
        <f>MOMS!$B$27</f>
        <v>scity_dif_ec</v>
      </c>
      <c r="D29" s="20" cm="1">
        <f t="array" ref="D29">INDEX(W_psid!$B$2:$CZ$104,W_!$A29,W_!D$1)/Ns!$B$1</f>
        <v>-1.2920083692881078E-4</v>
      </c>
      <c r="E29" s="20" cm="1">
        <f t="array" ref="E29">INDEX(W_psid!$B$2:$CZ$104,W_!$A29,W_!E$1)/Ns!$B$1</f>
        <v>1.1961015787948022E-4</v>
      </c>
      <c r="F29" s="20" cm="1">
        <f t="array" ref="F29">INDEX(W_psid!$B$2:$CZ$104,W_!$A29,W_!F$1)/Ns!$B$1</f>
        <v>-2.8972199090760119E-3</v>
      </c>
      <c r="G29" s="20" cm="1">
        <f t="array" ref="G29">INDEX(W_psid!$B$2:$CZ$104,W_!$A29,W_!G$1)/Ns!$B$1</f>
        <v>-4.0340478389971235E-2</v>
      </c>
      <c r="H29" s="20" cm="1">
        <f t="array" ref="H29">INDEX(W_psid!$B$2:$CZ$104,W_!$A29,W_!H$1)/Ns!$B$1</f>
        <v>2.1270513805484583E-2</v>
      </c>
      <c r="I29" s="20" cm="1">
        <f t="array" ref="I29">INDEX(W_psid!$B$2:$CZ$104,W_!$A29,W_!I$1)/Ns!$B$1</f>
        <v>2.6909181382250905E-2</v>
      </c>
      <c r="J29" s="20" cm="1">
        <f t="array" ref="J29">INDEX(W_psid!$B$2:$CZ$104,W_!$A29,W_!J$1)/Ns!$B$1</f>
        <v>-1.9885355931804311E-2</v>
      </c>
      <c r="K29" s="20" cm="1">
        <f t="array" ref="K29">INDEX(W_psid!$B$2:$CZ$104,W_!$A29,W_!K$1)/Ns!$B$1</f>
        <v>8.3958042269926692E-3</v>
      </c>
      <c r="L29" s="20" cm="1">
        <f t="array" ref="L29">INDEX(W_psid!$B$2:$CZ$104,W_!$A29,W_!L$1)/Ns!$B$1</f>
        <v>-2.5097596019104933E-2</v>
      </c>
      <c r="M29" s="20" cm="1">
        <f t="array" ref="M29">INDEX(W_psid!$B$2:$CZ$104,W_!$A29,W_!M$1)/Ns!$B$1</f>
        <v>1.7068047962214502E-2</v>
      </c>
      <c r="N29" s="20" cm="1">
        <f t="array" ref="N29">INDEX(W_psid!$B$2:$CZ$104,W_!$A29,W_!N$1)/Ns!$B$1</f>
        <v>6.8646629791664516E-3</v>
      </c>
      <c r="O29" s="20" cm="1">
        <f t="array" ref="O29">INDEX(W_psid!$B$2:$CZ$104,W_!$A29,W_!O$1)/Ns!$B$1</f>
        <v>4.503093804871678E-2</v>
      </c>
      <c r="P29" s="20" cm="1">
        <f t="array" ref="P29">INDEX(W_psid!$B$2:$CZ$104,W_!$A29,W_!P$1)/Ns!$B$1</f>
        <v>-1.0203518063208095E-2</v>
      </c>
      <c r="Q29" s="20" cm="1">
        <f t="array" ref="Q29">INDEX(W_psid!$B$2:$CZ$104,W_!$A29,W_!Q$1)/Ns!$B$1</f>
        <v>-7.0677233342985576E-2</v>
      </c>
      <c r="R29" s="20" cm="1">
        <f t="array" ref="R29">INDEX(W_psid!$B$2:$CZ$104,W_!$A29,W_!R$1)/Ns!$B$1</f>
        <v>-9.7776653537335039E-3</v>
      </c>
      <c r="S29" s="20" cm="1">
        <f t="array" ref="S29">INDEX(W_psid!$B$2:$CZ$104,W_!$A29,W_!S$1)/Ns!$B$1</f>
        <v>-8.0640938680217363E-6</v>
      </c>
      <c r="T29" s="20" cm="1">
        <f t="array" ref="T29">INDEX(W_psid!$B$2:$CZ$104,W_!$A29,W_!T$1)/Ns!$B$1</f>
        <v>6.402012045040773E-6</v>
      </c>
      <c r="U29" s="20" cm="1">
        <f t="array" ref="U29">INDEX(W_psid!$B$2:$CZ$104,W_!$A29,W_!U$1)/Ns!$B$1</f>
        <v>-3.3087425754245217E-5</v>
      </c>
      <c r="V29" s="20" cm="1">
        <f t="array" ref="V29">INDEX(W_psid!$B$2:$CZ$104,W_!$A29,W_!V$1)/Ns!$B$1</f>
        <v>3.517010263382594E-3</v>
      </c>
      <c r="W29" s="20" cm="1">
        <f t="array" ref="W29">INDEX(W_psid!$B$2:$CZ$104,W_!$A29,W_!W$1)/Ns!$B$1</f>
        <v>3.3849538746265713E-3</v>
      </c>
      <c r="X29" s="20" cm="1">
        <f t="array" ref="X29">INDEX(W_psid!$B$2:$CZ$104,W_!$A29,W_!X$1)/Ns!$B$1</f>
        <v>1.32342224707616E-3</v>
      </c>
      <c r="Y29" s="20" cm="1">
        <f t="array" ref="Y29">INDEX(W_psid!$B$2:$CZ$104,W_!$A29,W_!Y$1)/Ns!$B$1</f>
        <v>1.2810399927317114E-3</v>
      </c>
      <c r="Z29" s="20" cm="1">
        <f t="array" ref="Z29">INDEX(W_psid!$B$2:$CZ$104,W_!$A29,W_!Z$1)/Ns!$B$1</f>
        <v>1.0196702837208011E-3</v>
      </c>
      <c r="AA29" s="20" cm="1">
        <f t="array" ref="AA29">INDEX(W_psid!$B$2:$CZ$104,W_!$A29,W_!AA$1)/Ns!$B$1</f>
        <v>1.1937643264677805E-3</v>
      </c>
      <c r="AB29" s="20" cm="1">
        <f t="array" ref="AB29">INDEX(W_psid!$B$2:$CZ$104,W_!$A29,W_!AB$1)/Ns!$B$1</f>
        <v>1.9404739029469213E-4</v>
      </c>
      <c r="AC29" s="20" cm="1">
        <f t="array" ref="AC29">INDEX(W_psid!$B$2:$CZ$104,W_!$A29,W_!AC$1)/Ns!$B$1</f>
        <v>1.7853610401399485E-4</v>
      </c>
      <c r="AD29" s="20" cm="1">
        <f t="array" ref="AD29">INDEX(W_psid!$B$2:$CZ$104,W_!$A29,W_!AD$1)/Ns!$B$1</f>
        <v>-2.053164728229227E-3</v>
      </c>
      <c r="AE29" s="20" cm="1">
        <f t="array" ref="AE29">INDEX(W_psid!$B$2:$CZ$104,W_!$A29,W_!AE$1)/Ns!$B$1</f>
        <v>-2.4665480806325537E-4</v>
      </c>
      <c r="AF29" s="20" cm="1">
        <f t="array" ref="AF29">INDEX(W_psid!$B$2:$CZ$104,W_!$A29,W_!AF$1)/Ns!$B$1</f>
        <v>2.4049568383608805E-2</v>
      </c>
      <c r="AG29" s="20" cm="1">
        <f t="array" ref="AG29">INDEX(W_psid!$B$2:$CZ$104,W_!$A29,W_!AG$1)/Ns!$B$1</f>
        <v>2.5503389492001257E-2</v>
      </c>
      <c r="AH29" s="20" cm="1">
        <f t="array" ref="AH29">INDEX(W_psid!$B$2:$CZ$104,W_!$A29,W_!AH$1)/Ns!$B$1</f>
        <v>8.4666644027321902E-5</v>
      </c>
      <c r="AI29" s="20" cm="1">
        <f t="array" ref="AI29">INDEX(W_psid!$B$2:$CZ$104,W_!$A29,W_!AI$1)/Ns!$B$1</f>
        <v>1.6779241014001448E-4</v>
      </c>
      <c r="AJ29" s="20" cm="1">
        <f t="array" ref="AJ29">INDEX(W_psid!$B$2:$CZ$104,W_!$A29,W_!AJ$1)/Ns!$B$1</f>
        <v>-1.919747706672847E-6</v>
      </c>
      <c r="AK29" s="20" cm="1">
        <f t="array" ref="AK29">INDEX(W_psid!$B$2:$CZ$104,W_!$A29,W_!AK$1)/Ns!$B$1</f>
        <v>-4.135033114621843E-3</v>
      </c>
      <c r="AL29" s="20" cm="1">
        <f t="array" ref="AL29">INDEX(W_psid!$B$2:$CZ$104,W_!$A29,W_!AL$1)/Ns!$B$1</f>
        <v>-7.5464921961872619E-3</v>
      </c>
      <c r="AM29" s="20" cm="1">
        <f t="array" ref="AM29">INDEX(W_psid!$B$2:$CZ$104,W_!$A29,W_!AM$1)/Ns!$B$1</f>
        <v>1.3252692690717334E-3</v>
      </c>
      <c r="AN29" s="20" cm="1">
        <f t="array" ref="AN29">INDEX(W_psid!$B$2:$CZ$104,W_!$A29,W_!AN$1)/Ns!$B$1</f>
        <v>-6.1009833339954224E-5</v>
      </c>
      <c r="AO29" s="20" cm="1">
        <f t="array" ref="AO29">INDEX(W_psid!$B$2:$CZ$104,W_!$A29,W_!AO$1)/Ns!$B$1</f>
        <v>-4.6548306894436934E-6</v>
      </c>
      <c r="AP29" s="20" cm="1">
        <f t="array" ref="AP29">INDEX(W_psid!$B$2:$CZ$104,W_!$A29,W_!AP$1)/Ns!$B$1</f>
        <v>4.9755627923127972E-3</v>
      </c>
      <c r="AQ29" s="20" cm="1">
        <f t="array" ref="AQ29">INDEX(W_psid!$B$2:$CZ$104,W_!$A29,W_!AQ$1)/Ns!$B$1</f>
        <v>-5.2193323263044584E-3</v>
      </c>
      <c r="AR29" s="20" cm="1">
        <f t="array" ref="AR29">INDEX(W_psid!$B$2:$CZ$104,W_!$A29,W_!AR$1)/Ns!$B$1</f>
        <v>9.3916838616688852E-3</v>
      </c>
      <c r="AS29" s="20" cm="1">
        <f t="array" ref="AS29">INDEX(W_psid!$B$2:$CZ$104,W_!$A29,W_!AS$1)/Ns!$B$1</f>
        <v>7.305425770786936E-7</v>
      </c>
      <c r="AT29" s="20" cm="1">
        <f t="array" ref="AT29">INDEX(W_psid!$B$2:$CZ$104,W_!$A29,W_!AT$1)/Ns!$B$1</f>
        <v>6.6835914487664794E-6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-7.3172830453045335E-3</v>
      </c>
      <c r="AW29" s="20" cm="1">
        <f t="array" ref="AW29">INDEX(W_psid!$B$2:$CZ$104,W_!$A29,W_!AW$1)/Ns!$B$1</f>
        <v>1.2930535353429995E-4</v>
      </c>
      <c r="AX29" s="20" cm="1">
        <f t="array" ref="AX29">INDEX(W_psid!$B$2:$CZ$104,W_!$A29,W_!AX$1)/Ns!$B$1</f>
        <v>-1.9301222169037884E-3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</row>
    <row r="30" spans="1:58" x14ac:dyDescent="0.3">
      <c r="A30" s="18">
        <f>MATCH(C30,W_psid!$A$2:$A$104,0)</f>
        <v>28</v>
      </c>
      <c r="B30" s="18" t="str">
        <f>MOMS!$A$28</f>
        <v>sdo_dif</v>
      </c>
      <c r="C30" s="18" t="str">
        <f>MOMS!$B$28</f>
        <v>sdo_dif_lm</v>
      </c>
      <c r="D30" s="20" cm="1">
        <f t="array" ref="D30">INDEX(W_psid!$B$2:$CZ$104,W_!$A30,W_!D$1)/Ns!$B$1</f>
        <v>5.5266985172226545E-3</v>
      </c>
      <c r="E30" s="20" cm="1">
        <f t="array" ref="E30">INDEX(W_psid!$B$2:$CZ$104,W_!$A30,W_!E$1)/Ns!$B$1</f>
        <v>6.5536704595642911E-2</v>
      </c>
      <c r="F30" s="20" cm="1">
        <f t="array" ref="F30">INDEX(W_psid!$B$2:$CZ$104,W_!$A30,W_!F$1)/Ns!$B$1</f>
        <v>4.6101415684232865E-2</v>
      </c>
      <c r="G30" s="20" cm="1">
        <f t="array" ref="G30">INDEX(W_psid!$B$2:$CZ$104,W_!$A30,W_!G$1)/Ns!$B$1</f>
        <v>1.0547100697018719</v>
      </c>
      <c r="H30" s="20" cm="1">
        <f t="array" ref="H30">INDEX(W_psid!$B$2:$CZ$104,W_!$A30,W_!H$1)/Ns!$B$1</f>
        <v>-0.26559671672620366</v>
      </c>
      <c r="I30" s="20" cm="1">
        <f t="array" ref="I30">INDEX(W_psid!$B$2:$CZ$104,W_!$A30,W_!I$1)/Ns!$B$1</f>
        <v>-1.4357939532350945</v>
      </c>
      <c r="J30" s="20" cm="1">
        <f t="array" ref="J30">INDEX(W_psid!$B$2:$CZ$104,W_!$A30,W_!J$1)/Ns!$B$1</f>
        <v>-0.96358638740564617</v>
      </c>
      <c r="K30" s="20" cm="1">
        <f t="array" ref="K30">INDEX(W_psid!$B$2:$CZ$104,W_!$A30,W_!K$1)/Ns!$B$1</f>
        <v>-1.3364894143973074</v>
      </c>
      <c r="L30" s="20" cm="1">
        <f t="array" ref="L30">INDEX(W_psid!$B$2:$CZ$104,W_!$A30,W_!L$1)/Ns!$B$1</f>
        <v>0.91664784560207468</v>
      </c>
      <c r="M30" s="20" cm="1">
        <f t="array" ref="M30">INDEX(W_psid!$B$2:$CZ$104,W_!$A30,W_!M$1)/Ns!$B$1</f>
        <v>0.70296330373455151</v>
      </c>
      <c r="N30" s="20" cm="1">
        <f t="array" ref="N30">INDEX(W_psid!$B$2:$CZ$104,W_!$A30,W_!N$1)/Ns!$B$1</f>
        <v>-9.615152321366717E-2</v>
      </c>
      <c r="O30" s="20" cm="1">
        <f t="array" ref="O30">INDEX(W_psid!$B$2:$CZ$104,W_!$A30,W_!O$1)/Ns!$B$1</f>
        <v>-0.64247346018794016</v>
      </c>
      <c r="P30" s="20" cm="1">
        <f t="array" ref="P30">INDEX(W_psid!$B$2:$CZ$104,W_!$A30,W_!P$1)/Ns!$B$1</f>
        <v>0.30950696238472508</v>
      </c>
      <c r="Q30" s="20" cm="1">
        <f t="array" ref="Q30">INDEX(W_psid!$B$2:$CZ$104,W_!$A30,W_!Q$1)/Ns!$B$1</f>
        <v>1.7221667936394278</v>
      </c>
      <c r="R30" s="20" cm="1">
        <f t="array" ref="R30">INDEX(W_psid!$B$2:$CZ$104,W_!$A30,W_!R$1)/Ns!$B$1</f>
        <v>1.2214151664474922</v>
      </c>
      <c r="S30" s="20" cm="1">
        <f t="array" ref="S30">INDEX(W_psid!$B$2:$CZ$104,W_!$A30,W_!S$1)/Ns!$B$1</f>
        <v>1.496822967759983E-4</v>
      </c>
      <c r="T30" s="20" cm="1">
        <f t="array" ref="T30">INDEX(W_psid!$B$2:$CZ$104,W_!$A30,W_!T$1)/Ns!$B$1</f>
        <v>-3.016521056511834E-4</v>
      </c>
      <c r="U30" s="20" cm="1">
        <f t="array" ref="U30">INDEX(W_psid!$B$2:$CZ$104,W_!$A30,W_!U$1)/Ns!$B$1</f>
        <v>-1.2801401029621971E-3</v>
      </c>
      <c r="V30" s="20" cm="1">
        <f t="array" ref="V30">INDEX(W_psid!$B$2:$CZ$104,W_!$A30,W_!V$1)/Ns!$B$1</f>
        <v>-0.13588104316889579</v>
      </c>
      <c r="W30" s="20" cm="1">
        <f t="array" ref="W30">INDEX(W_psid!$B$2:$CZ$104,W_!$A30,W_!W$1)/Ns!$B$1</f>
        <v>-0.13337629652734712</v>
      </c>
      <c r="X30" s="20" cm="1">
        <f t="array" ref="X30">INDEX(W_psid!$B$2:$CZ$104,W_!$A30,W_!X$1)/Ns!$B$1</f>
        <v>-0.12135431071622152</v>
      </c>
      <c r="Y30" s="20" cm="1">
        <f t="array" ref="Y30">INDEX(W_psid!$B$2:$CZ$104,W_!$A30,W_!Y$1)/Ns!$B$1</f>
        <v>-0.10978800838928295</v>
      </c>
      <c r="Z30" s="20" cm="1">
        <f t="array" ref="Z30">INDEX(W_psid!$B$2:$CZ$104,W_!$A30,W_!Z$1)/Ns!$B$1</f>
        <v>-0.10209179526126905</v>
      </c>
      <c r="AA30" s="20" cm="1">
        <f t="array" ref="AA30">INDEX(W_psid!$B$2:$CZ$104,W_!$A30,W_!AA$1)/Ns!$B$1</f>
        <v>-0.12628725412125236</v>
      </c>
      <c r="AB30" s="20" cm="1">
        <f t="array" ref="AB30">INDEX(W_psid!$B$2:$CZ$104,W_!$A30,W_!AB$1)/Ns!$B$1</f>
        <v>-9.773767441235641E-3</v>
      </c>
      <c r="AC30" s="20" cm="1">
        <f t="array" ref="AC30">INDEX(W_psid!$B$2:$CZ$104,W_!$A30,W_!AC$1)/Ns!$B$1</f>
        <v>-2.053164728229227E-3</v>
      </c>
      <c r="AD30" s="20" cm="1">
        <f t="array" ref="AD30">INDEX(W_psid!$B$2:$CZ$104,W_!$A30,W_!AD$1)/Ns!$B$1</f>
        <v>0.1156791448945463</v>
      </c>
      <c r="AE30" s="20" cm="1">
        <f t="array" ref="AE30">INDEX(W_psid!$B$2:$CZ$104,W_!$A30,W_!AE$1)/Ns!$B$1</f>
        <v>-5.8887767537862115E-3</v>
      </c>
      <c r="AF30" s="20" cm="1">
        <f t="array" ref="AF30">INDEX(W_psid!$B$2:$CZ$104,W_!$A30,W_!AF$1)/Ns!$B$1</f>
        <v>-1.0182297404895242</v>
      </c>
      <c r="AG30" s="20" cm="1">
        <f t="array" ref="AG30">INDEX(W_psid!$B$2:$CZ$104,W_!$A30,W_!AG$1)/Ns!$B$1</f>
        <v>-0.88765085662722554</v>
      </c>
      <c r="AH30" s="20" cm="1">
        <f t="array" ref="AH30">INDEX(W_psid!$B$2:$CZ$104,W_!$A30,W_!AH$1)/Ns!$B$1</f>
        <v>-6.7929648578460098E-3</v>
      </c>
      <c r="AI30" s="20" cm="1">
        <f t="array" ref="AI30">INDEX(W_psid!$B$2:$CZ$104,W_!$A30,W_!AI$1)/Ns!$B$1</f>
        <v>-6.1370362308152179E-3</v>
      </c>
      <c r="AJ30" s="20" cm="1">
        <f t="array" ref="AJ30">INDEX(W_psid!$B$2:$CZ$104,W_!$A30,W_!AJ$1)/Ns!$B$1</f>
        <v>1.7098610039783467E-5</v>
      </c>
      <c r="AK30" s="20" cm="1">
        <f t="array" ref="AK30">INDEX(W_psid!$B$2:$CZ$104,W_!$A30,W_!AK$1)/Ns!$B$1</f>
        <v>-6.394000041331652E-3</v>
      </c>
      <c r="AL30" s="20" cm="1">
        <f t="array" ref="AL30">INDEX(W_psid!$B$2:$CZ$104,W_!$A30,W_!AL$1)/Ns!$B$1</f>
        <v>5.9390359635492537E-2</v>
      </c>
      <c r="AM30" s="20" cm="1">
        <f t="array" ref="AM30">INDEX(W_psid!$B$2:$CZ$104,W_!$A30,W_!AM$1)/Ns!$B$1</f>
        <v>3.4649981734617426E-2</v>
      </c>
      <c r="AN30" s="20" cm="1">
        <f t="array" ref="AN30">INDEX(W_psid!$B$2:$CZ$104,W_!$A30,W_!AN$1)/Ns!$B$1</f>
        <v>1.9450196812617854E-3</v>
      </c>
      <c r="AO30" s="20" cm="1">
        <f t="array" ref="AO30">INDEX(W_psid!$B$2:$CZ$104,W_!$A30,W_!AO$1)/Ns!$B$1</f>
        <v>5.0117502250737949E-5</v>
      </c>
      <c r="AP30" s="20" cm="1">
        <f t="array" ref="AP30">INDEX(W_psid!$B$2:$CZ$104,W_!$A30,W_!AP$1)/Ns!$B$1</f>
        <v>1.4874061589443395</v>
      </c>
      <c r="AQ30" s="20" cm="1">
        <f t="array" ref="AQ30">INDEX(W_psid!$B$2:$CZ$104,W_!$A30,W_!AQ$1)/Ns!$B$1</f>
        <v>1.1421436367345346</v>
      </c>
      <c r="AR30" s="20" cm="1">
        <f t="array" ref="AR30">INDEX(W_psid!$B$2:$CZ$104,W_!$A30,W_!AR$1)/Ns!$B$1</f>
        <v>-0.59450513893566059</v>
      </c>
      <c r="AS30" s="20" cm="1">
        <f t="array" ref="AS30">INDEX(W_psid!$B$2:$CZ$104,W_!$A30,W_!AS$1)/Ns!$B$1</f>
        <v>2.6171396691856661E-5</v>
      </c>
      <c r="AT30" s="20" cm="1">
        <f t="array" ref="AT30">INDEX(W_psid!$B$2:$CZ$104,W_!$A30,W_!AT$1)/Ns!$B$1</f>
        <v>-4.6957742891632406E-4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-0.26762386860343318</v>
      </c>
      <c r="AW30" s="20" cm="1">
        <f t="array" ref="AW30">INDEX(W_psid!$B$2:$CZ$104,W_!$A30,W_!AW$1)/Ns!$B$1</f>
        <v>-4.6748032210647154E-2</v>
      </c>
      <c r="AX30" s="20" cm="1">
        <f t="array" ref="AX30">INDEX(W_psid!$B$2:$CZ$104,W_!$A30,W_!AX$1)/Ns!$B$1</f>
        <v>0.10601693046960611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</row>
    <row r="31" spans="1:58" x14ac:dyDescent="0.3">
      <c r="A31" s="18">
        <f>MATCH(C31,W_psid!$A$2:$A$104,0)</f>
        <v>27</v>
      </c>
      <c r="B31" s="18" t="str">
        <f>MOMS!$A$29</f>
        <v>wdo_dif</v>
      </c>
      <c r="C31" s="18" t="str">
        <f>MOMS!$B$29</f>
        <v>wdo_dif_lm</v>
      </c>
      <c r="D31" s="20" cm="1">
        <f t="array" ref="D31">INDEX(W_psid!$B$2:$CZ$104,W_!$A31,W_!D$1)/Ns!$B$1</f>
        <v>-1.447866874641032E-3</v>
      </c>
      <c r="E31" s="20" cm="1">
        <f t="array" ref="E31">INDEX(W_psid!$B$2:$CZ$104,W_!$A31,W_!E$1)/Ns!$B$1</f>
        <v>5.5938954686950704E-3</v>
      </c>
      <c r="F31" s="20" cm="1">
        <f t="array" ref="F31">INDEX(W_psid!$B$2:$CZ$104,W_!$A31,W_!F$1)/Ns!$B$1</f>
        <v>4.7111619431384149E-4</v>
      </c>
      <c r="G31" s="20" cm="1">
        <f t="array" ref="G31">INDEX(W_psid!$B$2:$CZ$104,W_!$A31,W_!G$1)/Ns!$B$1</f>
        <v>0.63031186983693155</v>
      </c>
      <c r="H31" s="20" cm="1">
        <f t="array" ref="H31">INDEX(W_psid!$B$2:$CZ$104,W_!$A31,W_!H$1)/Ns!$B$1</f>
        <v>-0.26039377264266361</v>
      </c>
      <c r="I31" s="20" cm="1">
        <f t="array" ref="I31">INDEX(W_psid!$B$2:$CZ$104,W_!$A31,W_!I$1)/Ns!$B$1</f>
        <v>-0.17009984637748227</v>
      </c>
      <c r="J31" s="20" cm="1">
        <f t="array" ref="J31">INDEX(W_psid!$B$2:$CZ$104,W_!$A31,W_!J$1)/Ns!$B$1</f>
        <v>9.7372325762690434E-2</v>
      </c>
      <c r="K31" s="20" cm="1">
        <f t="array" ref="K31">INDEX(W_psid!$B$2:$CZ$104,W_!$A31,W_!K$1)/Ns!$B$1</f>
        <v>-0.37885947032944978</v>
      </c>
      <c r="L31" s="20" cm="1">
        <f t="array" ref="L31">INDEX(W_psid!$B$2:$CZ$104,W_!$A31,W_!L$1)/Ns!$B$1</f>
        <v>0.31789305672521695</v>
      </c>
      <c r="M31" s="20" cm="1">
        <f t="array" ref="M31">INDEX(W_psid!$B$2:$CZ$104,W_!$A31,W_!M$1)/Ns!$B$1</f>
        <v>5.107022415887106E-2</v>
      </c>
      <c r="N31" s="20" cm="1">
        <f t="array" ref="N31">INDEX(W_psid!$B$2:$CZ$104,W_!$A31,W_!N$1)/Ns!$B$1</f>
        <v>-3.0076543513120623E-2</v>
      </c>
      <c r="O31" s="20" cm="1">
        <f t="array" ref="O31">INDEX(W_psid!$B$2:$CZ$104,W_!$A31,W_!O$1)/Ns!$B$1</f>
        <v>-0.27387519055746368</v>
      </c>
      <c r="P31" s="20" cm="1">
        <f t="array" ref="P31">INDEX(W_psid!$B$2:$CZ$104,W_!$A31,W_!P$1)/Ns!$B$1</f>
        <v>-1.0122397587703936E-3</v>
      </c>
      <c r="Q31" s="20" cm="1">
        <f t="array" ref="Q31">INDEX(W_psid!$B$2:$CZ$104,W_!$A31,W_!Q$1)/Ns!$B$1</f>
        <v>-0.73190077955316901</v>
      </c>
      <c r="R31" s="20" cm="1">
        <f t="array" ref="R31">INDEX(W_psid!$B$2:$CZ$104,W_!$A31,W_!R$1)/Ns!$B$1</f>
        <v>2.367473806744164E-2</v>
      </c>
      <c r="S31" s="20" cm="1">
        <f t="array" ref="S31">INDEX(W_psid!$B$2:$CZ$104,W_!$A31,W_!S$1)/Ns!$B$1</f>
        <v>1.5323663901675204E-4</v>
      </c>
      <c r="T31" s="20" cm="1">
        <f t="array" ref="T31">INDEX(W_psid!$B$2:$CZ$104,W_!$A31,W_!T$1)/Ns!$B$1</f>
        <v>4.0239332772022007E-5</v>
      </c>
      <c r="U31" s="20" cm="1">
        <f t="array" ref="U31">INDEX(W_psid!$B$2:$CZ$104,W_!$A31,W_!U$1)/Ns!$B$1</f>
        <v>6.0261004515246711E-4</v>
      </c>
      <c r="V31" s="20" cm="1">
        <f t="array" ref="V31">INDEX(W_psid!$B$2:$CZ$104,W_!$A31,W_!V$1)/Ns!$B$1</f>
        <v>-4.804050493766264E-2</v>
      </c>
      <c r="W31" s="20" cm="1">
        <f t="array" ref="W31">INDEX(W_psid!$B$2:$CZ$104,W_!$A31,W_!W$1)/Ns!$B$1</f>
        <v>-4.7906120349139859E-2</v>
      </c>
      <c r="X31" s="20" cm="1">
        <f t="array" ref="X31">INDEX(W_psid!$B$2:$CZ$104,W_!$A31,W_!X$1)/Ns!$B$1</f>
        <v>-3.5180851459039646E-2</v>
      </c>
      <c r="Y31" s="20" cm="1">
        <f t="array" ref="Y31">INDEX(W_psid!$B$2:$CZ$104,W_!$A31,W_!Y$1)/Ns!$B$1</f>
        <v>-3.2945741066055148E-2</v>
      </c>
      <c r="Z31" s="20" cm="1">
        <f t="array" ref="Z31">INDEX(W_psid!$B$2:$CZ$104,W_!$A31,W_!Z$1)/Ns!$B$1</f>
        <v>-2.4415957498807667E-2</v>
      </c>
      <c r="AA31" s="20" cm="1">
        <f t="array" ref="AA31">INDEX(W_psid!$B$2:$CZ$104,W_!$A31,W_!AA$1)/Ns!$B$1</f>
        <v>-2.6475275246766471E-2</v>
      </c>
      <c r="AB31" s="20" cm="1">
        <f t="array" ref="AB31">INDEX(W_psid!$B$2:$CZ$104,W_!$A31,W_!AB$1)/Ns!$B$1</f>
        <v>-8.554702753211945E-3</v>
      </c>
      <c r="AC31" s="20" cm="1">
        <f t="array" ref="AC31">INDEX(W_psid!$B$2:$CZ$104,W_!$A31,W_!AC$1)/Ns!$B$1</f>
        <v>-2.4665480806325537E-4</v>
      </c>
      <c r="AD31" s="20" cm="1">
        <f t="array" ref="AD31">INDEX(W_psid!$B$2:$CZ$104,W_!$A31,W_!AD$1)/Ns!$B$1</f>
        <v>-5.8887767537862115E-3</v>
      </c>
      <c r="AE31" s="20" cm="1">
        <f t="array" ref="AE31">INDEX(W_psid!$B$2:$CZ$104,W_!$A31,W_!AE$1)/Ns!$B$1</f>
        <v>2.7875274387158443E-2</v>
      </c>
      <c r="AF31" s="20" cm="1">
        <f t="array" ref="AF31">INDEX(W_psid!$B$2:$CZ$104,W_!$A31,W_!AF$1)/Ns!$B$1</f>
        <v>-0.38568065967779824</v>
      </c>
      <c r="AG31" s="20" cm="1">
        <f t="array" ref="AG31">INDEX(W_psid!$B$2:$CZ$104,W_!$A31,W_!AG$1)/Ns!$B$1</f>
        <v>-0.36567184187606339</v>
      </c>
      <c r="AH31" s="20" cm="1">
        <f t="array" ref="AH31">INDEX(W_psid!$B$2:$CZ$104,W_!$A31,W_!AH$1)/Ns!$B$1</f>
        <v>-3.9051509800162404E-4</v>
      </c>
      <c r="AI31" s="20" cm="1">
        <f t="array" ref="AI31">INDEX(W_psid!$B$2:$CZ$104,W_!$A31,W_!AI$1)/Ns!$B$1</f>
        <v>-1.3065711286358369E-3</v>
      </c>
      <c r="AJ31" s="20" cm="1">
        <f t="array" ref="AJ31">INDEX(W_psid!$B$2:$CZ$104,W_!$A31,W_!AJ$1)/Ns!$B$1</f>
        <v>2.7837156811246061E-5</v>
      </c>
      <c r="AK31" s="20" cm="1">
        <f t="array" ref="AK31">INDEX(W_psid!$B$2:$CZ$104,W_!$A31,W_!AK$1)/Ns!$B$1</f>
        <v>8.5416559741717801E-2</v>
      </c>
      <c r="AL31" s="20" cm="1">
        <f t="array" ref="AL31">INDEX(W_psid!$B$2:$CZ$104,W_!$A31,W_!AL$1)/Ns!$B$1</f>
        <v>0.12678892730171853</v>
      </c>
      <c r="AM31" s="20" cm="1">
        <f t="array" ref="AM31">INDEX(W_psid!$B$2:$CZ$104,W_!$A31,W_!AM$1)/Ns!$B$1</f>
        <v>-3.7301706646152635E-3</v>
      </c>
      <c r="AN31" s="20" cm="1">
        <f t="array" ref="AN31">INDEX(W_psid!$B$2:$CZ$104,W_!$A31,W_!AN$1)/Ns!$B$1</f>
        <v>5.2036308219859691E-5</v>
      </c>
      <c r="AO31" s="20" cm="1">
        <f t="array" ref="AO31">INDEX(W_psid!$B$2:$CZ$104,W_!$A31,W_!AO$1)/Ns!$B$1</f>
        <v>-6.2334784853519364E-5</v>
      </c>
      <c r="AP31" s="20" cm="1">
        <f t="array" ref="AP31">INDEX(W_psid!$B$2:$CZ$104,W_!$A31,W_!AP$1)/Ns!$B$1</f>
        <v>-0.25698054514153529</v>
      </c>
      <c r="AQ31" s="20" cm="1">
        <f t="array" ref="AQ31">INDEX(W_psid!$B$2:$CZ$104,W_!$A31,W_!AQ$1)/Ns!$B$1</f>
        <v>-0.27282529006706513</v>
      </c>
      <c r="AR31" s="20" cm="1">
        <f t="array" ref="AR31">INDEX(W_psid!$B$2:$CZ$104,W_!$A31,W_!AR$1)/Ns!$B$1</f>
        <v>1.3402761220599335E-2</v>
      </c>
      <c r="AS31" s="20" cm="1">
        <f t="array" ref="AS31">INDEX(W_psid!$B$2:$CZ$104,W_!$A31,W_!AS$1)/Ns!$B$1</f>
        <v>3.4410414685268221E-6</v>
      </c>
      <c r="AT31" s="20" cm="1">
        <f t="array" ref="AT31">INDEX(W_psid!$B$2:$CZ$104,W_!$A31,W_!AT$1)/Ns!$B$1</f>
        <v>1.0545226744964101E-5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-0.24754567812059189</v>
      </c>
      <c r="AW31" s="20" cm="1">
        <f t="array" ref="AW31">INDEX(W_psid!$B$2:$CZ$104,W_!$A31,W_!AW$1)/Ns!$B$1</f>
        <v>5.482677475681064E-3</v>
      </c>
      <c r="AX31" s="20" cm="1">
        <f t="array" ref="AX31">INDEX(W_psid!$B$2:$CZ$104,W_!$A31,W_!AX$1)/Ns!$B$1</f>
        <v>-1.8954543285797281E-3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</row>
    <row r="32" spans="1:58" x14ac:dyDescent="0.3">
      <c r="A32" s="18">
        <f>MATCH(C32,W_psid!$A$2:$A$104,0)</f>
        <v>63</v>
      </c>
      <c r="B32" s="18" t="str">
        <f>MOMS!$A$30</f>
        <v>do_sd</v>
      </c>
      <c r="C32" s="18" t="str">
        <f>MOMS!$B$30</f>
        <v>do_sd_inmsa</v>
      </c>
      <c r="D32" s="20" cm="1">
        <f t="array" ref="D32">INDEX(W_psid!$B$2:$CZ$104,W_!$A32,W_!D$1)/Ns!$B$1</f>
        <v>-1.0464585743741353</v>
      </c>
      <c r="E32" s="20" cm="1">
        <f t="array" ref="E32">INDEX(W_psid!$B$2:$CZ$104,W_!$A32,W_!E$1)/Ns!$B$1</f>
        <v>-2.2876864466641882</v>
      </c>
      <c r="F32" s="20" cm="1">
        <f t="array" ref="F32">INDEX(W_psid!$B$2:$CZ$104,W_!$A32,W_!F$1)/Ns!$B$1</f>
        <v>-3.3203917938204288</v>
      </c>
      <c r="G32" s="20" cm="1">
        <f t="array" ref="G32">INDEX(W_psid!$B$2:$CZ$104,W_!$A32,W_!G$1)/Ns!$B$1</f>
        <v>-123.54837249714191</v>
      </c>
      <c r="H32" s="20" cm="1">
        <f t="array" ref="H32">INDEX(W_psid!$B$2:$CZ$104,W_!$A32,W_!H$1)/Ns!$B$1</f>
        <v>28.908313366023034</v>
      </c>
      <c r="I32" s="20" cm="1">
        <f t="array" ref="I32">INDEX(W_psid!$B$2:$CZ$104,W_!$A32,W_!I$1)/Ns!$B$1</f>
        <v>51.845177441440271</v>
      </c>
      <c r="J32" s="20" cm="1">
        <f t="array" ref="J32">INDEX(W_psid!$B$2:$CZ$104,W_!$A32,W_!J$1)/Ns!$B$1</f>
        <v>52.3821762171278</v>
      </c>
      <c r="K32" s="20" cm="1">
        <f t="array" ref="K32">INDEX(W_psid!$B$2:$CZ$104,W_!$A32,W_!K$1)/Ns!$B$1</f>
        <v>54.921637570637408</v>
      </c>
      <c r="L32" s="20" cm="1">
        <f t="array" ref="L32">INDEX(W_psid!$B$2:$CZ$104,W_!$A32,W_!L$1)/Ns!$B$1</f>
        <v>-5.3063829625496872</v>
      </c>
      <c r="M32" s="20" cm="1">
        <f t="array" ref="M32">INDEX(W_psid!$B$2:$CZ$104,W_!$A32,W_!M$1)/Ns!$B$1</f>
        <v>-22.107499942753158</v>
      </c>
      <c r="N32" s="20" cm="1">
        <f t="array" ref="N32">INDEX(W_psid!$B$2:$CZ$104,W_!$A32,W_!N$1)/Ns!$B$1</f>
        <v>8.2429462752879576</v>
      </c>
      <c r="O32" s="20" cm="1">
        <f t="array" ref="O32">INDEX(W_psid!$B$2:$CZ$104,W_!$A32,W_!O$1)/Ns!$B$1</f>
        <v>-21.648413594580806</v>
      </c>
      <c r="P32" s="20" cm="1">
        <f t="array" ref="P32">INDEX(W_psid!$B$2:$CZ$104,W_!$A32,W_!P$1)/Ns!$B$1</f>
        <v>-12.294416310687279</v>
      </c>
      <c r="Q32" s="20" cm="1">
        <f t="array" ref="Q32">INDEX(W_psid!$B$2:$CZ$104,W_!$A32,W_!Q$1)/Ns!$B$1</f>
        <v>21.471606413558508</v>
      </c>
      <c r="R32" s="20" cm="1">
        <f t="array" ref="R32">INDEX(W_psid!$B$2:$CZ$104,W_!$A32,W_!R$1)/Ns!$B$1</f>
        <v>-74.093544163415288</v>
      </c>
      <c r="S32" s="20" cm="1">
        <f t="array" ref="S32">INDEX(W_psid!$B$2:$CZ$104,W_!$A32,W_!S$1)/Ns!$B$1</f>
        <v>-2.0093577529196344E-2</v>
      </c>
      <c r="T32" s="20" cm="1">
        <f t="array" ref="T32">INDEX(W_psid!$B$2:$CZ$104,W_!$A32,W_!T$1)/Ns!$B$1</f>
        <v>6.3006164722277675E-3</v>
      </c>
      <c r="U32" s="20" cm="1">
        <f t="array" ref="U32">INDEX(W_psid!$B$2:$CZ$104,W_!$A32,W_!U$1)/Ns!$B$1</f>
        <v>1.2902948916350153E-2</v>
      </c>
      <c r="V32" s="20" cm="1">
        <f t="array" ref="V32">INDEX(W_psid!$B$2:$CZ$104,W_!$A32,W_!V$1)/Ns!$B$1</f>
        <v>9.7617157011900453</v>
      </c>
      <c r="W32" s="20" cm="1">
        <f t="array" ref="W32">INDEX(W_psid!$B$2:$CZ$104,W_!$A32,W_!W$1)/Ns!$B$1</f>
        <v>9.6757815071780602</v>
      </c>
      <c r="X32" s="20" cm="1">
        <f t="array" ref="X32">INDEX(W_psid!$B$2:$CZ$104,W_!$A32,W_!X$1)/Ns!$B$1</f>
        <v>5.319462110886052</v>
      </c>
      <c r="Y32" s="20" cm="1">
        <f t="array" ref="Y32">INDEX(W_psid!$B$2:$CZ$104,W_!$A32,W_!Y$1)/Ns!$B$1</f>
        <v>4.3685095392803843</v>
      </c>
      <c r="Z32" s="20" cm="1">
        <f t="array" ref="Z32">INDEX(W_psid!$B$2:$CZ$104,W_!$A32,W_!Z$1)/Ns!$B$1</f>
        <v>3.9633315979774451</v>
      </c>
      <c r="AA32" s="20" cm="1">
        <f t="array" ref="AA32">INDEX(W_psid!$B$2:$CZ$104,W_!$A32,W_!AA$1)/Ns!$B$1</f>
        <v>4.9883986924947061</v>
      </c>
      <c r="AB32" s="20" cm="1">
        <f t="array" ref="AB32">INDEX(W_psid!$B$2:$CZ$104,W_!$A32,W_!AB$1)/Ns!$B$1</f>
        <v>0.33432351040029673</v>
      </c>
      <c r="AC32" s="20" cm="1">
        <f t="array" ref="AC32">INDEX(W_psid!$B$2:$CZ$104,W_!$A32,W_!AC$1)/Ns!$B$1</f>
        <v>2.4049568383608805E-2</v>
      </c>
      <c r="AD32" s="20" cm="1">
        <f t="array" ref="AD32">INDEX(W_psid!$B$2:$CZ$104,W_!$A32,W_!AD$1)/Ns!$B$1</f>
        <v>-1.0182297404895242</v>
      </c>
      <c r="AE32" s="20" cm="1">
        <f t="array" ref="AE32">INDEX(W_psid!$B$2:$CZ$104,W_!$A32,W_!AE$1)/Ns!$B$1</f>
        <v>-0.38568065967779824</v>
      </c>
      <c r="AF32" s="20" cm="1">
        <f t="array" ref="AF32">INDEX(W_psid!$B$2:$CZ$104,W_!$A32,W_!AF$1)/Ns!$B$1</f>
        <v>115.76372102520766</v>
      </c>
      <c r="AG32" s="20" cm="1">
        <f t="array" ref="AG32">INDEX(W_psid!$B$2:$CZ$104,W_!$A32,W_!AG$1)/Ns!$B$1</f>
        <v>104.03646359675584</v>
      </c>
      <c r="AH32" s="20" cm="1">
        <f t="array" ref="AH32">INDEX(W_psid!$B$2:$CZ$104,W_!$A32,W_!AH$1)/Ns!$B$1</f>
        <v>0.25637094337980576</v>
      </c>
      <c r="AI32" s="20" cm="1">
        <f t="array" ref="AI32">INDEX(W_psid!$B$2:$CZ$104,W_!$A32,W_!AI$1)/Ns!$B$1</f>
        <v>7.7266733810900767E-2</v>
      </c>
      <c r="AJ32" s="20" cm="1">
        <f t="array" ref="AJ32">INDEX(W_psid!$B$2:$CZ$104,W_!$A32,W_!AJ$1)/Ns!$B$1</f>
        <v>-1.9893157929434494E-3</v>
      </c>
      <c r="AK32" s="20" cm="1">
        <f t="array" ref="AK32">INDEX(W_psid!$B$2:$CZ$104,W_!$A32,W_!AK$1)/Ns!$B$1</f>
        <v>-4.6701051936936935</v>
      </c>
      <c r="AL32" s="20" cm="1">
        <f t="array" ref="AL32">INDEX(W_psid!$B$2:$CZ$104,W_!$A32,W_!AL$1)/Ns!$B$1</f>
        <v>-8.3087689012876993</v>
      </c>
      <c r="AM32" s="20" cm="1">
        <f t="array" ref="AM32">INDEX(W_psid!$B$2:$CZ$104,W_!$A32,W_!AM$1)/Ns!$B$1</f>
        <v>0.92379144745822162</v>
      </c>
      <c r="AN32" s="20" cm="1">
        <f t="array" ref="AN32">INDEX(W_psid!$B$2:$CZ$104,W_!$A32,W_!AN$1)/Ns!$B$1</f>
        <v>0.43651259841409895</v>
      </c>
      <c r="AO32" s="20" cm="1">
        <f t="array" ref="AO32">INDEX(W_psid!$B$2:$CZ$104,W_!$A32,W_!AO$1)/Ns!$B$1</f>
        <v>2.3431880989195227E-3</v>
      </c>
      <c r="AP32" s="20" cm="1">
        <f t="array" ref="AP32">INDEX(W_psid!$B$2:$CZ$104,W_!$A32,W_!AP$1)/Ns!$B$1</f>
        <v>-39.952621398723068</v>
      </c>
      <c r="AQ32" s="20" cm="1">
        <f t="array" ref="AQ32">INDEX(W_psid!$B$2:$CZ$104,W_!$A32,W_!AQ$1)/Ns!$B$1</f>
        <v>-34.147072636141289</v>
      </c>
      <c r="AR32" s="20" cm="1">
        <f t="array" ref="AR32">INDEX(W_psid!$B$2:$CZ$104,W_!$A32,W_!AR$1)/Ns!$B$1</f>
        <v>31.867396680927978</v>
      </c>
      <c r="AS32" s="20" cm="1">
        <f t="array" ref="AS32">INDEX(W_psid!$B$2:$CZ$104,W_!$A32,W_!AS$1)/Ns!$B$1</f>
        <v>1.0473584743930075E-3</v>
      </c>
      <c r="AT32" s="20" cm="1">
        <f t="array" ref="AT32">INDEX(W_psid!$B$2:$CZ$104,W_!$A32,W_!AT$1)/Ns!$B$1</f>
        <v>-3.9283865240961387E-3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60.448619112331428</v>
      </c>
      <c r="AW32" s="20" cm="1">
        <f t="array" ref="AW32">INDEX(W_psid!$B$2:$CZ$104,W_!$A32,W_!AW$1)/Ns!$B$1</f>
        <v>1.1331417007402109</v>
      </c>
      <c r="AX32" s="20" cm="1">
        <f t="array" ref="AX32">INDEX(W_psid!$B$2:$CZ$104,W_!$A32,W_!AX$1)/Ns!$B$1</f>
        <v>-1.349283405603154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</row>
    <row r="33" spans="1:58" x14ac:dyDescent="0.3">
      <c r="A33" s="18">
        <f>MATCH(C33,W_psid!$A$2:$A$104,0)</f>
        <v>64</v>
      </c>
      <c r="B33" s="18" t="str">
        <f>MOMS!$A31</f>
        <v>dj_sd</v>
      </c>
      <c r="C33" s="18" t="str">
        <f>MOMS!$B$31</f>
        <v>dj_sd_inmsa</v>
      </c>
      <c r="D33" s="20" cm="1">
        <f t="array" ref="D33">INDEX(W_psid!$B$2:$CZ$104,W_!$A33,W_!D$1)/Ns!$B$1</f>
        <v>-0.94032595329383661</v>
      </c>
      <c r="E33" s="20" cm="1">
        <f t="array" ref="E33">INDEX(W_psid!$B$2:$CZ$104,W_!$A33,W_!E$1)/Ns!$B$1</f>
        <v>-1.9870213895599973</v>
      </c>
      <c r="F33" s="20" cm="1">
        <f t="array" ref="F33">INDEX(W_psid!$B$2:$CZ$104,W_!$A33,W_!F$1)/Ns!$B$1</f>
        <v>-3.0369812641366121</v>
      </c>
      <c r="G33" s="20" cm="1">
        <f t="array" ref="G33">INDEX(W_psid!$B$2:$CZ$104,W_!$A33,W_!G$1)/Ns!$B$1</f>
        <v>-112.23045756153341</v>
      </c>
      <c r="H33" s="20" cm="1">
        <f t="array" ref="H33">INDEX(W_psid!$B$2:$CZ$104,W_!$A33,W_!H$1)/Ns!$B$1</f>
        <v>26.80701487485868</v>
      </c>
      <c r="I33" s="20" cm="1">
        <f t="array" ref="I33">INDEX(W_psid!$B$2:$CZ$104,W_!$A33,W_!I$1)/Ns!$B$1</f>
        <v>45.063780527790215</v>
      </c>
      <c r="J33" s="20" cm="1">
        <f t="array" ref="J33">INDEX(W_psid!$B$2:$CZ$104,W_!$A33,W_!J$1)/Ns!$B$1</f>
        <v>44.432289848033982</v>
      </c>
      <c r="K33" s="20" cm="1">
        <f t="array" ref="K33">INDEX(W_psid!$B$2:$CZ$104,W_!$A33,W_!K$1)/Ns!$B$1</f>
        <v>46.650929217172575</v>
      </c>
      <c r="L33" s="20" cm="1">
        <f t="array" ref="L33">INDEX(W_psid!$B$2:$CZ$104,W_!$A33,W_!L$1)/Ns!$B$1</f>
        <v>-3.2278634343480892</v>
      </c>
      <c r="M33" s="20" cm="1">
        <f t="array" ref="M33">INDEX(W_psid!$B$2:$CZ$104,W_!$A33,W_!M$1)/Ns!$B$1</f>
        <v>-17.064284485574564</v>
      </c>
      <c r="N33" s="20" cm="1">
        <f t="array" ref="N33">INDEX(W_psid!$B$2:$CZ$104,W_!$A33,W_!N$1)/Ns!$B$1</f>
        <v>8.0194735152615628</v>
      </c>
      <c r="O33" s="20" cm="1">
        <f t="array" ref="O33">INDEX(W_psid!$B$2:$CZ$104,W_!$A33,W_!O$1)/Ns!$B$1</f>
        <v>-19.195060326575124</v>
      </c>
      <c r="P33" s="20" cm="1">
        <f t="array" ref="P33">INDEX(W_psid!$B$2:$CZ$104,W_!$A33,W_!P$1)/Ns!$B$1</f>
        <v>-9.5652237032338512</v>
      </c>
      <c r="Q33" s="20" cm="1">
        <f t="array" ref="Q33">INDEX(W_psid!$B$2:$CZ$104,W_!$A33,W_!Q$1)/Ns!$B$1</f>
        <v>17.300620369107168</v>
      </c>
      <c r="R33" s="20" cm="1">
        <f t="array" ref="R33">INDEX(W_psid!$B$2:$CZ$104,W_!$A33,W_!R$1)/Ns!$B$1</f>
        <v>-63.043721017964131</v>
      </c>
      <c r="S33" s="20" cm="1">
        <f t="array" ref="S33">INDEX(W_psid!$B$2:$CZ$104,W_!$A33,W_!S$1)/Ns!$B$1</f>
        <v>-1.8480624435300578E-2</v>
      </c>
      <c r="T33" s="20" cm="1">
        <f t="array" ref="T33">INDEX(W_psid!$B$2:$CZ$104,W_!$A33,W_!T$1)/Ns!$B$1</f>
        <v>5.8366682468646135E-3</v>
      </c>
      <c r="U33" s="20" cm="1">
        <f t="array" ref="U33">INDEX(W_psid!$B$2:$CZ$104,W_!$A33,W_!U$1)/Ns!$B$1</f>
        <v>8.0081622011309844E-3</v>
      </c>
      <c r="V33" s="20" cm="1">
        <f t="array" ref="V33">INDEX(W_psid!$B$2:$CZ$104,W_!$A33,W_!V$1)/Ns!$B$1</f>
        <v>8.7348015658355997</v>
      </c>
      <c r="W33" s="20" cm="1">
        <f t="array" ref="W33">INDEX(W_psid!$B$2:$CZ$104,W_!$A33,W_!W$1)/Ns!$B$1</f>
        <v>8.6627688835358985</v>
      </c>
      <c r="X33" s="20" cm="1">
        <f t="array" ref="X33">INDEX(W_psid!$B$2:$CZ$104,W_!$A33,W_!X$1)/Ns!$B$1</f>
        <v>4.5563806718211284</v>
      </c>
      <c r="Y33" s="20" cm="1">
        <f t="array" ref="Y33">INDEX(W_psid!$B$2:$CZ$104,W_!$A33,W_!Y$1)/Ns!$B$1</f>
        <v>3.7312871203107041</v>
      </c>
      <c r="Z33" s="20" cm="1">
        <f t="array" ref="Z33">INDEX(W_psid!$B$2:$CZ$104,W_!$A33,W_!Z$1)/Ns!$B$1</f>
        <v>3.3877157345246185</v>
      </c>
      <c r="AA33" s="20" cm="1">
        <f t="array" ref="AA33">INDEX(W_psid!$B$2:$CZ$104,W_!$A33,W_!AA$1)/Ns!$B$1</f>
        <v>4.259446766872073</v>
      </c>
      <c r="AB33" s="20" cm="1">
        <f t="array" ref="AB33">INDEX(W_psid!$B$2:$CZ$104,W_!$A33,W_!AB$1)/Ns!$B$1</f>
        <v>0.2788861699097413</v>
      </c>
      <c r="AC33" s="20" cm="1">
        <f t="array" ref="AC33">INDEX(W_psid!$B$2:$CZ$104,W_!$A33,W_!AC$1)/Ns!$B$1</f>
        <v>2.5503389492001257E-2</v>
      </c>
      <c r="AD33" s="20" cm="1">
        <f t="array" ref="AD33">INDEX(W_psid!$B$2:$CZ$104,W_!$A33,W_!AD$1)/Ns!$B$1</f>
        <v>-0.88765085662722554</v>
      </c>
      <c r="AE33" s="20" cm="1">
        <f t="array" ref="AE33">INDEX(W_psid!$B$2:$CZ$104,W_!$A33,W_!AE$1)/Ns!$B$1</f>
        <v>-0.36567184187606339</v>
      </c>
      <c r="AF33" s="20" cm="1">
        <f t="array" ref="AF33">INDEX(W_psid!$B$2:$CZ$104,W_!$A33,W_!AF$1)/Ns!$B$1</f>
        <v>104.03646359675584</v>
      </c>
      <c r="AG33" s="20" cm="1">
        <f t="array" ref="AG33">INDEX(W_psid!$B$2:$CZ$104,W_!$A33,W_!AG$1)/Ns!$B$1</f>
        <v>94.238069585945553</v>
      </c>
      <c r="AH33" s="20" cm="1">
        <f t="array" ref="AH33">INDEX(W_psid!$B$2:$CZ$104,W_!$A33,W_!AH$1)/Ns!$B$1</f>
        <v>0.22024641648374993</v>
      </c>
      <c r="AI33" s="20" cm="1">
        <f t="array" ref="AI33">INDEX(W_psid!$B$2:$CZ$104,W_!$A33,W_!AI$1)/Ns!$B$1</f>
        <v>8.2602610232676871E-2</v>
      </c>
      <c r="AJ33" s="20" cm="1">
        <f t="array" ref="AJ33">INDEX(W_psid!$B$2:$CZ$104,W_!$A33,W_!AJ$1)/Ns!$B$1</f>
        <v>-1.9033079453710669E-3</v>
      </c>
      <c r="AK33" s="20" cm="1">
        <f t="array" ref="AK33">INDEX(W_psid!$B$2:$CZ$104,W_!$A33,W_!AK$1)/Ns!$B$1</f>
        <v>-4.4955186035251202</v>
      </c>
      <c r="AL33" s="20" cm="1">
        <f t="array" ref="AL33">INDEX(W_psid!$B$2:$CZ$104,W_!$A33,W_!AL$1)/Ns!$B$1</f>
        <v>-7.95228609594768</v>
      </c>
      <c r="AM33" s="20" cm="1">
        <f t="array" ref="AM33">INDEX(W_psid!$B$2:$CZ$104,W_!$A33,W_!AM$1)/Ns!$B$1</f>
        <v>0.96403812146753343</v>
      </c>
      <c r="AN33" s="20" cm="1">
        <f t="array" ref="AN33">INDEX(W_psid!$B$2:$CZ$104,W_!$A33,W_!AN$1)/Ns!$B$1</f>
        <v>0.36564350654102568</v>
      </c>
      <c r="AO33" s="20" cm="1">
        <f t="array" ref="AO33">INDEX(W_psid!$B$2:$CZ$104,W_!$A33,W_!AO$1)/Ns!$B$1</f>
        <v>2.1335807911744623E-3</v>
      </c>
      <c r="AP33" s="20" cm="1">
        <f t="array" ref="AP33">INDEX(W_psid!$B$2:$CZ$104,W_!$A33,W_!AP$1)/Ns!$B$1</f>
        <v>-32.903980457533372</v>
      </c>
      <c r="AQ33" s="20" cm="1">
        <f t="array" ref="AQ33">INDEX(W_psid!$B$2:$CZ$104,W_!$A33,W_!AQ$1)/Ns!$B$1</f>
        <v>-28.657789910200247</v>
      </c>
      <c r="AR33" s="20" cm="1">
        <f t="array" ref="AR33">INDEX(W_psid!$B$2:$CZ$104,W_!$A33,W_!AR$1)/Ns!$B$1</f>
        <v>28.086631200130697</v>
      </c>
      <c r="AS33" s="20" cm="1">
        <f t="array" ref="AS33">INDEX(W_psid!$B$2:$CZ$104,W_!$A33,W_!AS$1)/Ns!$B$1</f>
        <v>1.0181811991359399E-3</v>
      </c>
      <c r="AT33" s="20" cm="1">
        <f t="array" ref="AT33">INDEX(W_psid!$B$2:$CZ$104,W_!$A33,W_!AT$1)/Ns!$B$1</f>
        <v>-4.3330826489570186E-3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53.612302932834567</v>
      </c>
      <c r="AW33" s="20" cm="1">
        <f t="array" ref="AW33">INDEX(W_psid!$B$2:$CZ$104,W_!$A33,W_!AW$1)/Ns!$B$1</f>
        <v>0.92152441336175184</v>
      </c>
      <c r="AX33" s="20" cm="1">
        <f t="array" ref="AX33">INDEX(W_psid!$B$2:$CZ$104,W_!$A33,W_!AX$1)/Ns!$B$1</f>
        <v>-1.1703070423011432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</row>
    <row r="34" spans="1:58" x14ac:dyDescent="0.3">
      <c r="A34" s="18">
        <f>MATCH(C34,W_psid!$A$2:$A$104,0)</f>
        <v>60</v>
      </c>
      <c r="B34" s="18" t="str">
        <f>MOMS!$A$32</f>
        <v>abs_hdo_wdo</v>
      </c>
      <c r="C34" s="18" t="str">
        <f>MOMS!$B$32</f>
        <v>abs_hdo_wdo</v>
      </c>
      <c r="D34" s="20" cm="1">
        <f t="array" ref="D34">INDEX(W_psid!$B$2:$CZ$104,W_!$A34,W_!D$1)/Ns!$B$1</f>
        <v>-8.4879076514409032E-4</v>
      </c>
      <c r="E34" s="20" cm="1">
        <f t="array" ref="E34">INDEX(W_psid!$B$2:$CZ$104,W_!$A34,W_!E$1)/Ns!$B$1</f>
        <v>-1.059240996512001E-2</v>
      </c>
      <c r="F34" s="20" cm="1">
        <f t="array" ref="F34">INDEX(W_psid!$B$2:$CZ$104,W_!$A34,W_!F$1)/Ns!$B$1</f>
        <v>-4.2578016101899518E-3</v>
      </c>
      <c r="G34" s="20" cm="1">
        <f t="array" ref="G34">INDEX(W_psid!$B$2:$CZ$104,W_!$A34,W_!G$1)/Ns!$B$1</f>
        <v>-0.25002223925863598</v>
      </c>
      <c r="H34" s="20" cm="1">
        <f t="array" ref="H34">INDEX(W_psid!$B$2:$CZ$104,W_!$A34,W_!H$1)/Ns!$B$1</f>
        <v>0.13730988708007258</v>
      </c>
      <c r="I34" s="20" cm="1">
        <f t="array" ref="I34">INDEX(W_psid!$B$2:$CZ$104,W_!$A34,W_!I$1)/Ns!$B$1</f>
        <v>0.11090465530879039</v>
      </c>
      <c r="J34" s="20" cm="1">
        <f t="array" ref="J34">INDEX(W_psid!$B$2:$CZ$104,W_!$A34,W_!J$1)/Ns!$B$1</f>
        <v>5.2979720223526795E-2</v>
      </c>
      <c r="K34" s="20" cm="1">
        <f t="array" ref="K34">INDEX(W_psid!$B$2:$CZ$104,W_!$A34,W_!K$1)/Ns!$B$1</f>
        <v>0.1458308263057925</v>
      </c>
      <c r="L34" s="20" cm="1">
        <f t="array" ref="L34">INDEX(W_psid!$B$2:$CZ$104,W_!$A34,W_!L$1)/Ns!$B$1</f>
        <v>-7.784244932106095E-2</v>
      </c>
      <c r="M34" s="20" cm="1">
        <f t="array" ref="M34">INDEX(W_psid!$B$2:$CZ$104,W_!$A34,W_!M$1)/Ns!$B$1</f>
        <v>-2.2444978045422538E-2</v>
      </c>
      <c r="N34" s="20" cm="1">
        <f t="array" ref="N34">INDEX(W_psid!$B$2:$CZ$104,W_!$A34,W_!N$1)/Ns!$B$1</f>
        <v>3.3783956275549157E-2</v>
      </c>
      <c r="O34" s="20" cm="1">
        <f t="array" ref="O34">INDEX(W_psid!$B$2:$CZ$104,W_!$A34,W_!O$1)/Ns!$B$1</f>
        <v>3.8262370924965185E-2</v>
      </c>
      <c r="P34" s="20" cm="1">
        <f t="array" ref="P34">INDEX(W_psid!$B$2:$CZ$104,W_!$A34,W_!P$1)/Ns!$B$1</f>
        <v>-6.2171600398451016E-2</v>
      </c>
      <c r="Q34" s="20" cm="1">
        <f t="array" ref="Q34">INDEX(W_psid!$B$2:$CZ$104,W_!$A34,W_!Q$1)/Ns!$B$1</f>
        <v>0.23441409181538292</v>
      </c>
      <c r="R34" s="20" cm="1">
        <f t="array" ref="R34">INDEX(W_psid!$B$2:$CZ$104,W_!$A34,W_!R$1)/Ns!$B$1</f>
        <v>-0.18049677139967293</v>
      </c>
      <c r="S34" s="20" cm="1">
        <f t="array" ref="S34">INDEX(W_psid!$B$2:$CZ$104,W_!$A34,W_!S$1)/Ns!$B$1</f>
        <v>-2.7050326154582082E-5</v>
      </c>
      <c r="T34" s="20" cm="1">
        <f t="array" ref="T34">INDEX(W_psid!$B$2:$CZ$104,W_!$A34,W_!T$1)/Ns!$B$1</f>
        <v>2.707219385102754E-5</v>
      </c>
      <c r="U34" s="20" cm="1">
        <f t="array" ref="U34">INDEX(W_psid!$B$2:$CZ$104,W_!$A34,W_!U$1)/Ns!$B$1</f>
        <v>-8.6688987054876114E-5</v>
      </c>
      <c r="V34" s="20" cm="1">
        <f t="array" ref="V34">INDEX(W_psid!$B$2:$CZ$104,W_!$A34,W_!V$1)/Ns!$B$1</f>
        <v>3.3642092359635764E-2</v>
      </c>
      <c r="W34" s="20" cm="1">
        <f t="array" ref="W34">INDEX(W_psid!$B$2:$CZ$104,W_!$A34,W_!W$1)/Ns!$B$1</f>
        <v>3.3061631138216148E-2</v>
      </c>
      <c r="X34" s="20" cm="1">
        <f t="array" ref="X34">INDEX(W_psid!$B$2:$CZ$104,W_!$A34,W_!X$1)/Ns!$B$1</f>
        <v>2.4900855347173231E-2</v>
      </c>
      <c r="Y34" s="20" cm="1">
        <f t="array" ref="Y34">INDEX(W_psid!$B$2:$CZ$104,W_!$A34,W_!Y$1)/Ns!$B$1</f>
        <v>2.3519805982855548E-2</v>
      </c>
      <c r="Z34" s="20" cm="1">
        <f t="array" ref="Z34">INDEX(W_psid!$B$2:$CZ$104,W_!$A34,W_!Z$1)/Ns!$B$1</f>
        <v>2.327535338142047E-2</v>
      </c>
      <c r="AA34" s="20" cm="1">
        <f t="array" ref="AA34">INDEX(W_psid!$B$2:$CZ$104,W_!$A34,W_!AA$1)/Ns!$B$1</f>
        <v>2.6838574486389932E-2</v>
      </c>
      <c r="AB34" s="20" cm="1">
        <f t="array" ref="AB34">INDEX(W_psid!$B$2:$CZ$104,W_!$A34,W_!AB$1)/Ns!$B$1</f>
        <v>4.9311898005029303E-3</v>
      </c>
      <c r="AC34" s="20" cm="1">
        <f t="array" ref="AC34">INDEX(W_psid!$B$2:$CZ$104,W_!$A34,W_!AC$1)/Ns!$B$1</f>
        <v>8.4666644027321902E-5</v>
      </c>
      <c r="AD34" s="20" cm="1">
        <f t="array" ref="AD34">INDEX(W_psid!$B$2:$CZ$104,W_!$A34,W_!AD$1)/Ns!$B$1</f>
        <v>-6.7929648578460098E-3</v>
      </c>
      <c r="AE34" s="20" cm="1">
        <f t="array" ref="AE34">INDEX(W_psid!$B$2:$CZ$104,W_!$A34,W_!AE$1)/Ns!$B$1</f>
        <v>-3.9051509800162404E-4</v>
      </c>
      <c r="AF34" s="20" cm="1">
        <f t="array" ref="AF34">INDEX(W_psid!$B$2:$CZ$104,W_!$A34,W_!AF$1)/Ns!$B$1</f>
        <v>0.25637094337980576</v>
      </c>
      <c r="AG34" s="20" cm="1">
        <f t="array" ref="AG34">INDEX(W_psid!$B$2:$CZ$104,W_!$A34,W_!AG$1)/Ns!$B$1</f>
        <v>0.22024641648374993</v>
      </c>
      <c r="AH34" s="20" cm="1">
        <f t="array" ref="AH34">INDEX(W_psid!$B$2:$CZ$104,W_!$A34,W_!AH$1)/Ns!$B$1</f>
        <v>3.1829748718153173E-3</v>
      </c>
      <c r="AI34" s="20" cm="1">
        <f t="array" ref="AI34">INDEX(W_psid!$B$2:$CZ$104,W_!$A34,W_!AI$1)/Ns!$B$1</f>
        <v>1.9875286471815682E-4</v>
      </c>
      <c r="AJ34" s="20" cm="1">
        <f t="array" ref="AJ34">INDEX(W_psid!$B$2:$CZ$104,W_!$A34,W_!AJ$1)/Ns!$B$1</f>
        <v>-3.7364240905624892E-7</v>
      </c>
      <c r="AK34" s="20" cm="1">
        <f t="array" ref="AK34">INDEX(W_psid!$B$2:$CZ$104,W_!$A34,W_!AK$1)/Ns!$B$1</f>
        <v>2.2676023628633808E-2</v>
      </c>
      <c r="AL34" s="20" cm="1">
        <f t="array" ref="AL34">INDEX(W_psid!$B$2:$CZ$104,W_!$A34,W_!AL$1)/Ns!$B$1</f>
        <v>1.3910416734026541E-2</v>
      </c>
      <c r="AM34" s="20" cm="1">
        <f t="array" ref="AM34">INDEX(W_psid!$B$2:$CZ$104,W_!$A34,W_!AM$1)/Ns!$B$1</f>
        <v>-1.3135812898263811E-2</v>
      </c>
      <c r="AN34" s="20" cm="1">
        <f t="array" ref="AN34">INDEX(W_psid!$B$2:$CZ$104,W_!$A34,W_!AN$1)/Ns!$B$1</f>
        <v>9.0808856237600279E-4</v>
      </c>
      <c r="AO34" s="20" cm="1">
        <f t="array" ref="AO34">INDEX(W_psid!$B$2:$CZ$104,W_!$A34,W_!AO$1)/Ns!$B$1</f>
        <v>-8.5191941960395607E-7</v>
      </c>
      <c r="AP34" s="20" cm="1">
        <f t="array" ref="AP34">INDEX(W_psid!$B$2:$CZ$104,W_!$A34,W_!AP$1)/Ns!$B$1</f>
        <v>-0.20445737614044579</v>
      </c>
      <c r="AQ34" s="20" cm="1">
        <f t="array" ref="AQ34">INDEX(W_psid!$B$2:$CZ$104,W_!$A34,W_!AQ$1)/Ns!$B$1</f>
        <v>-0.14654632149916827</v>
      </c>
      <c r="AR34" s="20" cm="1">
        <f t="array" ref="AR34">INDEX(W_psid!$B$2:$CZ$104,W_!$A34,W_!AR$1)/Ns!$B$1</f>
        <v>0.12464638238601385</v>
      </c>
      <c r="AS34" s="20" cm="1">
        <f t="array" ref="AS34">INDEX(W_psid!$B$2:$CZ$104,W_!$A34,W_!AS$1)/Ns!$B$1</f>
        <v>5.096064861408605E-6</v>
      </c>
      <c r="AT34" s="20" cm="1">
        <f t="array" ref="AT34">INDEX(W_psid!$B$2:$CZ$104,W_!$A34,W_!AT$1)/Ns!$B$1</f>
        <v>4.8389532806483253E-5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0.11535873793911056</v>
      </c>
      <c r="AW34" s="20" cm="1">
        <f t="array" ref="AW34">INDEX(W_psid!$B$2:$CZ$104,W_!$A34,W_!AW$1)/Ns!$B$1</f>
        <v>2.4658689233715364E-2</v>
      </c>
      <c r="AX34" s="20" cm="1">
        <f t="array" ref="AX34">INDEX(W_psid!$B$2:$CZ$104,W_!$A34,W_!AX$1)/Ns!$B$1</f>
        <v>-5.5274410439935537E-3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</row>
    <row r="35" spans="1:58" x14ac:dyDescent="0.3">
      <c r="A35" s="18">
        <f>MATCH(C35,W_psid!$A$2:$A$104,0)</f>
        <v>91</v>
      </c>
      <c r="B35" s="18" t="str">
        <f>MOMS!$A$33</f>
        <v>betacom_w</v>
      </c>
      <c r="C35" s="18" t="str">
        <f>MOMS!$B$33</f>
        <v>betacom_w</v>
      </c>
      <c r="D35" s="20" cm="1">
        <f t="array" ref="D35">INDEX(W_psid!$B$2:$CZ$104,W_!$A35,W_!D$1)/Ns!$B$1</f>
        <v>4.9453706138347098E-4</v>
      </c>
      <c r="E35" s="20" cm="1">
        <f t="array" ref="E35">INDEX(W_psid!$B$2:$CZ$104,W_!$A35,W_!E$1)/Ns!$B$1</f>
        <v>-4.0730295313961429E-3</v>
      </c>
      <c r="F35" s="20" cm="1">
        <f t="array" ref="F35">INDEX(W_psid!$B$2:$CZ$104,W_!$A35,W_!F$1)/Ns!$B$1</f>
        <v>-4.8963317057525262E-3</v>
      </c>
      <c r="G35" s="20" cm="1">
        <f t="array" ref="G35">INDEX(W_psid!$B$2:$CZ$104,W_!$A35,W_!G$1)/Ns!$B$1</f>
        <v>-0.20023714802509623</v>
      </c>
      <c r="H35" s="20" cm="1">
        <f t="array" ref="H35">INDEX(W_psid!$B$2:$CZ$104,W_!$A35,W_!H$1)/Ns!$B$1</f>
        <v>4.4966380764230499E-2</v>
      </c>
      <c r="I35" s="20" cm="1">
        <f t="array" ref="I35">INDEX(W_psid!$B$2:$CZ$104,W_!$A35,W_!I$1)/Ns!$B$1</f>
        <v>8.5553593942637132E-2</v>
      </c>
      <c r="J35" s="20" cm="1">
        <f t="array" ref="J35">INDEX(W_psid!$B$2:$CZ$104,W_!$A35,W_!J$1)/Ns!$B$1</f>
        <v>0.10926641859152236</v>
      </c>
      <c r="K35" s="20" cm="1">
        <f t="array" ref="K35">INDEX(W_psid!$B$2:$CZ$104,W_!$A35,W_!K$1)/Ns!$B$1</f>
        <v>6.1821735569757605E-2</v>
      </c>
      <c r="L35" s="20" cm="1">
        <f t="array" ref="L35">INDEX(W_psid!$B$2:$CZ$104,W_!$A35,W_!L$1)/Ns!$B$1</f>
        <v>-1.8517955555324553E-2</v>
      </c>
      <c r="M35" s="20" cm="1">
        <f t="array" ref="M35">INDEX(W_psid!$B$2:$CZ$104,W_!$A35,W_!M$1)/Ns!$B$1</f>
        <v>0.12289817287191754</v>
      </c>
      <c r="N35" s="20" cm="1">
        <f t="array" ref="N35">INDEX(W_psid!$B$2:$CZ$104,W_!$A35,W_!N$1)/Ns!$B$1</f>
        <v>-1.0768392840734536E-2</v>
      </c>
      <c r="O35" s="20" cm="1">
        <f t="array" ref="O35">INDEX(W_psid!$B$2:$CZ$104,W_!$A35,W_!O$1)/Ns!$B$1</f>
        <v>5.732041008199168E-2</v>
      </c>
      <c r="P35" s="20" cm="1">
        <f t="array" ref="P35">INDEX(W_psid!$B$2:$CZ$104,W_!$A35,W_!P$1)/Ns!$B$1</f>
        <v>6.3074251424118336E-2</v>
      </c>
      <c r="Q35" s="20" cm="1">
        <f t="array" ref="Q35">INDEX(W_psid!$B$2:$CZ$104,W_!$A35,W_!Q$1)/Ns!$B$1</f>
        <v>0.10485019971983607</v>
      </c>
      <c r="R35" s="20" cm="1">
        <f t="array" ref="R35">INDEX(W_psid!$B$2:$CZ$104,W_!$A35,W_!R$1)/Ns!$B$1</f>
        <v>-0.10599222346925073</v>
      </c>
      <c r="S35" s="20" cm="1">
        <f t="array" ref="S35">INDEX(W_psid!$B$2:$CZ$104,W_!$A35,W_!S$1)/Ns!$B$1</f>
        <v>-2.652402622634618E-5</v>
      </c>
      <c r="T35" s="20" cm="1">
        <f t="array" ref="T35">INDEX(W_psid!$B$2:$CZ$104,W_!$A35,W_!T$1)/Ns!$B$1</f>
        <v>2.4412677031538338E-5</v>
      </c>
      <c r="U35" s="20" cm="1">
        <f t="array" ref="U35">INDEX(W_psid!$B$2:$CZ$104,W_!$A35,W_!U$1)/Ns!$B$1</f>
        <v>7.0514296059762449E-5</v>
      </c>
      <c r="V35" s="20" cm="1">
        <f t="array" ref="V35">INDEX(W_psid!$B$2:$CZ$104,W_!$A35,W_!V$1)/Ns!$B$1</f>
        <v>1.1708891110651251E-2</v>
      </c>
      <c r="W35" s="20" cm="1">
        <f t="array" ref="W35">INDEX(W_psid!$B$2:$CZ$104,W_!$A35,W_!W$1)/Ns!$B$1</f>
        <v>1.1604625437416076E-2</v>
      </c>
      <c r="X35" s="20" cm="1">
        <f t="array" ref="X35">INDEX(W_psid!$B$2:$CZ$104,W_!$A35,W_!X$1)/Ns!$B$1</f>
        <v>4.5338051566207946E-3</v>
      </c>
      <c r="Y35" s="20" cm="1">
        <f t="array" ref="Y35">INDEX(W_psid!$B$2:$CZ$104,W_!$A35,W_!Y$1)/Ns!$B$1</f>
        <v>3.7999477889172442E-3</v>
      </c>
      <c r="Z35" s="20" cm="1">
        <f t="array" ref="Z35">INDEX(W_psid!$B$2:$CZ$104,W_!$A35,W_!Z$1)/Ns!$B$1</f>
        <v>3.4086191819979162E-3</v>
      </c>
      <c r="AA35" s="20" cm="1">
        <f t="array" ref="AA35">INDEX(W_psid!$B$2:$CZ$104,W_!$A35,W_!AA$1)/Ns!$B$1</f>
        <v>4.4115427687250065E-3</v>
      </c>
      <c r="AB35" s="20" cm="1">
        <f t="array" ref="AB35">INDEX(W_psid!$B$2:$CZ$104,W_!$A35,W_!AB$1)/Ns!$B$1</f>
        <v>-1.2389704701272206E-3</v>
      </c>
      <c r="AC35" s="20" cm="1">
        <f t="array" ref="AC35">INDEX(W_psid!$B$2:$CZ$104,W_!$A35,W_!AC$1)/Ns!$B$1</f>
        <v>1.6779241014001448E-4</v>
      </c>
      <c r="AD35" s="20" cm="1">
        <f t="array" ref="AD35">INDEX(W_psid!$B$2:$CZ$104,W_!$A35,W_!AD$1)/Ns!$B$1</f>
        <v>-6.1370362308152179E-3</v>
      </c>
      <c r="AE35" s="20" cm="1">
        <f t="array" ref="AE35">INDEX(W_psid!$B$2:$CZ$104,W_!$A35,W_!AE$1)/Ns!$B$1</f>
        <v>-1.3065711286358369E-3</v>
      </c>
      <c r="AF35" s="20" cm="1">
        <f t="array" ref="AF35">INDEX(W_psid!$B$2:$CZ$104,W_!$A35,W_!AF$1)/Ns!$B$1</f>
        <v>7.7266733810900767E-2</v>
      </c>
      <c r="AG35" s="20" cm="1">
        <f t="array" ref="AG35">INDEX(W_psid!$B$2:$CZ$104,W_!$A35,W_!AG$1)/Ns!$B$1</f>
        <v>8.2602610232676871E-2</v>
      </c>
      <c r="AH35" s="20" cm="1">
        <f t="array" ref="AH35">INDEX(W_psid!$B$2:$CZ$104,W_!$A35,W_!AH$1)/Ns!$B$1</f>
        <v>1.9875286471815682E-4</v>
      </c>
      <c r="AI35" s="20" cm="1">
        <f t="array" ref="AI35">INDEX(W_psid!$B$2:$CZ$104,W_!$A35,W_!AI$1)/Ns!$B$1</f>
        <v>1.6978386854297753E-3</v>
      </c>
      <c r="AJ35" s="20" cm="1">
        <f t="array" ref="AJ35">INDEX(W_psid!$B$2:$CZ$104,W_!$A35,W_!AJ$1)/Ns!$B$1</f>
        <v>-8.2139877624619022E-6</v>
      </c>
      <c r="AK35" s="20" cm="1">
        <f t="array" ref="AK35">INDEX(W_psid!$B$2:$CZ$104,W_!$A35,W_!AK$1)/Ns!$B$1</f>
        <v>-2.3028672192494392E-2</v>
      </c>
      <c r="AL35" s="20" cm="1">
        <f t="array" ref="AL35">INDEX(W_psid!$B$2:$CZ$104,W_!$A35,W_!AL$1)/Ns!$B$1</f>
        <v>-3.680372415123534E-2</v>
      </c>
      <c r="AM35" s="20" cm="1">
        <f t="array" ref="AM35">INDEX(W_psid!$B$2:$CZ$104,W_!$A35,W_!AM$1)/Ns!$B$1</f>
        <v>7.0569102074508701E-4</v>
      </c>
      <c r="AN35" s="20" cm="1">
        <f t="array" ref="AN35">INDEX(W_psid!$B$2:$CZ$104,W_!$A35,W_!AN$1)/Ns!$B$1</f>
        <v>-4.0278923003072659E-4</v>
      </c>
      <c r="AO35" s="20" cm="1">
        <f t="array" ref="AO35">INDEX(W_psid!$B$2:$CZ$104,W_!$A35,W_!AO$1)/Ns!$B$1</f>
        <v>1.9084820517752438E-6</v>
      </c>
      <c r="AP35" s="20" cm="1">
        <f t="array" ref="AP35">INDEX(W_psid!$B$2:$CZ$104,W_!$A35,W_!AP$1)/Ns!$B$1</f>
        <v>3.5958507255325615E-2</v>
      </c>
      <c r="AQ35" s="20" cm="1">
        <f t="array" ref="AQ35">INDEX(W_psid!$B$2:$CZ$104,W_!$A35,W_!AQ$1)/Ns!$B$1</f>
        <v>1.6572954146534369E-2</v>
      </c>
      <c r="AR35" s="20" cm="1">
        <f t="array" ref="AR35">INDEX(W_psid!$B$2:$CZ$104,W_!$A35,W_!AR$1)/Ns!$B$1</f>
        <v>6.9263507796325119E-2</v>
      </c>
      <c r="AS35" s="20" cm="1">
        <f t="array" ref="AS35">INDEX(W_psid!$B$2:$CZ$104,W_!$A35,W_!AS$1)/Ns!$B$1</f>
        <v>2.6945590730157223E-6</v>
      </c>
      <c r="AT35" s="20" cm="1">
        <f t="array" ref="AT35">INDEX(W_psid!$B$2:$CZ$104,W_!$A35,W_!AT$1)/Ns!$B$1</f>
        <v>-7.4091881145935584E-6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-5.1459075599971919E-2</v>
      </c>
      <c r="AW35" s="20" cm="1">
        <f t="array" ref="AW35">INDEX(W_psid!$B$2:$CZ$104,W_!$A35,W_!AW$1)/Ns!$B$1</f>
        <v>-1.7758252567469986E-3</v>
      </c>
      <c r="AX35" s="20" cm="1">
        <f t="array" ref="AX35">INDEX(W_psid!$B$2:$CZ$104,W_!$A35,W_!AX$1)/Ns!$B$1</f>
        <v>-4.226844112016178E-3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</row>
    <row r="36" spans="1:58" x14ac:dyDescent="0.3">
      <c r="A36" s="18">
        <f>MATCH(C36,W_psid!$A$2:$A$104,0)</f>
        <v>93</v>
      </c>
      <c r="B36" s="18" t="str">
        <f>MOMS!$A$34</f>
        <v>betalfp_w</v>
      </c>
      <c r="C36" s="18" t="str">
        <f>MOMS!$B$34</f>
        <v>betalfp_w</v>
      </c>
      <c r="D36" s="20" cm="1">
        <f t="array" ref="D36">INDEX(W_psid!$B$2:$CZ$104,W_!$A36,W_!D$1)/Ns!$B$1</f>
        <v>2.0348400898520773E-5</v>
      </c>
      <c r="E36" s="20" cm="1">
        <f t="array" ref="E36">INDEX(W_psid!$B$2:$CZ$104,W_!$A36,W_!E$1)/Ns!$B$1</f>
        <v>7.3560517490551801E-5</v>
      </c>
      <c r="F36" s="20" cm="1">
        <f t="array" ref="F36">INDEX(W_psid!$B$2:$CZ$104,W_!$A36,W_!F$1)/Ns!$B$1</f>
        <v>8.2055668442183562E-5</v>
      </c>
      <c r="G36" s="20" cm="1">
        <f t="array" ref="G36">INDEX(W_psid!$B$2:$CZ$104,W_!$A36,W_!G$1)/Ns!$B$1</f>
        <v>3.9009449369285963E-3</v>
      </c>
      <c r="H36" s="20" cm="1">
        <f t="array" ref="H36">INDEX(W_psid!$B$2:$CZ$104,W_!$A36,W_!H$1)/Ns!$B$1</f>
        <v>-4.9854796004483867E-4</v>
      </c>
      <c r="I36" s="20" cm="1">
        <f t="array" ref="I36">INDEX(W_psid!$B$2:$CZ$104,W_!$A36,W_!I$1)/Ns!$B$1</f>
        <v>-1.6772834508330245E-3</v>
      </c>
      <c r="J36" s="20" cm="1">
        <f t="array" ref="J36">INDEX(W_psid!$B$2:$CZ$104,W_!$A36,W_!J$1)/Ns!$B$1</f>
        <v>-1.8123753928289941E-3</v>
      </c>
      <c r="K36" s="20" cm="1">
        <f t="array" ref="K36">INDEX(W_psid!$B$2:$CZ$104,W_!$A36,W_!K$1)/Ns!$B$1</f>
        <v>-3.4508351909658222E-4</v>
      </c>
      <c r="L36" s="20" cm="1">
        <f t="array" ref="L36">INDEX(W_psid!$B$2:$CZ$104,W_!$A36,W_!L$1)/Ns!$B$1</f>
        <v>5.0370915490814347E-4</v>
      </c>
      <c r="M36" s="20" cm="1">
        <f t="array" ref="M36">INDEX(W_psid!$B$2:$CZ$104,W_!$A36,W_!M$1)/Ns!$B$1</f>
        <v>-1.4944448934027957E-3</v>
      </c>
      <c r="N36" s="20" cm="1">
        <f t="array" ref="N36">INDEX(W_psid!$B$2:$CZ$104,W_!$A36,W_!N$1)/Ns!$B$1</f>
        <v>5.6828490397741646E-5</v>
      </c>
      <c r="O36" s="20" cm="1">
        <f t="array" ref="O36">INDEX(W_psid!$B$2:$CZ$104,W_!$A36,W_!O$1)/Ns!$B$1</f>
        <v>-3.8106056129042951E-4</v>
      </c>
      <c r="P36" s="20" cm="1">
        <f t="array" ref="P36">INDEX(W_psid!$B$2:$CZ$104,W_!$A36,W_!P$1)/Ns!$B$1</f>
        <v>-2.0768676717635486E-4</v>
      </c>
      <c r="Q36" s="20" cm="1">
        <f t="array" ref="Q36">INDEX(W_psid!$B$2:$CZ$104,W_!$A36,W_!Q$1)/Ns!$B$1</f>
        <v>-3.4205728603731193E-3</v>
      </c>
      <c r="R36" s="20" cm="1">
        <f t="array" ref="R36">INDEX(W_psid!$B$2:$CZ$104,W_!$A36,W_!R$1)/Ns!$B$1</f>
        <v>1.3924503344605447E-3</v>
      </c>
      <c r="S36" s="20" cm="1">
        <f t="array" ref="S36">INDEX(W_psid!$B$2:$CZ$104,W_!$A36,W_!S$1)/Ns!$B$1</f>
        <v>7.7944824096572342E-7</v>
      </c>
      <c r="T36" s="20" cm="1">
        <f t="array" ref="T36">INDEX(W_psid!$B$2:$CZ$104,W_!$A36,W_!T$1)/Ns!$B$1</f>
        <v>2.1506769084584918E-9</v>
      </c>
      <c r="U36" s="20" cm="1">
        <f t="array" ref="U36">INDEX(W_psid!$B$2:$CZ$104,W_!$A36,W_!U$1)/Ns!$B$1</f>
        <v>1.3605971522528948E-6</v>
      </c>
      <c r="V36" s="20" cm="1">
        <f t="array" ref="V36">INDEX(W_psid!$B$2:$CZ$104,W_!$A36,W_!V$1)/Ns!$B$1</f>
        <v>-2.2448913826030904E-4</v>
      </c>
      <c r="W36" s="20" cm="1">
        <f t="array" ref="W36">INDEX(W_psid!$B$2:$CZ$104,W_!$A36,W_!W$1)/Ns!$B$1</f>
        <v>-2.1874207071277124E-4</v>
      </c>
      <c r="X36" s="20" cm="1">
        <f t="array" ref="X36">INDEX(W_psid!$B$2:$CZ$104,W_!$A36,W_!X$1)/Ns!$B$1</f>
        <v>-1.3269491105320324E-4</v>
      </c>
      <c r="Y36" s="20" cm="1">
        <f t="array" ref="Y36">INDEX(W_psid!$B$2:$CZ$104,W_!$A36,W_!Y$1)/Ns!$B$1</f>
        <v>-1.1617220337066835E-4</v>
      </c>
      <c r="Z36" s="20" cm="1">
        <f t="array" ref="Z36">INDEX(W_psid!$B$2:$CZ$104,W_!$A36,W_!Z$1)/Ns!$B$1</f>
        <v>-9.482555892760693E-5</v>
      </c>
      <c r="AA36" s="20" cm="1">
        <f t="array" ref="AA36">INDEX(W_psid!$B$2:$CZ$104,W_!$A36,W_!AA$1)/Ns!$B$1</f>
        <v>-1.1558753543891975E-4</v>
      </c>
      <c r="AB36" s="20" cm="1">
        <f t="array" ref="AB36">INDEX(W_psid!$B$2:$CZ$104,W_!$A36,W_!AB$1)/Ns!$B$1</f>
        <v>2.0178709405034271E-5</v>
      </c>
      <c r="AC36" s="20" cm="1">
        <f t="array" ref="AC36">INDEX(W_psid!$B$2:$CZ$104,W_!$A36,W_!AC$1)/Ns!$B$1</f>
        <v>-1.919747706672847E-6</v>
      </c>
      <c r="AD36" s="20" cm="1">
        <f t="array" ref="AD36">INDEX(W_psid!$B$2:$CZ$104,W_!$A36,W_!AD$1)/Ns!$B$1</f>
        <v>1.7098610039783467E-5</v>
      </c>
      <c r="AE36" s="20" cm="1">
        <f t="array" ref="AE36">INDEX(W_psid!$B$2:$CZ$104,W_!$A36,W_!AE$1)/Ns!$B$1</f>
        <v>2.7837156811246061E-5</v>
      </c>
      <c r="AF36" s="20" cm="1">
        <f t="array" ref="AF36">INDEX(W_psid!$B$2:$CZ$104,W_!$A36,W_!AF$1)/Ns!$B$1</f>
        <v>-1.9893157929434494E-3</v>
      </c>
      <c r="AG36" s="20" cm="1">
        <f t="array" ref="AG36">INDEX(W_psid!$B$2:$CZ$104,W_!$A36,W_!AG$1)/Ns!$B$1</f>
        <v>-1.9033079453710669E-3</v>
      </c>
      <c r="AH36" s="20" cm="1">
        <f t="array" ref="AH36">INDEX(W_psid!$B$2:$CZ$104,W_!$A36,W_!AH$1)/Ns!$B$1</f>
        <v>-3.7364240905624892E-7</v>
      </c>
      <c r="AI36" s="20" cm="1">
        <f t="array" ref="AI36">INDEX(W_psid!$B$2:$CZ$104,W_!$A36,W_!AI$1)/Ns!$B$1</f>
        <v>-8.2139877624619022E-6</v>
      </c>
      <c r="AJ36" s="20" cm="1">
        <f t="array" ref="AJ36">INDEX(W_psid!$B$2:$CZ$104,W_!$A36,W_!AJ$1)/Ns!$B$1</f>
        <v>2.5099418983164411E-7</v>
      </c>
      <c r="AK36" s="20" cm="1">
        <f t="array" ref="AK36">INDEX(W_psid!$B$2:$CZ$104,W_!$A36,W_!AK$1)/Ns!$B$1</f>
        <v>5.5454306841603261E-4</v>
      </c>
      <c r="AL36" s="20" cm="1">
        <f t="array" ref="AL36">INDEX(W_psid!$B$2:$CZ$104,W_!$A36,W_!AL$1)/Ns!$B$1</f>
        <v>9.8221222570365053E-4</v>
      </c>
      <c r="AM36" s="20" cm="1">
        <f t="array" ref="AM36">INDEX(W_psid!$B$2:$CZ$104,W_!$A36,W_!AM$1)/Ns!$B$1</f>
        <v>-2.2640819798148387E-4</v>
      </c>
      <c r="AN36" s="20" cm="1">
        <f t="array" ref="AN36">INDEX(W_psid!$B$2:$CZ$104,W_!$A36,W_!AN$1)/Ns!$B$1</f>
        <v>-1.5840170677510168E-5</v>
      </c>
      <c r="AO36" s="20" cm="1">
        <f t="array" ref="AO36">INDEX(W_psid!$B$2:$CZ$104,W_!$A36,W_!AO$1)/Ns!$B$1</f>
        <v>-6.8752412463464582E-7</v>
      </c>
      <c r="AP36" s="20" cm="1">
        <f t="array" ref="AP36">INDEX(W_psid!$B$2:$CZ$104,W_!$A36,W_!AP$1)/Ns!$B$1</f>
        <v>-8.0951445337495889E-4</v>
      </c>
      <c r="AQ36" s="20" cm="1">
        <f t="array" ref="AQ36">INDEX(W_psid!$B$2:$CZ$104,W_!$A36,W_!AQ$1)/Ns!$B$1</f>
        <v>-1.5637565659704456E-3</v>
      </c>
      <c r="AR36" s="20" cm="1">
        <f t="array" ref="AR36">INDEX(W_psid!$B$2:$CZ$104,W_!$A36,W_!AR$1)/Ns!$B$1</f>
        <v>-2.1337564217589446E-4</v>
      </c>
      <c r="AS36" s="20" cm="1">
        <f t="array" ref="AS36">INDEX(W_psid!$B$2:$CZ$104,W_!$A36,W_!AS$1)/Ns!$B$1</f>
        <v>1.2693615479993685E-8</v>
      </c>
      <c r="AT36" s="20" cm="1">
        <f t="array" ref="AT36">INDEX(W_psid!$B$2:$CZ$104,W_!$A36,W_!AT$1)/Ns!$B$1</f>
        <v>-1.6203308753322448E-7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-2.3890838955957562E-4</v>
      </c>
      <c r="AW36" s="20" cm="1">
        <f t="array" ref="AW36">INDEX(W_psid!$B$2:$CZ$104,W_!$A36,W_!AW$1)/Ns!$B$1</f>
        <v>5.1308821777017695E-5</v>
      </c>
      <c r="AX36" s="20" cm="1">
        <f t="array" ref="AX36">INDEX(W_psid!$B$2:$CZ$104,W_!$A36,W_!AX$1)/Ns!$B$1</f>
        <v>2.6715033360729402E-5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</row>
    <row r="37" spans="1:58" x14ac:dyDescent="0.3">
      <c r="A37" s="18">
        <f>MATCH(C37,W_psid!$A$2:$A$104,0)</f>
        <v>89</v>
      </c>
      <c r="B37" s="18" t="str">
        <f>MOMS!$A$35</f>
        <v>betahrs_w</v>
      </c>
      <c r="C37" s="18" t="str">
        <f>MOMS!$B$35</f>
        <v>betahrs_w</v>
      </c>
      <c r="D37" s="20" cm="1">
        <f t="array" ref="D37">INDEX(W_psid!$B$2:$CZ$104,W_!$A37,W_!D$1)/Ns!$B$1</f>
        <v>8.9085890674188026E-2</v>
      </c>
      <c r="E37" s="20" cm="1">
        <f t="array" ref="E37">INDEX(W_psid!$B$2:$CZ$104,W_!$A37,W_!E$1)/Ns!$B$1</f>
        <v>0.15224834406318549</v>
      </c>
      <c r="F37" s="20" cm="1">
        <f t="array" ref="F37">INDEX(W_psid!$B$2:$CZ$104,W_!$A37,W_!F$1)/Ns!$B$1</f>
        <v>0.32674575618329021</v>
      </c>
      <c r="G37" s="20" cm="1">
        <f t="array" ref="G37">INDEX(W_psid!$B$2:$CZ$104,W_!$A37,W_!G$1)/Ns!$B$1</f>
        <v>9.6845008567579391</v>
      </c>
      <c r="H37" s="20" cm="1">
        <f t="array" ref="H37">INDEX(W_psid!$B$2:$CZ$104,W_!$A37,W_!H$1)/Ns!$B$1</f>
        <v>-1.3021487116769972</v>
      </c>
      <c r="I37" s="20" cm="1">
        <f t="array" ref="I37">INDEX(W_psid!$B$2:$CZ$104,W_!$A37,W_!I$1)/Ns!$B$1</f>
        <v>-5.8160138972161999</v>
      </c>
      <c r="J37" s="20" cm="1">
        <f t="array" ref="J37">INDEX(W_psid!$B$2:$CZ$104,W_!$A37,W_!J$1)/Ns!$B$1</f>
        <v>-4.5835942392348343</v>
      </c>
      <c r="K37" s="20" cm="1">
        <f t="array" ref="K37">INDEX(W_psid!$B$2:$CZ$104,W_!$A37,W_!K$1)/Ns!$B$1</f>
        <v>-3.5354752189726661</v>
      </c>
      <c r="L37" s="20" cm="1">
        <f t="array" ref="L37">INDEX(W_psid!$B$2:$CZ$104,W_!$A37,W_!L$1)/Ns!$B$1</f>
        <v>1.5508882361500211</v>
      </c>
      <c r="M37" s="20" cm="1">
        <f t="array" ref="M37">INDEX(W_psid!$B$2:$CZ$104,W_!$A37,W_!M$1)/Ns!$B$1</f>
        <v>-2.363642981037807</v>
      </c>
      <c r="N37" s="20" cm="1">
        <f t="array" ref="N37">INDEX(W_psid!$B$2:$CZ$104,W_!$A37,W_!N$1)/Ns!$B$1</f>
        <v>0.41982301174556053</v>
      </c>
      <c r="O37" s="20" cm="1">
        <f t="array" ref="O37">INDEX(W_psid!$B$2:$CZ$104,W_!$A37,W_!O$1)/Ns!$B$1</f>
        <v>-0.81966717897400898</v>
      </c>
      <c r="P37" s="20" cm="1">
        <f t="array" ref="P37">INDEX(W_psid!$B$2:$CZ$104,W_!$A37,W_!P$1)/Ns!$B$1</f>
        <v>-5.3276783834579362E-3</v>
      </c>
      <c r="Q37" s="20" cm="1">
        <f t="array" ref="Q37">INDEX(W_psid!$B$2:$CZ$104,W_!$A37,W_!Q$1)/Ns!$B$1</f>
        <v>-4.3623033080328684</v>
      </c>
      <c r="R37" s="20" cm="1">
        <f t="array" ref="R37">INDEX(W_psid!$B$2:$CZ$104,W_!$A37,W_!R$1)/Ns!$B$1</f>
        <v>7.2720216023545996</v>
      </c>
      <c r="S37" s="20" cm="1">
        <f t="array" ref="S37">INDEX(W_psid!$B$2:$CZ$104,W_!$A37,W_!S$1)/Ns!$B$1</f>
        <v>2.4339433856142927E-3</v>
      </c>
      <c r="T37" s="20" cm="1">
        <f t="array" ref="T37">INDEX(W_psid!$B$2:$CZ$104,W_!$A37,W_!T$1)/Ns!$B$1</f>
        <v>-1.2312013403957343E-5</v>
      </c>
      <c r="U37" s="20" cm="1">
        <f t="array" ref="U37">INDEX(W_psid!$B$2:$CZ$104,W_!$A37,W_!U$1)/Ns!$B$1</f>
        <v>-2.9153960370648154E-3</v>
      </c>
      <c r="V37" s="20" cm="1">
        <f t="array" ref="V37">INDEX(W_psid!$B$2:$CZ$104,W_!$A37,W_!V$1)/Ns!$B$1</f>
        <v>-0.29846371057493082</v>
      </c>
      <c r="W37" s="20" cm="1">
        <f t="array" ref="W37">INDEX(W_psid!$B$2:$CZ$104,W_!$A37,W_!W$1)/Ns!$B$1</f>
        <v>-0.2752281659101139</v>
      </c>
      <c r="X37" s="20" cm="1">
        <f t="array" ref="X37">INDEX(W_psid!$B$2:$CZ$104,W_!$A37,W_!X$1)/Ns!$B$1</f>
        <v>-0.20372633960071718</v>
      </c>
      <c r="Y37" s="20" cm="1">
        <f t="array" ref="Y37">INDEX(W_psid!$B$2:$CZ$104,W_!$A37,W_!Y$1)/Ns!$B$1</f>
        <v>-0.13214703193476421</v>
      </c>
      <c r="Z37" s="20" cm="1">
        <f t="array" ref="Z37">INDEX(W_psid!$B$2:$CZ$104,W_!$A37,W_!Z$1)/Ns!$B$1</f>
        <v>-7.1746854412721703E-2</v>
      </c>
      <c r="AA37" s="20" cm="1">
        <f t="array" ref="AA37">INDEX(W_psid!$B$2:$CZ$104,W_!$A37,W_!AA$1)/Ns!$B$1</f>
        <v>-0.13340906686987569</v>
      </c>
      <c r="AB37" s="20" cm="1">
        <f t="array" ref="AB37">INDEX(W_psid!$B$2:$CZ$104,W_!$A37,W_!AB$1)/Ns!$B$1</f>
        <v>0.12008185487924335</v>
      </c>
      <c r="AC37" s="20" cm="1">
        <f t="array" ref="AC37">INDEX(W_psid!$B$2:$CZ$104,W_!$A37,W_!AC$1)/Ns!$B$1</f>
        <v>-4.135033114621843E-3</v>
      </c>
      <c r="AD37" s="20" cm="1">
        <f t="array" ref="AD37">INDEX(W_psid!$B$2:$CZ$104,W_!$A37,W_!AD$1)/Ns!$B$1</f>
        <v>-6.394000041331652E-3</v>
      </c>
      <c r="AE37" s="20" cm="1">
        <f t="array" ref="AE37">INDEX(W_psid!$B$2:$CZ$104,W_!$A37,W_!AE$1)/Ns!$B$1</f>
        <v>8.5416559741717801E-2</v>
      </c>
      <c r="AF37" s="20" cm="1">
        <f t="array" ref="AF37">INDEX(W_psid!$B$2:$CZ$104,W_!$A37,W_!AF$1)/Ns!$B$1</f>
        <v>-4.6701051936936935</v>
      </c>
      <c r="AG37" s="20" cm="1">
        <f t="array" ref="AG37">INDEX(W_psid!$B$2:$CZ$104,W_!$A37,W_!AG$1)/Ns!$B$1</f>
        <v>-4.4955186035251202</v>
      </c>
      <c r="AH37" s="20" cm="1">
        <f t="array" ref="AH37">INDEX(W_psid!$B$2:$CZ$104,W_!$A37,W_!AH$1)/Ns!$B$1</f>
        <v>2.2676023628633808E-2</v>
      </c>
      <c r="AI37" s="20" cm="1">
        <f t="array" ref="AI37">INDEX(W_psid!$B$2:$CZ$104,W_!$A37,W_!AI$1)/Ns!$B$1</f>
        <v>-2.3028672192494392E-2</v>
      </c>
      <c r="AJ37" s="20" cm="1">
        <f t="array" ref="AJ37">INDEX(W_psid!$B$2:$CZ$104,W_!$A37,W_!AJ$1)/Ns!$B$1</f>
        <v>5.5454306841603261E-4</v>
      </c>
      <c r="AK37" s="20" cm="1">
        <f t="array" ref="AK37">INDEX(W_psid!$B$2:$CZ$104,W_!$A37,W_!AK$1)/Ns!$B$1</f>
        <v>2.8841979603544092</v>
      </c>
      <c r="AL37" s="20" cm="1">
        <f t="array" ref="AL37">INDEX(W_psid!$B$2:$CZ$104,W_!$A37,W_!AL$1)/Ns!$B$1</f>
        <v>3.5555883296242961</v>
      </c>
      <c r="AM37" s="20" cm="1">
        <f t="array" ref="AM37">INDEX(W_psid!$B$2:$CZ$104,W_!$A37,W_!AM$1)/Ns!$B$1</f>
        <v>-0.91551049512640437</v>
      </c>
      <c r="AN37" s="20" cm="1">
        <f t="array" ref="AN37">INDEX(W_psid!$B$2:$CZ$104,W_!$A37,W_!AN$1)/Ns!$B$1</f>
        <v>-4.2886659294828738E-2</v>
      </c>
      <c r="AO37" s="20" cm="1">
        <f t="array" ref="AO37">INDEX(W_psid!$B$2:$CZ$104,W_!$A37,W_!AO$1)/Ns!$B$1</f>
        <v>-1.6723124911109534E-3</v>
      </c>
      <c r="AP37" s="20" cm="1">
        <f t="array" ref="AP37">INDEX(W_psid!$B$2:$CZ$104,W_!$A37,W_!AP$1)/Ns!$B$1</f>
        <v>-7.0901210807636161</v>
      </c>
      <c r="AQ37" s="20" cm="1">
        <f t="array" ref="AQ37">INDEX(W_psid!$B$2:$CZ$104,W_!$A37,W_!AQ$1)/Ns!$B$1</f>
        <v>-7.4309540095954878</v>
      </c>
      <c r="AR37" s="20" cm="1">
        <f t="array" ref="AR37">INDEX(W_psid!$B$2:$CZ$104,W_!$A37,W_!AR$1)/Ns!$B$1</f>
        <v>0.59622413348235936</v>
      </c>
      <c r="AS37" s="20" cm="1">
        <f t="array" ref="AS37">INDEX(W_psid!$B$2:$CZ$104,W_!$A37,W_!AS$1)/Ns!$B$1</f>
        <v>2.9204200764289049E-6</v>
      </c>
      <c r="AT37" s="20" cm="1">
        <f t="array" ref="AT37">INDEX(W_psid!$B$2:$CZ$104,W_!$A37,W_!AT$1)/Ns!$B$1</f>
        <v>2.3761379514992825E-3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-1.0645539842064728</v>
      </c>
      <c r="AW37" s="20" cm="1">
        <f t="array" ref="AW37">INDEX(W_psid!$B$2:$CZ$104,W_!$A37,W_!AW$1)/Ns!$B$1</f>
        <v>0.34558325707019516</v>
      </c>
      <c r="AX37" s="20" cm="1">
        <f t="array" ref="AX37">INDEX(W_psid!$B$2:$CZ$104,W_!$A37,W_!AX$1)/Ns!$B$1</f>
        <v>3.5287245167457536E-2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</row>
    <row r="38" spans="1:58" x14ac:dyDescent="0.3">
      <c r="A38" s="18">
        <f>MATCH(C38,W_psid!$A$2:$A$104,0)</f>
        <v>97</v>
      </c>
      <c r="B38" s="18" t="str">
        <f>MOMS!$A$36</f>
        <v>betahrs0_w</v>
      </c>
      <c r="C38" s="18" t="str">
        <f>MOMS!$B$36</f>
        <v>betahrs0_w</v>
      </c>
      <c r="D38" s="20" cm="1">
        <f t="array" ref="D38">INDEX(W_psid!$B$2:$CZ$104,W_!$A38,W_!D$1)/Ns!$B$1</f>
        <v>0.14021692764172106</v>
      </c>
      <c r="E38" s="20" cm="1">
        <f t="array" ref="E38">INDEX(W_psid!$B$2:$CZ$104,W_!$A38,W_!E$1)/Ns!$B$1</f>
        <v>0.30377692678966633</v>
      </c>
      <c r="F38" s="20" cm="1">
        <f t="array" ref="F38">INDEX(W_psid!$B$2:$CZ$104,W_!$A38,W_!F$1)/Ns!$B$1</f>
        <v>0.44813250237325675</v>
      </c>
      <c r="G38" s="20" cm="1">
        <f t="array" ref="G38">INDEX(W_psid!$B$2:$CZ$104,W_!$A38,W_!G$1)/Ns!$B$1</f>
        <v>17.449720940823376</v>
      </c>
      <c r="H38" s="20" cm="1">
        <f t="array" ref="H38">INDEX(W_psid!$B$2:$CZ$104,W_!$A38,W_!H$1)/Ns!$B$1</f>
        <v>-2.7962130401665544</v>
      </c>
      <c r="I38" s="20" cm="1">
        <f t="array" ref="I38">INDEX(W_psid!$B$2:$CZ$104,W_!$A38,W_!I$1)/Ns!$B$1</f>
        <v>-8.7611688845451337</v>
      </c>
      <c r="J38" s="20" cm="1">
        <f t="array" ref="J38">INDEX(W_psid!$B$2:$CZ$104,W_!$A38,W_!J$1)/Ns!$B$1</f>
        <v>-8.6321741005811301</v>
      </c>
      <c r="K38" s="20" cm="1">
        <f t="array" ref="K38">INDEX(W_psid!$B$2:$CZ$104,W_!$A38,W_!K$1)/Ns!$B$1</f>
        <v>-4.3601617038206903</v>
      </c>
      <c r="L38" s="20" cm="1">
        <f t="array" ref="L38">INDEX(W_psid!$B$2:$CZ$104,W_!$A38,W_!L$1)/Ns!$B$1</f>
        <v>2.2943901123318047</v>
      </c>
      <c r="M38" s="20" cm="1">
        <f t="array" ref="M38">INDEX(W_psid!$B$2:$CZ$104,W_!$A38,W_!M$1)/Ns!$B$1</f>
        <v>-4.5559895958142986</v>
      </c>
      <c r="N38" s="20" cm="1">
        <f t="array" ref="N38">INDEX(W_psid!$B$2:$CZ$104,W_!$A38,W_!N$1)/Ns!$B$1</f>
        <v>0.57374104647262947</v>
      </c>
      <c r="O38" s="20" cm="1">
        <f t="array" ref="O38">INDEX(W_psid!$B$2:$CZ$104,W_!$A38,W_!O$1)/Ns!$B$1</f>
        <v>-1.4224655266011572</v>
      </c>
      <c r="P38" s="20" cm="1">
        <f t="array" ref="P38">INDEX(W_psid!$B$2:$CZ$104,W_!$A38,W_!P$1)/Ns!$B$1</f>
        <v>-3.9445329933461462E-2</v>
      </c>
      <c r="Q38" s="20" cm="1">
        <f t="array" ref="Q38">INDEX(W_psid!$B$2:$CZ$104,W_!$A38,W_!Q$1)/Ns!$B$1</f>
        <v>-10.705116349676027</v>
      </c>
      <c r="R38" s="20" cm="1">
        <f t="array" ref="R38">INDEX(W_psid!$B$2:$CZ$104,W_!$A38,W_!R$1)/Ns!$B$1</f>
        <v>8.7639010884126165</v>
      </c>
      <c r="S38" s="20" cm="1">
        <f t="array" ref="S38">INDEX(W_psid!$B$2:$CZ$104,W_!$A38,W_!S$1)/Ns!$B$1</f>
        <v>3.9418319682392421E-3</v>
      </c>
      <c r="T38" s="20" cm="1">
        <f t="array" ref="T38">INDEX(W_psid!$B$2:$CZ$104,W_!$A38,W_!T$1)/Ns!$B$1</f>
        <v>-1.632940465147422E-4</v>
      </c>
      <c r="U38" s="20" cm="1">
        <f t="array" ref="U38">INDEX(W_psid!$B$2:$CZ$104,W_!$A38,W_!U$1)/Ns!$B$1</f>
        <v>1.6618237691310973E-3</v>
      </c>
      <c r="V38" s="20" cm="1">
        <f t="array" ref="V38">INDEX(W_psid!$B$2:$CZ$104,W_!$A38,W_!V$1)/Ns!$B$1</f>
        <v>-0.73755269637817011</v>
      </c>
      <c r="W38" s="20" cm="1">
        <f t="array" ref="W38">INDEX(W_psid!$B$2:$CZ$104,W_!$A38,W_!W$1)/Ns!$B$1</f>
        <v>-0.70451704426248585</v>
      </c>
      <c r="X38" s="20" cm="1">
        <f t="array" ref="X38">INDEX(W_psid!$B$2:$CZ$104,W_!$A38,W_!X$1)/Ns!$B$1</f>
        <v>-0.51656789555781224</v>
      </c>
      <c r="Y38" s="20" cm="1">
        <f t="array" ref="Y38">INDEX(W_psid!$B$2:$CZ$104,W_!$A38,W_!Y$1)/Ns!$B$1</f>
        <v>-0.41234369020342626</v>
      </c>
      <c r="Z38" s="20" cm="1">
        <f t="array" ref="Z38">INDEX(W_psid!$B$2:$CZ$104,W_!$A38,W_!Z$1)/Ns!$B$1</f>
        <v>-0.30979021885714791</v>
      </c>
      <c r="AA38" s="20" cm="1">
        <f t="array" ref="AA38">INDEX(W_psid!$B$2:$CZ$104,W_!$A38,W_!AA$1)/Ns!$B$1</f>
        <v>-0.41424699041219148</v>
      </c>
      <c r="AB38" s="20" cm="1">
        <f t="array" ref="AB38">INDEX(W_psid!$B$2:$CZ$104,W_!$A38,W_!AB$1)/Ns!$B$1</f>
        <v>0.1442145137283487</v>
      </c>
      <c r="AC38" s="20" cm="1">
        <f t="array" ref="AC38">INDEX(W_psid!$B$2:$CZ$104,W_!$A38,W_!AC$1)/Ns!$B$1</f>
        <v>-7.5464921961872619E-3</v>
      </c>
      <c r="AD38" s="20" cm="1">
        <f t="array" ref="AD38">INDEX(W_psid!$B$2:$CZ$104,W_!$A38,W_!AD$1)/Ns!$B$1</f>
        <v>5.9390359635492537E-2</v>
      </c>
      <c r="AE38" s="20" cm="1">
        <f t="array" ref="AE38">INDEX(W_psid!$B$2:$CZ$104,W_!$A38,W_!AE$1)/Ns!$B$1</f>
        <v>0.12678892730171853</v>
      </c>
      <c r="AF38" s="20" cm="1">
        <f t="array" ref="AF38">INDEX(W_psid!$B$2:$CZ$104,W_!$A38,W_!AF$1)/Ns!$B$1</f>
        <v>-8.3087689012876993</v>
      </c>
      <c r="AG38" s="20" cm="1">
        <f t="array" ref="AG38">INDEX(W_psid!$B$2:$CZ$104,W_!$A38,W_!AG$1)/Ns!$B$1</f>
        <v>-7.95228609594768</v>
      </c>
      <c r="AH38" s="20" cm="1">
        <f t="array" ref="AH38">INDEX(W_psid!$B$2:$CZ$104,W_!$A38,W_!AH$1)/Ns!$B$1</f>
        <v>1.3910416734026541E-2</v>
      </c>
      <c r="AI38" s="20" cm="1">
        <f t="array" ref="AI38">INDEX(W_psid!$B$2:$CZ$104,W_!$A38,W_!AI$1)/Ns!$B$1</f>
        <v>-3.680372415123534E-2</v>
      </c>
      <c r="AJ38" s="20" cm="1">
        <f t="array" ref="AJ38">INDEX(W_psid!$B$2:$CZ$104,W_!$A38,W_!AJ$1)/Ns!$B$1</f>
        <v>9.8221222570365053E-4</v>
      </c>
      <c r="AK38" s="20" cm="1">
        <f t="array" ref="AK38">INDEX(W_psid!$B$2:$CZ$104,W_!$A38,W_!AK$1)/Ns!$B$1</f>
        <v>3.5555883296242961</v>
      </c>
      <c r="AL38" s="20" cm="1">
        <f t="array" ref="AL38">INDEX(W_psid!$B$2:$CZ$104,W_!$A38,W_!AL$1)/Ns!$B$1</f>
        <v>5.1010326037136213</v>
      </c>
      <c r="AM38" s="20" cm="1">
        <f t="array" ref="AM38">INDEX(W_psid!$B$2:$CZ$104,W_!$A38,W_!AM$1)/Ns!$B$1</f>
        <v>-1.2230757375223653</v>
      </c>
      <c r="AN38" s="20" cm="1">
        <f t="array" ref="AN38">INDEX(W_psid!$B$2:$CZ$104,W_!$A38,W_!AN$1)/Ns!$B$1</f>
        <v>-6.6196058341054659E-2</v>
      </c>
      <c r="AO38" s="20" cm="1">
        <f t="array" ref="AO38">INDEX(W_psid!$B$2:$CZ$104,W_!$A38,W_!AO$1)/Ns!$B$1</f>
        <v>-2.7629502260267291E-3</v>
      </c>
      <c r="AP38" s="20" cm="1">
        <f t="array" ref="AP38">INDEX(W_psid!$B$2:$CZ$104,W_!$A38,W_!AP$1)/Ns!$B$1</f>
        <v>-6.5845512090791969</v>
      </c>
      <c r="AQ38" s="20" cm="1">
        <f t="array" ref="AQ38">INDEX(W_psid!$B$2:$CZ$104,W_!$A38,W_!AQ$1)/Ns!$B$1</f>
        <v>-8.8616473185841098</v>
      </c>
      <c r="AR38" s="20" cm="1">
        <f t="array" ref="AR38">INDEX(W_psid!$B$2:$CZ$104,W_!$A38,W_!AR$1)/Ns!$B$1</f>
        <v>-0.21551293007649822</v>
      </c>
      <c r="AS38" s="20" cm="1">
        <f t="array" ref="AS38">INDEX(W_psid!$B$2:$CZ$104,W_!$A38,W_!AS$1)/Ns!$B$1</f>
        <v>5.2979660206330756E-5</v>
      </c>
      <c r="AT38" s="20" cm="1">
        <f t="array" ref="AT38">INDEX(W_psid!$B$2:$CZ$104,W_!$A38,W_!AT$1)/Ns!$B$1</f>
        <v>1.4502780721509778E-3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-1.5876811761477403</v>
      </c>
      <c r="AW38" s="20" cm="1">
        <f t="array" ref="AW38">INDEX(W_psid!$B$2:$CZ$104,W_!$A38,W_!AW$1)/Ns!$B$1</f>
        <v>0.34485840276493518</v>
      </c>
      <c r="AX38" s="20" cm="1">
        <f t="array" ref="AX38">INDEX(W_psid!$B$2:$CZ$104,W_!$A38,W_!AX$1)/Ns!$B$1</f>
        <v>0.11935785304220023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</row>
    <row r="39" spans="1:58" x14ac:dyDescent="0.3">
      <c r="A39" s="18">
        <f>MATCH(C39,W_psid!$A$2:$A$104,0)</f>
        <v>99</v>
      </c>
      <c r="B39" s="18" t="str">
        <f>MOMS!$A$37</f>
        <v>betahwk_w</v>
      </c>
      <c r="C39" s="18" t="str">
        <f>MOMS!$B$37</f>
        <v>betahwk_w</v>
      </c>
      <c r="D39" s="20" cm="1">
        <f t="array" ref="D39">INDEX(W_psid!$B$2:$CZ$104,W_!$A39,W_!D$1)/Ns!$B$1</f>
        <v>-2.8461074889114219E-2</v>
      </c>
      <c r="E39" s="20" cm="1">
        <f t="array" ref="E39">INDEX(W_psid!$B$2:$CZ$104,W_!$A39,W_!E$1)/Ns!$B$1</f>
        <v>5.1505124469242505E-2</v>
      </c>
      <c r="F39" s="20" cm="1">
        <f t="array" ref="F39">INDEX(W_psid!$B$2:$CZ$104,W_!$A39,W_!F$1)/Ns!$B$1</f>
        <v>-8.8305435662053844E-2</v>
      </c>
      <c r="G39" s="20" cm="1">
        <f t="array" ref="G39">INDEX(W_psid!$B$2:$CZ$104,W_!$A39,W_!G$1)/Ns!$B$1</f>
        <v>-4.3639392008010383</v>
      </c>
      <c r="H39" s="20" cm="1">
        <f t="array" ref="H39">INDEX(W_psid!$B$2:$CZ$104,W_!$A39,W_!H$1)/Ns!$B$1</f>
        <v>-0.6773253472438856</v>
      </c>
      <c r="I39" s="20" cm="1">
        <f t="array" ref="I39">INDEX(W_psid!$B$2:$CZ$104,W_!$A39,W_!I$1)/Ns!$B$1</f>
        <v>1.6149390164666908</v>
      </c>
      <c r="J39" s="20" cm="1">
        <f t="array" ref="J39">INDEX(W_psid!$B$2:$CZ$104,W_!$A39,W_!J$1)/Ns!$B$1</f>
        <v>1.9954229263422412</v>
      </c>
      <c r="K39" s="20" cm="1">
        <f t="array" ref="K39">INDEX(W_psid!$B$2:$CZ$104,W_!$A39,W_!K$1)/Ns!$B$1</f>
        <v>-0.89512704722000325</v>
      </c>
      <c r="L39" s="20" cm="1">
        <f t="array" ref="L39">INDEX(W_psid!$B$2:$CZ$104,W_!$A39,W_!L$1)/Ns!$B$1</f>
        <v>0.85770556198722403</v>
      </c>
      <c r="M39" s="20" cm="1">
        <f t="array" ref="M39">INDEX(W_psid!$B$2:$CZ$104,W_!$A39,W_!M$1)/Ns!$B$1</f>
        <v>2.2288258055699006</v>
      </c>
      <c r="N39" s="20" cm="1">
        <f t="array" ref="N39">INDEX(W_psid!$B$2:$CZ$104,W_!$A39,W_!N$1)/Ns!$B$1</f>
        <v>-0.42925235078162455</v>
      </c>
      <c r="O39" s="20" cm="1">
        <f t="array" ref="O39">INDEX(W_psid!$B$2:$CZ$104,W_!$A39,W_!O$1)/Ns!$B$1</f>
        <v>-0.53975292499347238</v>
      </c>
      <c r="P39" s="20" cm="1">
        <f t="array" ref="P39">INDEX(W_psid!$B$2:$CZ$104,W_!$A39,W_!P$1)/Ns!$B$1</f>
        <v>0.24521314630293212</v>
      </c>
      <c r="Q39" s="20" cm="1">
        <f t="array" ref="Q39">INDEX(W_psid!$B$2:$CZ$104,W_!$A39,W_!Q$1)/Ns!$B$1</f>
        <v>1.9844590314666792</v>
      </c>
      <c r="R39" s="20" cm="1">
        <f t="array" ref="R39">INDEX(W_psid!$B$2:$CZ$104,W_!$A39,W_!R$1)/Ns!$B$1</f>
        <v>-2.1608060285536097</v>
      </c>
      <c r="S39" s="20" cm="1">
        <f t="array" ref="S39">INDEX(W_psid!$B$2:$CZ$104,W_!$A39,W_!S$1)/Ns!$B$1</f>
        <v>-8.9001213500686466E-4</v>
      </c>
      <c r="T39" s="20" cm="1">
        <f t="array" ref="T39">INDEX(W_psid!$B$2:$CZ$104,W_!$A39,W_!T$1)/Ns!$B$1</f>
        <v>-2.5694311619734271E-5</v>
      </c>
      <c r="U39" s="20" cm="1">
        <f t="array" ref="U39">INDEX(W_psid!$B$2:$CZ$104,W_!$A39,W_!U$1)/Ns!$B$1</f>
        <v>-3.5488244132793833E-3</v>
      </c>
      <c r="V39" s="20" cm="1">
        <f t="array" ref="V39">INDEX(W_psid!$B$2:$CZ$104,W_!$A39,W_!V$1)/Ns!$B$1</f>
        <v>-6.494376775702633E-2</v>
      </c>
      <c r="W39" s="20" cm="1">
        <f t="array" ref="W39">INDEX(W_psid!$B$2:$CZ$104,W_!$A39,W_!W$1)/Ns!$B$1</f>
        <v>-6.7238603502855224E-2</v>
      </c>
      <c r="X39" s="20" cm="1">
        <f t="array" ref="X39">INDEX(W_psid!$B$2:$CZ$104,W_!$A39,W_!X$1)/Ns!$B$1</f>
        <v>-0.13720264922439371</v>
      </c>
      <c r="Y39" s="20" cm="1">
        <f t="array" ref="Y39">INDEX(W_psid!$B$2:$CZ$104,W_!$A39,W_!Y$1)/Ns!$B$1</f>
        <v>-0.17762896328257438</v>
      </c>
      <c r="Z39" s="20" cm="1">
        <f t="array" ref="Z39">INDEX(W_psid!$B$2:$CZ$104,W_!$A39,W_!Z$1)/Ns!$B$1</f>
        <v>-0.1986671429372808</v>
      </c>
      <c r="AA39" s="20" cm="1">
        <f t="array" ref="AA39">INDEX(W_psid!$B$2:$CZ$104,W_!$A39,W_!AA$1)/Ns!$B$1</f>
        <v>-0.17467805837566447</v>
      </c>
      <c r="AB39" s="20" cm="1">
        <f t="array" ref="AB39">INDEX(W_psid!$B$2:$CZ$104,W_!$A39,W_!AB$1)/Ns!$B$1</f>
        <v>-7.2018522250505326E-2</v>
      </c>
      <c r="AC39" s="20" cm="1">
        <f t="array" ref="AC39">INDEX(W_psid!$B$2:$CZ$104,W_!$A39,W_!AC$1)/Ns!$B$1</f>
        <v>1.3252692690717334E-3</v>
      </c>
      <c r="AD39" s="20" cm="1">
        <f t="array" ref="AD39">INDEX(W_psid!$B$2:$CZ$104,W_!$A39,W_!AD$1)/Ns!$B$1</f>
        <v>3.4649981734617426E-2</v>
      </c>
      <c r="AE39" s="20" cm="1">
        <f t="array" ref="AE39">INDEX(W_psid!$B$2:$CZ$104,W_!$A39,W_!AE$1)/Ns!$B$1</f>
        <v>-3.7301706646152635E-3</v>
      </c>
      <c r="AF39" s="20" cm="1">
        <f t="array" ref="AF39">INDEX(W_psid!$B$2:$CZ$104,W_!$A39,W_!AF$1)/Ns!$B$1</f>
        <v>0.92379144745822162</v>
      </c>
      <c r="AG39" s="20" cm="1">
        <f t="array" ref="AG39">INDEX(W_psid!$B$2:$CZ$104,W_!$A39,W_!AG$1)/Ns!$B$1</f>
        <v>0.96403812146753343</v>
      </c>
      <c r="AH39" s="20" cm="1">
        <f t="array" ref="AH39">INDEX(W_psid!$B$2:$CZ$104,W_!$A39,W_!AH$1)/Ns!$B$1</f>
        <v>-1.3135812898263811E-2</v>
      </c>
      <c r="AI39" s="20" cm="1">
        <f t="array" ref="AI39">INDEX(W_psid!$B$2:$CZ$104,W_!$A39,W_!AI$1)/Ns!$B$1</f>
        <v>7.0569102074508701E-4</v>
      </c>
      <c r="AJ39" s="20" cm="1">
        <f t="array" ref="AJ39">INDEX(W_psid!$B$2:$CZ$104,W_!$A39,W_!AJ$1)/Ns!$B$1</f>
        <v>-2.2640819798148387E-4</v>
      </c>
      <c r="AK39" s="20" cm="1">
        <f t="array" ref="AK39">INDEX(W_psid!$B$2:$CZ$104,W_!$A39,W_!AK$1)/Ns!$B$1</f>
        <v>-0.91551049512640437</v>
      </c>
      <c r="AL39" s="20" cm="1">
        <f t="array" ref="AL39">INDEX(W_psid!$B$2:$CZ$104,W_!$A39,W_!AL$1)/Ns!$B$1</f>
        <v>-1.2230757375223653</v>
      </c>
      <c r="AM39" s="20" cm="1">
        <f t="array" ref="AM39">INDEX(W_psid!$B$2:$CZ$104,W_!$A39,W_!AM$1)/Ns!$B$1</f>
        <v>0.74617217151214066</v>
      </c>
      <c r="AN39" s="20" cm="1">
        <f t="array" ref="AN39">INDEX(W_psid!$B$2:$CZ$104,W_!$A39,W_!AN$1)/Ns!$B$1</f>
        <v>2.2871431799020136E-2</v>
      </c>
      <c r="AO39" s="20" cm="1">
        <f t="array" ref="AO39">INDEX(W_psid!$B$2:$CZ$104,W_!$A39,W_!AO$1)/Ns!$B$1</f>
        <v>8.1580032316464803E-4</v>
      </c>
      <c r="AP39" s="20" cm="1">
        <f t="array" ref="AP39">INDEX(W_psid!$B$2:$CZ$104,W_!$A39,W_!AP$1)/Ns!$B$1</f>
        <v>2.5590092764055119</v>
      </c>
      <c r="AQ39" s="20" cm="1">
        <f t="array" ref="AQ39">INDEX(W_psid!$B$2:$CZ$104,W_!$A39,W_!AQ$1)/Ns!$B$1</f>
        <v>3.2159213955603625</v>
      </c>
      <c r="AR39" s="20" cm="1">
        <f t="array" ref="AR39">INDEX(W_psid!$B$2:$CZ$104,W_!$A39,W_!AR$1)/Ns!$B$1</f>
        <v>-1.973197768554767</v>
      </c>
      <c r="AS39" s="20" cm="1">
        <f t="array" ref="AS39">INDEX(W_psid!$B$2:$CZ$104,W_!$A39,W_!AS$1)/Ns!$B$1</f>
        <v>1.3958659659155129E-5</v>
      </c>
      <c r="AT39" s="20" cm="1">
        <f t="array" ref="AT39">INDEX(W_psid!$B$2:$CZ$104,W_!$A39,W_!AT$1)/Ns!$B$1</f>
        <v>-1.4498701777755773E-3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-0.15180097190275266</v>
      </c>
      <c r="AW39" s="20" cm="1">
        <f t="array" ref="AW39">INDEX(W_psid!$B$2:$CZ$104,W_!$A39,W_!AW$1)/Ns!$B$1</f>
        <v>-0.17876183684662375</v>
      </c>
      <c r="AX39" s="20" cm="1">
        <f t="array" ref="AX39">INDEX(W_psid!$B$2:$CZ$104,W_!$A39,W_!AX$1)/Ns!$B$1</f>
        <v>2.3249606954764523E-2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</row>
    <row r="40" spans="1:58" x14ac:dyDescent="0.3">
      <c r="A40" s="18">
        <f>MATCH(C40,W_psid!$A$2:$A$104,0)</f>
        <v>90</v>
      </c>
      <c r="B40" s="18" t="str">
        <f>MOMS!$A$38</f>
        <v>betacom</v>
      </c>
      <c r="C40" s="18" t="str">
        <f>MOMS!$B$38</f>
        <v>betacom</v>
      </c>
      <c r="D40" s="20" cm="1">
        <f t="array" ref="D40">INDEX(W_psid!$B$2:$CZ$104,W_!$A40,W_!D$1)/Ns!$B$1</f>
        <v>-5.3623203356500913E-3</v>
      </c>
      <c r="E40" s="20" cm="1">
        <f t="array" ref="E40">INDEX(W_psid!$B$2:$CZ$104,W_!$A40,W_!E$1)/Ns!$B$1</f>
        <v>-8.6294955870413297E-3</v>
      </c>
      <c r="F40" s="20" cm="1">
        <f t="array" ref="F40">INDEX(W_psid!$B$2:$CZ$104,W_!$A40,W_!F$1)/Ns!$B$1</f>
        <v>-1.1023985276747516E-2</v>
      </c>
      <c r="G40" s="20" cm="1">
        <f t="array" ref="G40">INDEX(W_psid!$B$2:$CZ$104,W_!$A40,W_!G$1)/Ns!$B$1</f>
        <v>-0.59736431841097892</v>
      </c>
      <c r="H40" s="20" cm="1">
        <f t="array" ref="H40">INDEX(W_psid!$B$2:$CZ$104,W_!$A40,W_!H$1)/Ns!$B$1</f>
        <v>-0.17962414737248109</v>
      </c>
      <c r="I40" s="20" cm="1">
        <f t="array" ref="I40">INDEX(W_psid!$B$2:$CZ$104,W_!$A40,W_!I$1)/Ns!$B$1</f>
        <v>0.25407926025586514</v>
      </c>
      <c r="J40" s="20" cm="1">
        <f t="array" ref="J40">INDEX(W_psid!$B$2:$CZ$104,W_!$A40,W_!J$1)/Ns!$B$1</f>
        <v>0.36221517568126227</v>
      </c>
      <c r="K40" s="20" cm="1">
        <f t="array" ref="K40">INDEX(W_psid!$B$2:$CZ$104,W_!$A40,W_!K$1)/Ns!$B$1</f>
        <v>0.19066363843696074</v>
      </c>
      <c r="L40" s="20" cm="1">
        <f t="array" ref="L40">INDEX(W_psid!$B$2:$CZ$104,W_!$A40,W_!L$1)/Ns!$B$1</f>
        <v>9.4590071681646334E-2</v>
      </c>
      <c r="M40" s="20" cm="1">
        <f t="array" ref="M40">INDEX(W_psid!$B$2:$CZ$104,W_!$A40,W_!M$1)/Ns!$B$1</f>
        <v>2.0952311896691785E-2</v>
      </c>
      <c r="N40" s="20" cm="1">
        <f t="array" ref="N40">INDEX(W_psid!$B$2:$CZ$104,W_!$A40,W_!N$1)/Ns!$B$1</f>
        <v>-0.20504726432727796</v>
      </c>
      <c r="O40" s="20" cm="1">
        <f t="array" ref="O40">INDEX(W_psid!$B$2:$CZ$104,W_!$A40,W_!O$1)/Ns!$B$1</f>
        <v>-0.11030683653697052</v>
      </c>
      <c r="P40" s="20" cm="1">
        <f t="array" ref="P40">INDEX(W_psid!$B$2:$CZ$104,W_!$A40,W_!P$1)/Ns!$B$1</f>
        <v>-9.1463954627892932E-2</v>
      </c>
      <c r="Q40" s="20" cm="1">
        <f t="array" ref="Q40">INDEX(W_psid!$B$2:$CZ$104,W_!$A40,W_!Q$1)/Ns!$B$1</f>
        <v>1.15446283087839</v>
      </c>
      <c r="R40" s="20" cm="1">
        <f t="array" ref="R40">INDEX(W_psid!$B$2:$CZ$104,W_!$A40,W_!R$1)/Ns!$B$1</f>
        <v>-0.55193326065494019</v>
      </c>
      <c r="S40" s="20" cm="1">
        <f t="array" ref="S40">INDEX(W_psid!$B$2:$CZ$104,W_!$A40,W_!S$1)/Ns!$B$1</f>
        <v>-1.1840998320993241E-4</v>
      </c>
      <c r="T40" s="20" cm="1">
        <f t="array" ref="T40">INDEX(W_psid!$B$2:$CZ$104,W_!$A40,W_!T$1)/Ns!$B$1</f>
        <v>-9.7657821818359184E-6</v>
      </c>
      <c r="U40" s="20" cm="1">
        <f t="array" ref="U40">INDEX(W_psid!$B$2:$CZ$104,W_!$A40,W_!U$1)/Ns!$B$1</f>
        <v>1.8809139434090142E-4</v>
      </c>
      <c r="V40" s="20" cm="1">
        <f t="array" ref="V40">INDEX(W_psid!$B$2:$CZ$104,W_!$A40,W_!V$1)/Ns!$B$1</f>
        <v>4.3905894926830898E-2</v>
      </c>
      <c r="W40" s="20" cm="1">
        <f t="array" ref="W40">INDEX(W_psid!$B$2:$CZ$104,W_!$A40,W_!W$1)/Ns!$B$1</f>
        <v>4.2739931522903958E-2</v>
      </c>
      <c r="X40" s="20" cm="1">
        <f t="array" ref="X40">INDEX(W_psid!$B$2:$CZ$104,W_!$A40,W_!X$1)/Ns!$B$1</f>
        <v>2.8871953815078281E-2</v>
      </c>
      <c r="Y40" s="20" cm="1">
        <f t="array" ref="Y40">INDEX(W_psid!$B$2:$CZ$104,W_!$A40,W_!Y$1)/Ns!$B$1</f>
        <v>2.1952265802927338E-2</v>
      </c>
      <c r="Z40" s="20" cm="1">
        <f t="array" ref="Z40">INDEX(W_psid!$B$2:$CZ$104,W_!$A40,W_!Z$1)/Ns!$B$1</f>
        <v>1.8302172777476273E-2</v>
      </c>
      <c r="AA40" s="20" cm="1">
        <f t="array" ref="AA40">INDEX(W_psid!$B$2:$CZ$104,W_!$A40,W_!AA$1)/Ns!$B$1</f>
        <v>2.2447165594873881E-2</v>
      </c>
      <c r="AB40" s="20" cm="1">
        <f t="array" ref="AB40">INDEX(W_psid!$B$2:$CZ$104,W_!$A40,W_!AB$1)/Ns!$B$1</f>
        <v>-5.0475449425882828E-3</v>
      </c>
      <c r="AC40" s="20" cm="1">
        <f t="array" ref="AC40">INDEX(W_psid!$B$2:$CZ$104,W_!$A40,W_!AC$1)/Ns!$B$1</f>
        <v>-6.1009833339954224E-5</v>
      </c>
      <c r="AD40" s="20" cm="1">
        <f t="array" ref="AD40">INDEX(W_psid!$B$2:$CZ$104,W_!$A40,W_!AD$1)/Ns!$B$1</f>
        <v>1.9450196812617854E-3</v>
      </c>
      <c r="AE40" s="20" cm="1">
        <f t="array" ref="AE40">INDEX(W_psid!$B$2:$CZ$104,W_!$A40,W_!AE$1)/Ns!$B$1</f>
        <v>5.2036308219859691E-5</v>
      </c>
      <c r="AF40" s="20" cm="1">
        <f t="array" ref="AF40">INDEX(W_psid!$B$2:$CZ$104,W_!$A40,W_!AF$1)/Ns!$B$1</f>
        <v>0.43651259841409895</v>
      </c>
      <c r="AG40" s="20" cm="1">
        <f t="array" ref="AG40">INDEX(W_psid!$B$2:$CZ$104,W_!$A40,W_!AG$1)/Ns!$B$1</f>
        <v>0.36564350654102568</v>
      </c>
      <c r="AH40" s="20" cm="1">
        <f t="array" ref="AH40">INDEX(W_psid!$B$2:$CZ$104,W_!$A40,W_!AH$1)/Ns!$B$1</f>
        <v>9.0808856237600279E-4</v>
      </c>
      <c r="AI40" s="20" cm="1">
        <f t="array" ref="AI40">INDEX(W_psid!$B$2:$CZ$104,W_!$A40,W_!AI$1)/Ns!$B$1</f>
        <v>-4.0278923003072659E-4</v>
      </c>
      <c r="AJ40" s="20" cm="1">
        <f t="array" ref="AJ40">INDEX(W_psid!$B$2:$CZ$104,W_!$A40,W_!AJ$1)/Ns!$B$1</f>
        <v>-1.5840170677510168E-5</v>
      </c>
      <c r="AK40" s="20" cm="1">
        <f t="array" ref="AK40">INDEX(W_psid!$B$2:$CZ$104,W_!$A40,W_!AK$1)/Ns!$B$1</f>
        <v>-4.2886659294828738E-2</v>
      </c>
      <c r="AL40" s="20" cm="1">
        <f t="array" ref="AL40">INDEX(W_psid!$B$2:$CZ$104,W_!$A40,W_!AL$1)/Ns!$B$1</f>
        <v>-6.6196058341054659E-2</v>
      </c>
      <c r="AM40" s="20" cm="1">
        <f t="array" ref="AM40">INDEX(W_psid!$B$2:$CZ$104,W_!$A40,W_!AM$1)/Ns!$B$1</f>
        <v>2.2871431799020136E-2</v>
      </c>
      <c r="AN40" s="20" cm="1">
        <f t="array" ref="AN40">INDEX(W_psid!$B$2:$CZ$104,W_!$A40,W_!AN$1)/Ns!$B$1</f>
        <v>1.4680435571194523E-2</v>
      </c>
      <c r="AO40" s="20" cm="1">
        <f t="array" ref="AO40">INDEX(W_psid!$B$2:$CZ$104,W_!$A40,W_!AO$1)/Ns!$B$1</f>
        <v>2.3190405022475783E-5</v>
      </c>
      <c r="AP40" s="20" cm="1">
        <f t="array" ref="AP40">INDEX(W_psid!$B$2:$CZ$104,W_!$A40,W_!AP$1)/Ns!$B$1</f>
        <v>-0.12671210568716751</v>
      </c>
      <c r="AQ40" s="20" cm="1">
        <f t="array" ref="AQ40">INDEX(W_psid!$B$2:$CZ$104,W_!$A40,W_!AQ$1)/Ns!$B$1</f>
        <v>-0.13183708575618153</v>
      </c>
      <c r="AR40" s="20" cm="1">
        <f t="array" ref="AR40">INDEX(W_psid!$B$2:$CZ$104,W_!$A40,W_!AR$1)/Ns!$B$1</f>
        <v>0.20142637797622295</v>
      </c>
      <c r="AS40" s="20" cm="1">
        <f t="array" ref="AS40">INDEX(W_psid!$B$2:$CZ$104,W_!$A40,W_!AS$1)/Ns!$B$1</f>
        <v>2.9722716194984094E-6</v>
      </c>
      <c r="AT40" s="20" cm="1">
        <f t="array" ref="AT40">INDEX(W_psid!$B$2:$CZ$104,W_!$A40,W_!AT$1)/Ns!$B$1</f>
        <v>6.3657567097755786E-6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1.0632501199078274E-2</v>
      </c>
      <c r="AW40" s="20" cm="1">
        <f t="array" ref="AW40">INDEX(W_psid!$B$2:$CZ$104,W_!$A40,W_!AW$1)/Ns!$B$1</f>
        <v>-5.5136161975131049E-4</v>
      </c>
      <c r="AX40" s="20" cm="1">
        <f t="array" ref="AX40">INDEX(W_psid!$B$2:$CZ$104,W_!$A40,W_!AX$1)/Ns!$B$1</f>
        <v>2.6366899553613237E-3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</row>
    <row r="41" spans="1:58" x14ac:dyDescent="0.3">
      <c r="A41" s="18">
        <f>MATCH(C41,W_psid!$A$2:$A$104,0)</f>
        <v>92</v>
      </c>
      <c r="B41" s="18" t="str">
        <f>MOMS!$A$39</f>
        <v>betalfp</v>
      </c>
      <c r="C41" s="18" t="str">
        <f>MOMS!$B$39</f>
        <v>betalfp</v>
      </c>
      <c r="D41" s="20" cm="1">
        <f t="array" ref="D41">INDEX(W_psid!$B$2:$CZ$104,W_!$A41,W_!D$1)/Ns!$B$1</f>
        <v>-2.8598718190060682E-5</v>
      </c>
      <c r="E41" s="20" cm="1">
        <f t="array" ref="E41">INDEX(W_psid!$B$2:$CZ$104,W_!$A41,W_!E$1)/Ns!$B$1</f>
        <v>-4.4798889089126627E-4</v>
      </c>
      <c r="F41" s="20" cm="1">
        <f t="array" ref="F41">INDEX(W_psid!$B$2:$CZ$104,W_!$A41,W_!F$1)/Ns!$B$1</f>
        <v>8.1145447449764235E-5</v>
      </c>
      <c r="G41" s="20" cm="1">
        <f t="array" ref="G41">INDEX(W_psid!$B$2:$CZ$104,W_!$A41,W_!G$1)/Ns!$B$1</f>
        <v>-2.9786419284305401E-3</v>
      </c>
      <c r="H41" s="20" cm="1">
        <f t="array" ref="H41">INDEX(W_psid!$B$2:$CZ$104,W_!$A41,W_!H$1)/Ns!$B$1</f>
        <v>-8.5093612571747468E-4</v>
      </c>
      <c r="I41" s="20" cm="1">
        <f t="array" ref="I41">INDEX(W_psid!$B$2:$CZ$104,W_!$A41,W_!I$1)/Ns!$B$1</f>
        <v>7.0343246419764475E-3</v>
      </c>
      <c r="J41" s="20" cm="1">
        <f t="array" ref="J41">INDEX(W_psid!$B$2:$CZ$104,W_!$A41,W_!J$1)/Ns!$B$1</f>
        <v>4.9341955940738957E-3</v>
      </c>
      <c r="K41" s="20" cm="1">
        <f t="array" ref="K41">INDEX(W_psid!$B$2:$CZ$104,W_!$A41,W_!K$1)/Ns!$B$1</f>
        <v>-1.9079729319314588E-3</v>
      </c>
      <c r="L41" s="20" cm="1">
        <f t="array" ref="L41">INDEX(W_psid!$B$2:$CZ$104,W_!$A41,W_!L$1)/Ns!$B$1</f>
        <v>-3.9737506886554494E-3</v>
      </c>
      <c r="M41" s="20" cm="1">
        <f t="array" ref="M41">INDEX(W_psid!$B$2:$CZ$104,W_!$A41,W_!M$1)/Ns!$B$1</f>
        <v>-2.2152197060234551E-4</v>
      </c>
      <c r="N41" s="20" cm="1">
        <f t="array" ref="N41">INDEX(W_psid!$B$2:$CZ$104,W_!$A41,W_!N$1)/Ns!$B$1</f>
        <v>1.6238967737109888E-3</v>
      </c>
      <c r="O41" s="20" cm="1">
        <f t="array" ref="O41">INDEX(W_psid!$B$2:$CZ$104,W_!$A41,W_!O$1)/Ns!$B$1</f>
        <v>-6.5912781929759713E-5</v>
      </c>
      <c r="P41" s="20" cm="1">
        <f t="array" ref="P41">INDEX(W_psid!$B$2:$CZ$104,W_!$A41,W_!P$1)/Ns!$B$1</f>
        <v>2.1294941760165173E-3</v>
      </c>
      <c r="Q41" s="20" cm="1">
        <f t="array" ref="Q41">INDEX(W_psid!$B$2:$CZ$104,W_!$A41,W_!Q$1)/Ns!$B$1</f>
        <v>9.6556002898318741E-3</v>
      </c>
      <c r="R41" s="20" cm="1">
        <f t="array" ref="R41">INDEX(W_psid!$B$2:$CZ$104,W_!$A41,W_!R$1)/Ns!$B$1</f>
        <v>-2.2757596970095326E-3</v>
      </c>
      <c r="S41" s="20" cm="1">
        <f t="array" ref="S41">INDEX(W_psid!$B$2:$CZ$104,W_!$A41,W_!S$1)/Ns!$B$1</f>
        <v>-1.7349786237770195E-6</v>
      </c>
      <c r="T41" s="20" cm="1">
        <f t="array" ref="T41">INDEX(W_psid!$B$2:$CZ$104,W_!$A41,W_!T$1)/Ns!$B$1</f>
        <v>-4.7172317334649043E-7</v>
      </c>
      <c r="U41" s="20" cm="1">
        <f t="array" ref="U41">INDEX(W_psid!$B$2:$CZ$104,W_!$A41,W_!U$1)/Ns!$B$1</f>
        <v>6.9241985147724297E-6</v>
      </c>
      <c r="V41" s="20" cm="1">
        <f t="array" ref="V41">INDEX(W_psid!$B$2:$CZ$104,W_!$A41,W_!V$1)/Ns!$B$1</f>
        <v>1.6104659543635203E-4</v>
      </c>
      <c r="W41" s="20" cm="1">
        <f t="array" ref="W41">INDEX(W_psid!$B$2:$CZ$104,W_!$A41,W_!W$1)/Ns!$B$1</f>
        <v>1.1330866192499276E-4</v>
      </c>
      <c r="X41" s="20" cm="1">
        <f t="array" ref="X41">INDEX(W_psid!$B$2:$CZ$104,W_!$A41,W_!X$1)/Ns!$B$1</f>
        <v>2.4081060356268729E-4</v>
      </c>
      <c r="Y41" s="20" cm="1">
        <f t="array" ref="Y41">INDEX(W_psid!$B$2:$CZ$104,W_!$A41,W_!Y$1)/Ns!$B$1</f>
        <v>1.9937431162332615E-4</v>
      </c>
      <c r="Z41" s="20" cm="1">
        <f t="array" ref="Z41">INDEX(W_psid!$B$2:$CZ$104,W_!$A41,W_!Z$1)/Ns!$B$1</f>
        <v>1.4384195571738701E-4</v>
      </c>
      <c r="AA41" s="20" cm="1">
        <f t="array" ref="AA41">INDEX(W_psid!$B$2:$CZ$104,W_!$A41,W_!AA$1)/Ns!$B$1</f>
        <v>2.3911746740832153E-4</v>
      </c>
      <c r="AB41" s="20" cm="1">
        <f t="array" ref="AB41">INDEX(W_psid!$B$2:$CZ$104,W_!$A41,W_!AB$1)/Ns!$B$1</f>
        <v>-5.7118747145927298E-5</v>
      </c>
      <c r="AC41" s="20" cm="1">
        <f t="array" ref="AC41">INDEX(W_psid!$B$2:$CZ$104,W_!$A41,W_!AC$1)/Ns!$B$1</f>
        <v>-4.6548306894436934E-6</v>
      </c>
      <c r="AD41" s="20" cm="1">
        <f t="array" ref="AD41">INDEX(W_psid!$B$2:$CZ$104,W_!$A41,W_!AD$1)/Ns!$B$1</f>
        <v>5.0117502250737949E-5</v>
      </c>
      <c r="AE41" s="20" cm="1">
        <f t="array" ref="AE41">INDEX(W_psid!$B$2:$CZ$104,W_!$A41,W_!AE$1)/Ns!$B$1</f>
        <v>-6.2334784853519364E-5</v>
      </c>
      <c r="AF41" s="20" cm="1">
        <f t="array" ref="AF41">INDEX(W_psid!$B$2:$CZ$104,W_!$A41,W_!AF$1)/Ns!$B$1</f>
        <v>2.3431880989195227E-3</v>
      </c>
      <c r="AG41" s="20" cm="1">
        <f t="array" ref="AG41">INDEX(W_psid!$B$2:$CZ$104,W_!$A41,W_!AG$1)/Ns!$B$1</f>
        <v>2.1335807911744623E-3</v>
      </c>
      <c r="AH41" s="20" cm="1">
        <f t="array" ref="AH41">INDEX(W_psid!$B$2:$CZ$104,W_!$A41,W_!AH$1)/Ns!$B$1</f>
        <v>-8.5191941960395607E-7</v>
      </c>
      <c r="AI41" s="20" cm="1">
        <f t="array" ref="AI41">INDEX(W_psid!$B$2:$CZ$104,W_!$A41,W_!AI$1)/Ns!$B$1</f>
        <v>1.9084820517752438E-6</v>
      </c>
      <c r="AJ41" s="20" cm="1">
        <f t="array" ref="AJ41">INDEX(W_psid!$B$2:$CZ$104,W_!$A41,W_!AJ$1)/Ns!$B$1</f>
        <v>-6.8752412463464582E-7</v>
      </c>
      <c r="AK41" s="20" cm="1">
        <f t="array" ref="AK41">INDEX(W_psid!$B$2:$CZ$104,W_!$A41,W_!AK$1)/Ns!$B$1</f>
        <v>-1.6723124911109534E-3</v>
      </c>
      <c r="AL41" s="20" cm="1">
        <f t="array" ref="AL41">INDEX(W_psid!$B$2:$CZ$104,W_!$A41,W_!AL$1)/Ns!$B$1</f>
        <v>-2.7629502260267291E-3</v>
      </c>
      <c r="AM41" s="20" cm="1">
        <f t="array" ref="AM41">INDEX(W_psid!$B$2:$CZ$104,W_!$A41,W_!AM$1)/Ns!$B$1</f>
        <v>8.1580032316464803E-4</v>
      </c>
      <c r="AN41" s="20" cm="1">
        <f t="array" ref="AN41">INDEX(W_psid!$B$2:$CZ$104,W_!$A41,W_!AN$1)/Ns!$B$1</f>
        <v>2.3190405022475783E-5</v>
      </c>
      <c r="AO41" s="20" cm="1">
        <f t="array" ref="AO41">INDEX(W_psid!$B$2:$CZ$104,W_!$A41,W_!AO$1)/Ns!$B$1</f>
        <v>5.7399703524626461E-6</v>
      </c>
      <c r="AP41" s="20" cm="1">
        <f t="array" ref="AP41">INDEX(W_psid!$B$2:$CZ$104,W_!$A41,W_!AP$1)/Ns!$B$1</f>
        <v>6.5851865653465159E-3</v>
      </c>
      <c r="AQ41" s="20" cm="1">
        <f t="array" ref="AQ41">INDEX(W_psid!$B$2:$CZ$104,W_!$A41,W_!AQ$1)/Ns!$B$1</f>
        <v>1.4767944990978981E-2</v>
      </c>
      <c r="AR41" s="20" cm="1">
        <f t="array" ref="AR41">INDEX(W_psid!$B$2:$CZ$104,W_!$A41,W_!AR$1)/Ns!$B$1</f>
        <v>-4.3807791638730432E-3</v>
      </c>
      <c r="AS41" s="20" cm="1">
        <f t="array" ref="AS41">INDEX(W_psid!$B$2:$CZ$104,W_!$A41,W_!AS$1)/Ns!$B$1</f>
        <v>1.2521211211533672E-7</v>
      </c>
      <c r="AT41" s="20" cm="1">
        <f t="array" ref="AT41">INDEX(W_psid!$B$2:$CZ$104,W_!$A41,W_!AT$1)/Ns!$B$1</f>
        <v>-8.1059776711433713E-7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1.7908144940826959E-3</v>
      </c>
      <c r="AW41" s="20" cm="1">
        <f t="array" ref="AW41">INDEX(W_psid!$B$2:$CZ$104,W_!$A41,W_!AW$1)/Ns!$B$1</f>
        <v>-8.0873541186015242E-5</v>
      </c>
      <c r="AX41" s="20" cm="1">
        <f t="array" ref="AX41">INDEX(W_psid!$B$2:$CZ$104,W_!$A41,W_!AX$1)/Ns!$B$1</f>
        <v>1.3104652161062165E-6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</row>
    <row r="42" spans="1:58" x14ac:dyDescent="0.3">
      <c r="A42" s="18">
        <f>MATCH(C42,W_psid!$A$2:$A$104,0)</f>
        <v>88</v>
      </c>
      <c r="B42" s="18" t="str">
        <f>MOMS!$A$40</f>
        <v>betahrs</v>
      </c>
      <c r="C42" s="18" t="str">
        <f>MOMS!$B$40</f>
        <v>betahrs</v>
      </c>
      <c r="D42" s="20" cm="1">
        <f t="array" ref="D42">INDEX(W_psid!$B$2:$CZ$104,W_!$A42,W_!D$1)/Ns!$B$1</f>
        <v>0.78019229937178458</v>
      </c>
      <c r="E42" s="20" cm="1">
        <f t="array" ref="E42">INDEX(W_psid!$B$2:$CZ$104,W_!$A42,W_!E$1)/Ns!$B$1</f>
        <v>1.3961660478597249</v>
      </c>
      <c r="F42" s="20" cm="1">
        <f t="array" ref="F42">INDEX(W_psid!$B$2:$CZ$104,W_!$A42,W_!F$1)/Ns!$B$1</f>
        <v>0.88764832509860148</v>
      </c>
      <c r="G42" s="20" cm="1">
        <f t="array" ref="G42">INDEX(W_psid!$B$2:$CZ$104,W_!$A42,W_!G$1)/Ns!$B$1</f>
        <v>38.251949018252837</v>
      </c>
      <c r="H42" s="20" cm="1">
        <f t="array" ref="H42">INDEX(W_psid!$B$2:$CZ$104,W_!$A42,W_!H$1)/Ns!$B$1</f>
        <v>2.5138056360901047</v>
      </c>
      <c r="I42" s="20" cm="1">
        <f t="array" ref="I42">INDEX(W_psid!$B$2:$CZ$104,W_!$A42,W_!I$1)/Ns!$B$1</f>
        <v>-10.577590245927539</v>
      </c>
      <c r="J42" s="20" cm="1">
        <f t="array" ref="J42">INDEX(W_psid!$B$2:$CZ$104,W_!$A42,W_!J$1)/Ns!$B$1</f>
        <v>-42.827532147009741</v>
      </c>
      <c r="K42" s="20" cm="1">
        <f t="array" ref="K42">INDEX(W_psid!$B$2:$CZ$104,W_!$A42,W_!K$1)/Ns!$B$1</f>
        <v>-24.755393801206246</v>
      </c>
      <c r="L42" s="20" cm="1">
        <f t="array" ref="L42">INDEX(W_psid!$B$2:$CZ$104,W_!$A42,W_!L$1)/Ns!$B$1</f>
        <v>-1.0280702068389354</v>
      </c>
      <c r="M42" s="20" cm="1">
        <f t="array" ref="M42">INDEX(W_psid!$B$2:$CZ$104,W_!$A42,W_!M$1)/Ns!$B$1</f>
        <v>22.674530878758258</v>
      </c>
      <c r="N42" s="20" cm="1">
        <f t="array" ref="N42">INDEX(W_psid!$B$2:$CZ$104,W_!$A42,W_!N$1)/Ns!$B$1</f>
        <v>0.64671794178374431</v>
      </c>
      <c r="O42" s="20" cm="1">
        <f t="array" ref="O42">INDEX(W_psid!$B$2:$CZ$104,W_!$A42,W_!O$1)/Ns!$B$1</f>
        <v>13.77640660501863</v>
      </c>
      <c r="P42" s="20" cm="1">
        <f t="array" ref="P42">INDEX(W_psid!$B$2:$CZ$104,W_!$A42,W_!P$1)/Ns!$B$1</f>
        <v>5.7317873816886031</v>
      </c>
      <c r="Q42" s="20" cm="1">
        <f t="array" ref="Q42">INDEX(W_psid!$B$2:$CZ$104,W_!$A42,W_!Q$1)/Ns!$B$1</f>
        <v>-26.738741444666946</v>
      </c>
      <c r="R42" s="20" cm="1">
        <f t="array" ref="R42">INDEX(W_psid!$B$2:$CZ$104,W_!$A42,W_!R$1)/Ns!$B$1</f>
        <v>7.9021873126290432</v>
      </c>
      <c r="S42" s="20" cm="1">
        <f t="array" ref="S42">INDEX(W_psid!$B$2:$CZ$104,W_!$A42,W_!S$1)/Ns!$B$1</f>
        <v>9.3063231139873005E-3</v>
      </c>
      <c r="T42" s="20" cm="1">
        <f t="array" ref="T42">INDEX(W_psid!$B$2:$CZ$104,W_!$A42,W_!T$1)/Ns!$B$1</f>
        <v>-4.8244033191779459E-3</v>
      </c>
      <c r="U42" s="20" cm="1">
        <f t="array" ref="U42">INDEX(W_psid!$B$2:$CZ$104,W_!$A42,W_!U$1)/Ns!$B$1</f>
        <v>3.4497522957964498E-3</v>
      </c>
      <c r="V42" s="20" cm="1">
        <f t="array" ref="V42">INDEX(W_psid!$B$2:$CZ$104,W_!$A42,W_!V$1)/Ns!$B$1</f>
        <v>-4.3191672179491158</v>
      </c>
      <c r="W42" s="20" cm="1">
        <f t="array" ref="W42">INDEX(W_psid!$B$2:$CZ$104,W_!$A42,W_!W$1)/Ns!$B$1</f>
        <v>-4.3752446030637726</v>
      </c>
      <c r="X42" s="20" cm="1">
        <f t="array" ref="X42">INDEX(W_psid!$B$2:$CZ$104,W_!$A42,W_!X$1)/Ns!$B$1</f>
        <v>-4.4591386621130003</v>
      </c>
      <c r="Y42" s="20" cm="1">
        <f t="array" ref="Y42">INDEX(W_psid!$B$2:$CZ$104,W_!$A42,W_!Y$1)/Ns!$B$1</f>
        <v>-4.0356359392964363</v>
      </c>
      <c r="Z42" s="20" cm="1">
        <f t="array" ref="Z42">INDEX(W_psid!$B$2:$CZ$104,W_!$A42,W_!Z$1)/Ns!$B$1</f>
        <v>-3.8731102655943217</v>
      </c>
      <c r="AA42" s="20" cm="1">
        <f t="array" ref="AA42">INDEX(W_psid!$B$2:$CZ$104,W_!$A42,W_!AA$1)/Ns!$B$1</f>
        <v>-4.4818020445393607</v>
      </c>
      <c r="AB42" s="20" cm="1">
        <f t="array" ref="AB42">INDEX(W_psid!$B$2:$CZ$104,W_!$A42,W_!AB$1)/Ns!$B$1</f>
        <v>-0.89517590002501157</v>
      </c>
      <c r="AC42" s="20" cm="1">
        <f t="array" ref="AC42">INDEX(W_psid!$B$2:$CZ$104,W_!$A42,W_!AC$1)/Ns!$B$1</f>
        <v>4.9755627923127972E-3</v>
      </c>
      <c r="AD42" s="20" cm="1">
        <f t="array" ref="AD42">INDEX(W_psid!$B$2:$CZ$104,W_!$A42,W_!AD$1)/Ns!$B$1</f>
        <v>1.4874061589443395</v>
      </c>
      <c r="AE42" s="20" cm="1">
        <f t="array" ref="AE42">INDEX(W_psid!$B$2:$CZ$104,W_!$A42,W_!AE$1)/Ns!$B$1</f>
        <v>-0.25698054514153529</v>
      </c>
      <c r="AF42" s="20" cm="1">
        <f t="array" ref="AF42">INDEX(W_psid!$B$2:$CZ$104,W_!$A42,W_!AF$1)/Ns!$B$1</f>
        <v>-39.952621398723068</v>
      </c>
      <c r="AG42" s="20" cm="1">
        <f t="array" ref="AG42">INDEX(W_psid!$B$2:$CZ$104,W_!$A42,W_!AG$1)/Ns!$B$1</f>
        <v>-32.903980457533372</v>
      </c>
      <c r="AH42" s="20" cm="1">
        <f t="array" ref="AH42">INDEX(W_psid!$B$2:$CZ$104,W_!$A42,W_!AH$1)/Ns!$B$1</f>
        <v>-0.20445737614044579</v>
      </c>
      <c r="AI42" s="20" cm="1">
        <f t="array" ref="AI42">INDEX(W_psid!$B$2:$CZ$104,W_!$A42,W_!AI$1)/Ns!$B$1</f>
        <v>3.5958507255325615E-2</v>
      </c>
      <c r="AJ42" s="20" cm="1">
        <f t="array" ref="AJ42">INDEX(W_psid!$B$2:$CZ$104,W_!$A42,W_!AJ$1)/Ns!$B$1</f>
        <v>-8.0951445337495889E-4</v>
      </c>
      <c r="AK42" s="20" cm="1">
        <f t="array" ref="AK42">INDEX(W_psid!$B$2:$CZ$104,W_!$A42,W_!AK$1)/Ns!$B$1</f>
        <v>-7.0901210807636161</v>
      </c>
      <c r="AL42" s="20" cm="1">
        <f t="array" ref="AL42">INDEX(W_psid!$B$2:$CZ$104,W_!$A42,W_!AL$1)/Ns!$B$1</f>
        <v>-6.5845512090791969</v>
      </c>
      <c r="AM42" s="20" cm="1">
        <f t="array" ref="AM42">INDEX(W_psid!$B$2:$CZ$104,W_!$A42,W_!AM$1)/Ns!$B$1</f>
        <v>2.5590092764055119</v>
      </c>
      <c r="AN42" s="20" cm="1">
        <f t="array" ref="AN42">INDEX(W_psid!$B$2:$CZ$104,W_!$A42,W_!AN$1)/Ns!$B$1</f>
        <v>-0.12671210568716751</v>
      </c>
      <c r="AO42" s="20" cm="1">
        <f t="array" ref="AO42">INDEX(W_psid!$B$2:$CZ$104,W_!$A42,W_!AO$1)/Ns!$B$1</f>
        <v>6.5851865653465159E-3</v>
      </c>
      <c r="AP42" s="20" cm="1">
        <f t="array" ref="AP42">INDEX(W_psid!$B$2:$CZ$104,W_!$A42,W_!AP$1)/Ns!$B$1</f>
        <v>94.422291906946427</v>
      </c>
      <c r="AQ42" s="20" cm="1">
        <f t="array" ref="AQ42">INDEX(W_psid!$B$2:$CZ$104,W_!$A42,W_!AQ$1)/Ns!$B$1</f>
        <v>84.849172437880313</v>
      </c>
      <c r="AR42" s="20" cm="1">
        <f t="array" ref="AR42">INDEX(W_psid!$B$2:$CZ$104,W_!$A42,W_!AR$1)/Ns!$B$1</f>
        <v>-29.600313208691347</v>
      </c>
      <c r="AS42" s="20" cm="1">
        <f t="array" ref="AS42">INDEX(W_psid!$B$2:$CZ$104,W_!$A42,W_!AS$1)/Ns!$B$1</f>
        <v>1.6677404536610775E-3</v>
      </c>
      <c r="AT42" s="20" cm="1">
        <f t="array" ref="AT42">INDEX(W_psid!$B$2:$CZ$104,W_!$A42,W_!AT$1)/Ns!$B$1</f>
        <v>-1.3772609115036952E-2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-25.310559138999409</v>
      </c>
      <c r="AW42" s="20" cm="1">
        <f t="array" ref="AW42">INDEX(W_psid!$B$2:$CZ$104,W_!$A42,W_!AW$1)/Ns!$B$1</f>
        <v>-1.4067055951263208</v>
      </c>
      <c r="AX42" s="20" cm="1">
        <f t="array" ref="AX42">INDEX(W_psid!$B$2:$CZ$104,W_!$A42,W_!AX$1)/Ns!$B$1</f>
        <v>1.8002544581106821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</row>
    <row r="43" spans="1:58" x14ac:dyDescent="0.3">
      <c r="A43" s="18">
        <f>MATCH(C43,W_psid!$A$2:$A$104,0)</f>
        <v>96</v>
      </c>
      <c r="B43" s="18" t="str">
        <f>MOMS!$A$41</f>
        <v>betahrs0</v>
      </c>
      <c r="C43" s="18" t="str">
        <f>MOMS!$B$41</f>
        <v>betahrs0</v>
      </c>
      <c r="D43" s="20" cm="1">
        <f t="array" ref="D43">INDEX(W_psid!$B$2:$CZ$104,W_!$A43,W_!D$1)/Ns!$B$1</f>
        <v>0.63581028402348438</v>
      </c>
      <c r="E43" s="20" cm="1">
        <f t="array" ref="E43">INDEX(W_psid!$B$2:$CZ$104,W_!$A43,W_!E$1)/Ns!$B$1</f>
        <v>0.63941277867111612</v>
      </c>
      <c r="F43" s="20" cm="1">
        <f t="array" ref="F43">INDEX(W_psid!$B$2:$CZ$104,W_!$A43,W_!F$1)/Ns!$B$1</f>
        <v>1.2906369533533169</v>
      </c>
      <c r="G43" s="20" cm="1">
        <f t="array" ref="G43">INDEX(W_psid!$B$2:$CZ$104,W_!$A43,W_!G$1)/Ns!$B$1</f>
        <v>29.208661238095363</v>
      </c>
      <c r="H43" s="20" cm="1">
        <f t="array" ref="H43">INDEX(W_psid!$B$2:$CZ$104,W_!$A43,W_!H$1)/Ns!$B$1</f>
        <v>3.5500448759195637</v>
      </c>
      <c r="I43" s="20" cm="1">
        <f t="array" ref="I43">INDEX(W_psid!$B$2:$CZ$104,W_!$A43,W_!I$1)/Ns!$B$1</f>
        <v>6.177235352163331</v>
      </c>
      <c r="J43" s="20" cm="1">
        <f t="array" ref="J43">INDEX(W_psid!$B$2:$CZ$104,W_!$A43,W_!J$1)/Ns!$B$1</f>
        <v>-30.056665982105834</v>
      </c>
      <c r="K43" s="20" cm="1">
        <f t="array" ref="K43">INDEX(W_psid!$B$2:$CZ$104,W_!$A43,W_!K$1)/Ns!$B$1</f>
        <v>-18.800107075499536</v>
      </c>
      <c r="L43" s="20" cm="1">
        <f t="array" ref="L43">INDEX(W_psid!$B$2:$CZ$104,W_!$A43,W_!L$1)/Ns!$B$1</f>
        <v>-7.7122028628801713</v>
      </c>
      <c r="M43" s="20" cm="1">
        <f t="array" ref="M43">INDEX(W_psid!$B$2:$CZ$104,W_!$A43,W_!M$1)/Ns!$B$1</f>
        <v>12.15459471988361</v>
      </c>
      <c r="N43" s="20" cm="1">
        <f t="array" ref="N43">INDEX(W_psid!$B$2:$CZ$104,W_!$A43,W_!N$1)/Ns!$B$1</f>
        <v>3.7448439410466765</v>
      </c>
      <c r="O43" s="20" cm="1">
        <f t="array" ref="O43">INDEX(W_psid!$B$2:$CZ$104,W_!$A43,W_!O$1)/Ns!$B$1</f>
        <v>9.7475784829171754</v>
      </c>
      <c r="P43" s="20" cm="1">
        <f t="array" ref="P43">INDEX(W_psid!$B$2:$CZ$104,W_!$A43,W_!P$1)/Ns!$B$1</f>
        <v>4.5180039198399236</v>
      </c>
      <c r="Q43" s="20" cm="1">
        <f t="array" ref="Q43">INDEX(W_psid!$B$2:$CZ$104,W_!$A43,W_!Q$1)/Ns!$B$1</f>
        <v>-21.997133848896411</v>
      </c>
      <c r="R43" s="20" cm="1">
        <f t="array" ref="R43">INDEX(W_psid!$B$2:$CZ$104,W_!$A43,W_!R$1)/Ns!$B$1</f>
        <v>6.8769408639930028</v>
      </c>
      <c r="S43" s="20" cm="1">
        <f t="array" ref="S43">INDEX(W_psid!$B$2:$CZ$104,W_!$A43,W_!S$1)/Ns!$B$1</f>
        <v>3.1678833704185359E-3</v>
      </c>
      <c r="T43" s="20" cm="1">
        <f t="array" ref="T43">INDEX(W_psid!$B$2:$CZ$104,W_!$A43,W_!T$1)/Ns!$B$1</f>
        <v>-4.3353401870465666E-3</v>
      </c>
      <c r="U43" s="20" cm="1">
        <f t="array" ref="U43">INDEX(W_psid!$B$2:$CZ$104,W_!$A43,W_!U$1)/Ns!$B$1</f>
        <v>1.12278973638405E-2</v>
      </c>
      <c r="V43" s="20" cm="1">
        <f t="array" ref="V43">INDEX(W_psid!$B$2:$CZ$104,W_!$A43,W_!V$1)/Ns!$B$1</f>
        <v>-3.4728970295260684</v>
      </c>
      <c r="W43" s="20" cm="1">
        <f t="array" ref="W43">INDEX(W_psid!$B$2:$CZ$104,W_!$A43,W_!W$1)/Ns!$B$1</f>
        <v>-3.5542489566523812</v>
      </c>
      <c r="X43" s="20" cm="1">
        <f t="array" ref="X43">INDEX(W_psid!$B$2:$CZ$104,W_!$A43,W_!X$1)/Ns!$B$1</f>
        <v>-3.2089785316162209</v>
      </c>
      <c r="Y43" s="20" cm="1">
        <f t="array" ref="Y43">INDEX(W_psid!$B$2:$CZ$104,W_!$A43,W_!Y$1)/Ns!$B$1</f>
        <v>-2.9091913241066907</v>
      </c>
      <c r="Z43" s="20" cm="1">
        <f t="array" ref="Z43">INDEX(W_psid!$B$2:$CZ$104,W_!$A43,W_!Z$1)/Ns!$B$1</f>
        <v>-2.8167397393539426</v>
      </c>
      <c r="AA43" s="20" cm="1">
        <f t="array" ref="AA43">INDEX(W_psid!$B$2:$CZ$104,W_!$A43,W_!AA$1)/Ns!$B$1</f>
        <v>-3.173459406512352</v>
      </c>
      <c r="AB43" s="20" cm="1">
        <f t="array" ref="AB43">INDEX(W_psid!$B$2:$CZ$104,W_!$A43,W_!AB$1)/Ns!$B$1</f>
        <v>-0.59620916245714939</v>
      </c>
      <c r="AC43" s="20" cm="1">
        <f t="array" ref="AC43">INDEX(W_psid!$B$2:$CZ$104,W_!$A43,W_!AC$1)/Ns!$B$1</f>
        <v>-5.2193323263044584E-3</v>
      </c>
      <c r="AD43" s="20" cm="1">
        <f t="array" ref="AD43">INDEX(W_psid!$B$2:$CZ$104,W_!$A43,W_!AD$1)/Ns!$B$1</f>
        <v>1.1421436367345346</v>
      </c>
      <c r="AE43" s="20" cm="1">
        <f t="array" ref="AE43">INDEX(W_psid!$B$2:$CZ$104,W_!$A43,W_!AE$1)/Ns!$B$1</f>
        <v>-0.27282529006706513</v>
      </c>
      <c r="AF43" s="20" cm="1">
        <f t="array" ref="AF43">INDEX(W_psid!$B$2:$CZ$104,W_!$A43,W_!AF$1)/Ns!$B$1</f>
        <v>-34.147072636141289</v>
      </c>
      <c r="AG43" s="20" cm="1">
        <f t="array" ref="AG43">INDEX(W_psid!$B$2:$CZ$104,W_!$A43,W_!AG$1)/Ns!$B$1</f>
        <v>-28.657789910200247</v>
      </c>
      <c r="AH43" s="20" cm="1">
        <f t="array" ref="AH43">INDEX(W_psid!$B$2:$CZ$104,W_!$A43,W_!AH$1)/Ns!$B$1</f>
        <v>-0.14654632149916827</v>
      </c>
      <c r="AI43" s="20" cm="1">
        <f t="array" ref="AI43">INDEX(W_psid!$B$2:$CZ$104,W_!$A43,W_!AI$1)/Ns!$B$1</f>
        <v>1.6572954146534369E-2</v>
      </c>
      <c r="AJ43" s="20" cm="1">
        <f t="array" ref="AJ43">INDEX(W_psid!$B$2:$CZ$104,W_!$A43,W_!AJ$1)/Ns!$B$1</f>
        <v>-1.5637565659704456E-3</v>
      </c>
      <c r="AK43" s="20" cm="1">
        <f t="array" ref="AK43">INDEX(W_psid!$B$2:$CZ$104,W_!$A43,W_!AK$1)/Ns!$B$1</f>
        <v>-7.4309540095954878</v>
      </c>
      <c r="AL43" s="20" cm="1">
        <f t="array" ref="AL43">INDEX(W_psid!$B$2:$CZ$104,W_!$A43,W_!AL$1)/Ns!$B$1</f>
        <v>-8.8616473185841098</v>
      </c>
      <c r="AM43" s="20" cm="1">
        <f t="array" ref="AM43">INDEX(W_psid!$B$2:$CZ$104,W_!$A43,W_!AM$1)/Ns!$B$1</f>
        <v>3.2159213955603625</v>
      </c>
      <c r="AN43" s="20" cm="1">
        <f t="array" ref="AN43">INDEX(W_psid!$B$2:$CZ$104,W_!$A43,W_!AN$1)/Ns!$B$1</f>
        <v>-0.13183708575618153</v>
      </c>
      <c r="AO43" s="20" cm="1">
        <f t="array" ref="AO43">INDEX(W_psid!$B$2:$CZ$104,W_!$A43,W_!AO$1)/Ns!$B$1</f>
        <v>1.4767944990978981E-2</v>
      </c>
      <c r="AP43" s="20" cm="1">
        <f t="array" ref="AP43">INDEX(W_psid!$B$2:$CZ$104,W_!$A43,W_!AP$1)/Ns!$B$1</f>
        <v>84.849172437880313</v>
      </c>
      <c r="AQ43" s="20" cm="1">
        <f t="array" ref="AQ43">INDEX(W_psid!$B$2:$CZ$104,W_!$A43,W_!AQ$1)/Ns!$B$1</f>
        <v>96.32595744925095</v>
      </c>
      <c r="AR43" s="20" cm="1">
        <f t="array" ref="AR43">INDEX(W_psid!$B$2:$CZ$104,W_!$A43,W_!AR$1)/Ns!$B$1</f>
        <v>-34.575406644732887</v>
      </c>
      <c r="AS43" s="20" cm="1">
        <f t="array" ref="AS43">INDEX(W_psid!$B$2:$CZ$104,W_!$A43,W_!AS$1)/Ns!$B$1</f>
        <v>1.534920202220844E-3</v>
      </c>
      <c r="AT43" s="20" cm="1">
        <f t="array" ref="AT43">INDEX(W_psid!$B$2:$CZ$104,W_!$A43,W_!AT$1)/Ns!$B$1</f>
        <v>-1.082858132873625E-2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-17.414296058940831</v>
      </c>
      <c r="AW43" s="20" cm="1">
        <f t="array" ref="AW43">INDEX(W_psid!$B$2:$CZ$104,W_!$A43,W_!AW$1)/Ns!$B$1</f>
        <v>-1.0374373211801249</v>
      </c>
      <c r="AX43" s="20" cm="1">
        <f t="array" ref="AX43">INDEX(W_psid!$B$2:$CZ$104,W_!$A43,W_!AX$1)/Ns!$B$1</f>
        <v>1.3554870533530505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</row>
    <row r="44" spans="1:58" x14ac:dyDescent="0.3">
      <c r="A44" s="18">
        <f>MATCH(C44,W_psid!$A$2:$A$104,0)</f>
        <v>98</v>
      </c>
      <c r="B44" s="18" t="str">
        <f>MOMS!$A$42</f>
        <v>betahwk</v>
      </c>
      <c r="C44" s="18" t="str">
        <f>MOMS!$B$42</f>
        <v>betahwk</v>
      </c>
      <c r="D44" s="20" cm="1">
        <f t="array" ref="D44">INDEX(W_psid!$B$2:$CZ$104,W_!$A44,W_!D$1)/Ns!$B$1</f>
        <v>-0.40230270245290478</v>
      </c>
      <c r="E44" s="20" cm="1">
        <f t="array" ref="E44">INDEX(W_psid!$B$2:$CZ$104,W_!$A44,W_!E$1)/Ns!$B$1</f>
        <v>-1.1831974263430594</v>
      </c>
      <c r="F44" s="20" cm="1">
        <f t="array" ref="F44">INDEX(W_psid!$B$2:$CZ$104,W_!$A44,W_!F$1)/Ns!$B$1</f>
        <v>-1.2623895991841376</v>
      </c>
      <c r="G44" s="20" cm="1">
        <f t="array" ref="G44">INDEX(W_psid!$B$2:$CZ$104,W_!$A44,W_!G$1)/Ns!$B$1</f>
        <v>-38.757353197480946</v>
      </c>
      <c r="H44" s="20" cm="1">
        <f t="array" ref="H44">INDEX(W_psid!$B$2:$CZ$104,W_!$A44,W_!H$1)/Ns!$B$1</f>
        <v>16.65563956510692</v>
      </c>
      <c r="I44" s="20" cm="1">
        <f t="array" ref="I44">INDEX(W_psid!$B$2:$CZ$104,W_!$A44,W_!I$1)/Ns!$B$1</f>
        <v>9.0633200993681093</v>
      </c>
      <c r="J44" s="20" cm="1">
        <f t="array" ref="J44">INDEX(W_psid!$B$2:$CZ$104,W_!$A44,W_!J$1)/Ns!$B$1</f>
        <v>24.21310693932935</v>
      </c>
      <c r="K44" s="20" cm="1">
        <f t="array" ref="K44">INDEX(W_psid!$B$2:$CZ$104,W_!$A44,W_!K$1)/Ns!$B$1</f>
        <v>13.811580375231909</v>
      </c>
      <c r="L44" s="20" cm="1">
        <f t="array" ref="L44">INDEX(W_psid!$B$2:$CZ$104,W_!$A44,W_!L$1)/Ns!$B$1</f>
        <v>-6.2786813841680171</v>
      </c>
      <c r="M44" s="20" cm="1">
        <f t="array" ref="M44">INDEX(W_psid!$B$2:$CZ$104,W_!$A44,W_!M$1)/Ns!$B$1</f>
        <v>0.91473757891688467</v>
      </c>
      <c r="N44" s="20" cm="1">
        <f t="array" ref="N44">INDEX(W_psid!$B$2:$CZ$104,W_!$A44,W_!N$1)/Ns!$B$1</f>
        <v>0.42345146679983864</v>
      </c>
      <c r="O44" s="20" cm="1">
        <f t="array" ref="O44">INDEX(W_psid!$B$2:$CZ$104,W_!$A44,W_!O$1)/Ns!$B$1</f>
        <v>1.6825050014821856</v>
      </c>
      <c r="P44" s="20" cm="1">
        <f t="array" ref="P44">INDEX(W_psid!$B$2:$CZ$104,W_!$A44,W_!P$1)/Ns!$B$1</f>
        <v>-1.8926461945954194</v>
      </c>
      <c r="Q44" s="20" cm="1">
        <f t="array" ref="Q44">INDEX(W_psid!$B$2:$CZ$104,W_!$A44,W_!Q$1)/Ns!$B$1</f>
        <v>22.27021139019115</v>
      </c>
      <c r="R44" s="20" cm="1">
        <f t="array" ref="R44">INDEX(W_psid!$B$2:$CZ$104,W_!$A44,W_!R$1)/Ns!$B$1</f>
        <v>-18.682074008353883</v>
      </c>
      <c r="S44" s="20" cm="1">
        <f t="array" ref="S44">INDEX(W_psid!$B$2:$CZ$104,W_!$A44,W_!S$1)/Ns!$B$1</f>
        <v>-2.120257135105697E-3</v>
      </c>
      <c r="T44" s="20" cm="1">
        <f t="array" ref="T44">INDEX(W_psid!$B$2:$CZ$104,W_!$A44,W_!T$1)/Ns!$B$1</f>
        <v>3.5203935395045466E-3</v>
      </c>
      <c r="U44" s="20" cm="1">
        <f t="array" ref="U44">INDEX(W_psid!$B$2:$CZ$104,W_!$A44,W_!U$1)/Ns!$B$1</f>
        <v>3.3228787434744354E-2</v>
      </c>
      <c r="V44" s="20" cm="1">
        <f t="array" ref="V44">INDEX(W_psid!$B$2:$CZ$104,W_!$A44,W_!V$1)/Ns!$B$1</f>
        <v>3.6529716455396324</v>
      </c>
      <c r="W44" s="20" cm="1">
        <f t="array" ref="W44">INDEX(W_psid!$B$2:$CZ$104,W_!$A44,W_!W$1)/Ns!$B$1</f>
        <v>3.5999278343945105</v>
      </c>
      <c r="X44" s="20" cm="1">
        <f t="array" ref="X44">INDEX(W_psid!$B$2:$CZ$104,W_!$A44,W_!X$1)/Ns!$B$1</f>
        <v>2.8013816206874229</v>
      </c>
      <c r="Y44" s="20" cm="1">
        <f t="array" ref="Y44">INDEX(W_psid!$B$2:$CZ$104,W_!$A44,W_!Y$1)/Ns!$B$1</f>
        <v>2.6865362686158796</v>
      </c>
      <c r="Z44" s="20" cm="1">
        <f t="array" ref="Z44">INDEX(W_psid!$B$2:$CZ$104,W_!$A44,W_!Z$1)/Ns!$B$1</f>
        <v>2.666714584342476</v>
      </c>
      <c r="AA44" s="20" cm="1">
        <f t="array" ref="AA44">INDEX(W_psid!$B$2:$CZ$104,W_!$A44,W_!AA$1)/Ns!$B$1</f>
        <v>2.8876337180569736</v>
      </c>
      <c r="AB44" s="20" cm="1">
        <f t="array" ref="AB44">INDEX(W_psid!$B$2:$CZ$104,W_!$A44,W_!AB$1)/Ns!$B$1</f>
        <v>0.57334033908555393</v>
      </c>
      <c r="AC44" s="20" cm="1">
        <f t="array" ref="AC44">INDEX(W_psid!$B$2:$CZ$104,W_!$A44,W_!AC$1)/Ns!$B$1</f>
        <v>9.3916838616688852E-3</v>
      </c>
      <c r="AD44" s="20" cm="1">
        <f t="array" ref="AD44">INDEX(W_psid!$B$2:$CZ$104,W_!$A44,W_!AD$1)/Ns!$B$1</f>
        <v>-0.59450513893566059</v>
      </c>
      <c r="AE44" s="20" cm="1">
        <f t="array" ref="AE44">INDEX(W_psid!$B$2:$CZ$104,W_!$A44,W_!AE$1)/Ns!$B$1</f>
        <v>1.3402761220599335E-2</v>
      </c>
      <c r="AF44" s="20" cm="1">
        <f t="array" ref="AF44">INDEX(W_psid!$B$2:$CZ$104,W_!$A44,W_!AF$1)/Ns!$B$1</f>
        <v>31.867396680927978</v>
      </c>
      <c r="AG44" s="20" cm="1">
        <f t="array" ref="AG44">INDEX(W_psid!$B$2:$CZ$104,W_!$A44,W_!AG$1)/Ns!$B$1</f>
        <v>28.086631200130697</v>
      </c>
      <c r="AH44" s="20" cm="1">
        <f t="array" ref="AH44">INDEX(W_psid!$B$2:$CZ$104,W_!$A44,W_!AH$1)/Ns!$B$1</f>
        <v>0.12464638238601385</v>
      </c>
      <c r="AI44" s="20" cm="1">
        <f t="array" ref="AI44">INDEX(W_psid!$B$2:$CZ$104,W_!$A44,W_!AI$1)/Ns!$B$1</f>
        <v>6.9263507796325119E-2</v>
      </c>
      <c r="AJ44" s="20" cm="1">
        <f t="array" ref="AJ44">INDEX(W_psid!$B$2:$CZ$104,W_!$A44,W_!AJ$1)/Ns!$B$1</f>
        <v>-2.1337564217589446E-4</v>
      </c>
      <c r="AK44" s="20" cm="1">
        <f t="array" ref="AK44">INDEX(W_psid!$B$2:$CZ$104,W_!$A44,W_!AK$1)/Ns!$B$1</f>
        <v>0.59622413348235936</v>
      </c>
      <c r="AL44" s="20" cm="1">
        <f t="array" ref="AL44">INDEX(W_psid!$B$2:$CZ$104,W_!$A44,W_!AL$1)/Ns!$B$1</f>
        <v>-0.21551293007649822</v>
      </c>
      <c r="AM44" s="20" cm="1">
        <f t="array" ref="AM44">INDEX(W_psid!$B$2:$CZ$104,W_!$A44,W_!AM$1)/Ns!$B$1</f>
        <v>-1.973197768554767</v>
      </c>
      <c r="AN44" s="20" cm="1">
        <f t="array" ref="AN44">INDEX(W_psid!$B$2:$CZ$104,W_!$A44,W_!AN$1)/Ns!$B$1</f>
        <v>0.20142637797622295</v>
      </c>
      <c r="AO44" s="20" cm="1">
        <f t="array" ref="AO44">INDEX(W_psid!$B$2:$CZ$104,W_!$A44,W_!AO$1)/Ns!$B$1</f>
        <v>-4.3807791638730432E-3</v>
      </c>
      <c r="AP44" s="20" cm="1">
        <f t="array" ref="AP44">INDEX(W_psid!$B$2:$CZ$104,W_!$A44,W_!AP$1)/Ns!$B$1</f>
        <v>-29.600313208691347</v>
      </c>
      <c r="AQ44" s="20" cm="1">
        <f t="array" ref="AQ44">INDEX(W_psid!$B$2:$CZ$104,W_!$A44,W_!AQ$1)/Ns!$B$1</f>
        <v>-34.575406644732887</v>
      </c>
      <c r="AR44" s="20" cm="1">
        <f t="array" ref="AR44">INDEX(W_psid!$B$2:$CZ$104,W_!$A44,W_!AR$1)/Ns!$B$1</f>
        <v>33.345663232532566</v>
      </c>
      <c r="AS44" s="20" cm="1">
        <f t="array" ref="AS44">INDEX(W_psid!$B$2:$CZ$104,W_!$A44,W_!AS$1)/Ns!$B$1</f>
        <v>1.6769091546092093E-4</v>
      </c>
      <c r="AT44" s="20" cm="1">
        <f t="array" ref="AT44">INDEX(W_psid!$B$2:$CZ$104,W_!$A44,W_!AT$1)/Ns!$B$1</f>
        <v>2.7651383795084324E-3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13.068562335114603</v>
      </c>
      <c r="AW44" s="20" cm="1">
        <f t="array" ref="AW44">INDEX(W_psid!$B$2:$CZ$104,W_!$A44,W_!AW$1)/Ns!$B$1</f>
        <v>0.79361644698765343</v>
      </c>
      <c r="AX44" s="20" cm="1">
        <f t="array" ref="AX44">INDEX(W_psid!$B$2:$CZ$104,W_!$A44,W_!AX$1)/Ns!$B$1</f>
        <v>-0.50913826257245864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</row>
    <row r="45" spans="1:58" x14ac:dyDescent="0.3">
      <c r="A45" s="18">
        <f>MATCH(C45,W_psid!$A$2:$A$104,0)</f>
        <v>103</v>
      </c>
      <c r="B45" s="18" t="str">
        <f>MOMS!$A$43</f>
        <v>betalwg_w</v>
      </c>
      <c r="C45" s="18" t="str">
        <f>MOMS!$B$43</f>
        <v>betalwg_w</v>
      </c>
      <c r="D45" s="20" cm="1">
        <f t="array" ref="D45">INDEX(W_psid!$B$2:$CZ$104,W_!$A45,W_!D$1)/Ns!$B$1</f>
        <v>-2.2280172019381602E-5</v>
      </c>
      <c r="E45" s="20" cm="1">
        <f t="array" ref="E45">INDEX(W_psid!$B$2:$CZ$104,W_!$A45,W_!E$1)/Ns!$B$1</f>
        <v>1.5478065331958623E-5</v>
      </c>
      <c r="F45" s="20" cm="1">
        <f t="array" ref="F45">INDEX(W_psid!$B$2:$CZ$104,W_!$A45,W_!F$1)/Ns!$B$1</f>
        <v>-1.8002352793176632E-5</v>
      </c>
      <c r="G45" s="20" cm="1">
        <f t="array" ref="G45">INDEX(W_psid!$B$2:$CZ$104,W_!$A45,W_!G$1)/Ns!$B$1</f>
        <v>-2.1940925594440817E-3</v>
      </c>
      <c r="H45" s="20" cm="1">
        <f t="array" ref="H45">INDEX(W_psid!$B$2:$CZ$104,W_!$A45,W_!H$1)/Ns!$B$1</f>
        <v>1.3486814913574866E-3</v>
      </c>
      <c r="I45" s="20" cm="1">
        <f t="array" ref="I45">INDEX(W_psid!$B$2:$CZ$104,W_!$A45,W_!I$1)/Ns!$B$1</f>
        <v>8.5430689106581379E-4</v>
      </c>
      <c r="J45" s="20" cm="1">
        <f t="array" ref="J45">INDEX(W_psid!$B$2:$CZ$104,W_!$A45,W_!J$1)/Ns!$B$1</f>
        <v>3.4385646535548442E-4</v>
      </c>
      <c r="K45" s="20" cm="1">
        <f t="array" ref="K45">INDEX(W_psid!$B$2:$CZ$104,W_!$A45,W_!K$1)/Ns!$B$1</f>
        <v>-1.5758266968334396E-4</v>
      </c>
      <c r="L45" s="20" cm="1">
        <f t="array" ref="L45">INDEX(W_psid!$B$2:$CZ$104,W_!$A45,W_!L$1)/Ns!$B$1</f>
        <v>2.4228228084715968E-3</v>
      </c>
      <c r="M45" s="20" cm="1">
        <f t="array" ref="M45">INDEX(W_psid!$B$2:$CZ$104,W_!$A45,W_!M$1)/Ns!$B$1</f>
        <v>8.0843652449672247E-4</v>
      </c>
      <c r="N45" s="20" cm="1">
        <f t="array" ref="N45">INDEX(W_psid!$B$2:$CZ$104,W_!$A45,W_!N$1)/Ns!$B$1</f>
        <v>4.4392322980419015E-4</v>
      </c>
      <c r="O45" s="20" cm="1">
        <f t="array" ref="O45">INDEX(W_psid!$B$2:$CZ$104,W_!$A45,W_!O$1)/Ns!$B$1</f>
        <v>-2.6007390919419496E-3</v>
      </c>
      <c r="P45" s="20" cm="1">
        <f t="array" ref="P45">INDEX(W_psid!$B$2:$CZ$104,W_!$A45,W_!P$1)/Ns!$B$1</f>
        <v>2.1905977817385771E-5</v>
      </c>
      <c r="Q45" s="20" cm="1">
        <f t="array" ref="Q45">INDEX(W_psid!$B$2:$CZ$104,W_!$A45,W_!Q$1)/Ns!$B$1</f>
        <v>-1.7659525279157752E-3</v>
      </c>
      <c r="R45" s="20" cm="1">
        <f t="array" ref="R45">INDEX(W_psid!$B$2:$CZ$104,W_!$A45,W_!R$1)/Ns!$B$1</f>
        <v>-2.0982141386123604E-4</v>
      </c>
      <c r="S45" s="20" cm="1">
        <f t="array" ref="S45">INDEX(W_psid!$B$2:$CZ$104,W_!$A45,W_!S$1)/Ns!$B$1</f>
        <v>1.869428923516468E-7</v>
      </c>
      <c r="T45" s="20" cm="1">
        <f t="array" ref="T45">INDEX(W_psid!$B$2:$CZ$104,W_!$A45,W_!T$1)/Ns!$B$1</f>
        <v>2.0892220021972877E-7</v>
      </c>
      <c r="U45" s="20" cm="1">
        <f t="array" ref="U45">INDEX(W_psid!$B$2:$CZ$104,W_!$A45,W_!U$1)/Ns!$B$1</f>
        <v>1.2722568707285448E-6</v>
      </c>
      <c r="V45" s="20" cm="1">
        <f t="array" ref="V45">INDEX(W_psid!$B$2:$CZ$104,W_!$A45,W_!V$1)/Ns!$B$1</f>
        <v>4.994022238653593E-5</v>
      </c>
      <c r="W45" s="20" cm="1">
        <f t="array" ref="W45">INDEX(W_psid!$B$2:$CZ$104,W_!$A45,W_!W$1)/Ns!$B$1</f>
        <v>4.9792364116906325E-5</v>
      </c>
      <c r="X45" s="20" cm="1">
        <f t="array" ref="X45">INDEX(W_psid!$B$2:$CZ$104,W_!$A45,W_!X$1)/Ns!$B$1</f>
        <v>-1.1845323693847906E-4</v>
      </c>
      <c r="Y45" s="20" cm="1">
        <f t="array" ref="Y45">INDEX(W_psid!$B$2:$CZ$104,W_!$A45,W_!Y$1)/Ns!$B$1</f>
        <v>-1.104476705567402E-4</v>
      </c>
      <c r="Z45" s="20" cm="1">
        <f t="array" ref="Z45">INDEX(W_psid!$B$2:$CZ$104,W_!$A45,W_!Z$1)/Ns!$B$1</f>
        <v>-9.1459995543427108E-5</v>
      </c>
      <c r="AA45" s="20" cm="1">
        <f t="array" ref="AA45">INDEX(W_psid!$B$2:$CZ$104,W_!$A45,W_!AA$1)/Ns!$B$1</f>
        <v>-1.1751427835946405E-4</v>
      </c>
      <c r="AB45" s="20" cm="1">
        <f t="array" ref="AB45">INDEX(W_psid!$B$2:$CZ$104,W_!$A45,W_!AB$1)/Ns!$B$1</f>
        <v>1.8967245879111776E-5</v>
      </c>
      <c r="AC45" s="20" cm="1">
        <f t="array" ref="AC45">INDEX(W_psid!$B$2:$CZ$104,W_!$A45,W_!AC$1)/Ns!$B$1</f>
        <v>7.305425770786936E-7</v>
      </c>
      <c r="AD45" s="20" cm="1">
        <f t="array" ref="AD45">INDEX(W_psid!$B$2:$CZ$104,W_!$A45,W_!AD$1)/Ns!$B$1</f>
        <v>2.6171396691856661E-5</v>
      </c>
      <c r="AE45" s="20" cm="1">
        <f t="array" ref="AE45">INDEX(W_psid!$B$2:$CZ$104,W_!$A45,W_!AE$1)/Ns!$B$1</f>
        <v>3.4410414685268221E-6</v>
      </c>
      <c r="AF45" s="20" cm="1">
        <f t="array" ref="AF45">INDEX(W_psid!$B$2:$CZ$104,W_!$A45,W_!AF$1)/Ns!$B$1</f>
        <v>1.0473584743930075E-3</v>
      </c>
      <c r="AG45" s="20" cm="1">
        <f t="array" ref="AG45">INDEX(W_psid!$B$2:$CZ$104,W_!$A45,W_!AG$1)/Ns!$B$1</f>
        <v>1.0181811991359399E-3</v>
      </c>
      <c r="AH45" s="20" cm="1">
        <f t="array" ref="AH45">INDEX(W_psid!$B$2:$CZ$104,W_!$A45,W_!AH$1)/Ns!$B$1</f>
        <v>5.096064861408605E-6</v>
      </c>
      <c r="AI45" s="20" cm="1">
        <f t="array" ref="AI45">INDEX(W_psid!$B$2:$CZ$104,W_!$A45,W_!AI$1)/Ns!$B$1</f>
        <v>2.6945590730157223E-6</v>
      </c>
      <c r="AJ45" s="20" cm="1">
        <f t="array" ref="AJ45">INDEX(W_psid!$B$2:$CZ$104,W_!$A45,W_!AJ$1)/Ns!$B$1</f>
        <v>1.2693615479993685E-8</v>
      </c>
      <c r="AK45" s="20" cm="1">
        <f t="array" ref="AK45">INDEX(W_psid!$B$2:$CZ$104,W_!$A45,W_!AK$1)/Ns!$B$1</f>
        <v>2.9204200764289049E-6</v>
      </c>
      <c r="AL45" s="20" cm="1">
        <f t="array" ref="AL45">INDEX(W_psid!$B$2:$CZ$104,W_!$A45,W_!AL$1)/Ns!$B$1</f>
        <v>5.2979660206330756E-5</v>
      </c>
      <c r="AM45" s="20" cm="1">
        <f t="array" ref="AM45">INDEX(W_psid!$B$2:$CZ$104,W_!$A45,W_!AM$1)/Ns!$B$1</f>
        <v>1.3958659659155129E-5</v>
      </c>
      <c r="AN45" s="20" cm="1">
        <f t="array" ref="AN45">INDEX(W_psid!$B$2:$CZ$104,W_!$A45,W_!AN$1)/Ns!$B$1</f>
        <v>2.9722716194984094E-6</v>
      </c>
      <c r="AO45" s="20" cm="1">
        <f t="array" ref="AO45">INDEX(W_psid!$B$2:$CZ$104,W_!$A45,W_!AO$1)/Ns!$B$1</f>
        <v>1.2521211211533672E-7</v>
      </c>
      <c r="AP45" s="20" cm="1">
        <f t="array" ref="AP45">INDEX(W_psid!$B$2:$CZ$104,W_!$A45,W_!AP$1)/Ns!$B$1</f>
        <v>1.6677404536610775E-3</v>
      </c>
      <c r="AQ45" s="20" cm="1">
        <f t="array" ref="AQ45">INDEX(W_psid!$B$2:$CZ$104,W_!$A45,W_!AQ$1)/Ns!$B$1</f>
        <v>1.534920202220844E-3</v>
      </c>
      <c r="AR45" s="20" cm="1">
        <f t="array" ref="AR45">INDEX(W_psid!$B$2:$CZ$104,W_!$A45,W_!AR$1)/Ns!$B$1</f>
        <v>1.6769091546092093E-4</v>
      </c>
      <c r="AS45" s="20" cm="1">
        <f t="array" ref="AS45">INDEX(W_psid!$B$2:$CZ$104,W_!$A45,W_!AS$1)/Ns!$B$1</f>
        <v>6.3672373399557075E-7</v>
      </c>
      <c r="AT45" s="20" cm="1">
        <f t="array" ref="AT45">INDEX(W_psid!$B$2:$CZ$104,W_!$A45,W_!AT$1)/Ns!$B$1</f>
        <v>-3.048821855819751E-6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1.5460056201449879E-4</v>
      </c>
      <c r="AW45" s="20" cm="1">
        <f t="array" ref="AW45">INDEX(W_psid!$B$2:$CZ$104,W_!$A45,W_!AW$1)/Ns!$B$1</f>
        <v>5.7965262066105922E-5</v>
      </c>
      <c r="AX45" s="20" cm="1">
        <f t="array" ref="AX45">INDEX(W_psid!$B$2:$CZ$104,W_!$A45,W_!AX$1)/Ns!$B$1</f>
        <v>5.6132753190989284E-5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</row>
    <row r="46" spans="1:58" x14ac:dyDescent="0.3">
      <c r="A46" s="18">
        <f>MATCH(C46,W_psid!$A$2:$A$104,0)</f>
        <v>102</v>
      </c>
      <c r="B46" s="18" t="str">
        <f>MOMS!$A$44</f>
        <v>betalwg</v>
      </c>
      <c r="C46" s="18" t="str">
        <f>MOMS!$B$44</f>
        <v>betalwg</v>
      </c>
      <c r="D46" s="20" cm="1">
        <f t="array" ref="D46">INDEX(W_psid!$B$2:$CZ$104,W_!$A46,W_!D$1)/Ns!$B$1</f>
        <v>4.2417394142281895E-4</v>
      </c>
      <c r="E46" s="20" cm="1">
        <f t="array" ref="E46">INDEX(W_psid!$B$2:$CZ$104,W_!$A46,W_!E$1)/Ns!$B$1</f>
        <v>-2.756414468033688E-4</v>
      </c>
      <c r="F46" s="20" cm="1">
        <f t="array" ref="F46">INDEX(W_psid!$B$2:$CZ$104,W_!$A46,W_!F$1)/Ns!$B$1</f>
        <v>5.4582229857315671E-4</v>
      </c>
      <c r="G46" s="20" cm="1">
        <f t="array" ref="G46">INDEX(W_psid!$B$2:$CZ$104,W_!$A46,W_!G$1)/Ns!$B$1</f>
        <v>2.1997341341296179E-2</v>
      </c>
      <c r="H46" s="20" cm="1">
        <f t="array" ref="H46">INDEX(W_psid!$B$2:$CZ$104,W_!$A46,W_!H$1)/Ns!$B$1</f>
        <v>-1.1092964699444183E-2</v>
      </c>
      <c r="I46" s="20" cm="1">
        <f t="array" ref="I46">INDEX(W_psid!$B$2:$CZ$104,W_!$A46,W_!I$1)/Ns!$B$1</f>
        <v>-1.1951702949294478E-3</v>
      </c>
      <c r="J46" s="20" cm="1">
        <f t="array" ref="J46">INDEX(W_psid!$B$2:$CZ$104,W_!$A46,W_!J$1)/Ns!$B$1</f>
        <v>-7.6583882507152493E-3</v>
      </c>
      <c r="K46" s="20" cm="1">
        <f t="array" ref="K46">INDEX(W_psid!$B$2:$CZ$104,W_!$A46,W_!K$1)/Ns!$B$1</f>
        <v>6.1975189143148434E-3</v>
      </c>
      <c r="L46" s="20" cm="1">
        <f t="array" ref="L46">INDEX(W_psid!$B$2:$CZ$104,W_!$A46,W_!L$1)/Ns!$B$1</f>
        <v>-2.2900639527555337E-2</v>
      </c>
      <c r="M46" s="20" cm="1">
        <f t="array" ref="M46">INDEX(W_psid!$B$2:$CZ$104,W_!$A46,W_!M$1)/Ns!$B$1</f>
        <v>-8.9051696866563317E-3</v>
      </c>
      <c r="N46" s="20" cm="1">
        <f t="array" ref="N46">INDEX(W_psid!$B$2:$CZ$104,W_!$A46,W_!N$1)/Ns!$B$1</f>
        <v>-3.3595282986962731E-3</v>
      </c>
      <c r="O46" s="20" cm="1">
        <f t="array" ref="O46">INDEX(W_psid!$B$2:$CZ$104,W_!$A46,W_!O$1)/Ns!$B$1</f>
        <v>2.3954240972004121E-2</v>
      </c>
      <c r="P46" s="20" cm="1">
        <f t="array" ref="P46">INDEX(W_psid!$B$2:$CZ$104,W_!$A46,W_!P$1)/Ns!$B$1</f>
        <v>-4.8459647724024696E-3</v>
      </c>
      <c r="Q46" s="20" cm="1">
        <f t="array" ref="Q46">INDEX(W_psid!$B$2:$CZ$104,W_!$A46,W_!Q$1)/Ns!$B$1</f>
        <v>1.9844823230092942E-2</v>
      </c>
      <c r="R46" s="20" cm="1">
        <f t="array" ref="R46">INDEX(W_psid!$B$2:$CZ$104,W_!$A46,W_!R$1)/Ns!$B$1</f>
        <v>5.0376286904272151E-3</v>
      </c>
      <c r="S46" s="20" cm="1">
        <f t="array" ref="S46">INDEX(W_psid!$B$2:$CZ$104,W_!$A46,W_!S$1)/Ns!$B$1</f>
        <v>3.1425332741081251E-7</v>
      </c>
      <c r="T46" s="20" cm="1">
        <f t="array" ref="T46">INDEX(W_psid!$B$2:$CZ$104,W_!$A46,W_!T$1)/Ns!$B$1</f>
        <v>-1.4533876281593218E-6</v>
      </c>
      <c r="U46" s="20" cm="1">
        <f t="array" ref="U46">INDEX(W_psid!$B$2:$CZ$104,W_!$A46,W_!U$1)/Ns!$B$1</f>
        <v>-3.2900215323586733E-5</v>
      </c>
      <c r="V46" s="20" cm="1">
        <f t="array" ref="V46">INDEX(W_psid!$B$2:$CZ$104,W_!$A46,W_!V$1)/Ns!$B$1</f>
        <v>1.1981111660152792E-3</v>
      </c>
      <c r="W46" s="20" cm="1">
        <f t="array" ref="W46">INDEX(W_psid!$B$2:$CZ$104,W_!$A46,W_!W$1)/Ns!$B$1</f>
        <v>1.1414073239810205E-3</v>
      </c>
      <c r="X46" s="20" cm="1">
        <f t="array" ref="X46">INDEX(W_psid!$B$2:$CZ$104,W_!$A46,W_!X$1)/Ns!$B$1</f>
        <v>1.6703687510118035E-3</v>
      </c>
      <c r="Y46" s="20" cm="1">
        <f t="array" ref="Y46">INDEX(W_psid!$B$2:$CZ$104,W_!$A46,W_!Y$1)/Ns!$B$1</f>
        <v>1.7349907963090259E-3</v>
      </c>
      <c r="Z46" s="20" cm="1">
        <f t="array" ref="Z46">INDEX(W_psid!$B$2:$CZ$104,W_!$A46,W_!Z$1)/Ns!$B$1</f>
        <v>1.5146583573871987E-3</v>
      </c>
      <c r="AA46" s="20" cm="1">
        <f t="array" ref="AA46">INDEX(W_psid!$B$2:$CZ$104,W_!$A46,W_!AA$1)/Ns!$B$1</f>
        <v>1.6467086008572032E-3</v>
      </c>
      <c r="AB46" s="20" cm="1">
        <f t="array" ref="AB46">INDEX(W_psid!$B$2:$CZ$104,W_!$A46,W_!AB$1)/Ns!$B$1</f>
        <v>4.2281244678576544E-5</v>
      </c>
      <c r="AC46" s="20" cm="1">
        <f t="array" ref="AC46">INDEX(W_psid!$B$2:$CZ$104,W_!$A46,W_!AC$1)/Ns!$B$1</f>
        <v>6.6835914487664794E-6</v>
      </c>
      <c r="AD46" s="20" cm="1">
        <f t="array" ref="AD46">INDEX(W_psid!$B$2:$CZ$104,W_!$A46,W_!AD$1)/Ns!$B$1</f>
        <v>-4.6957742891632406E-4</v>
      </c>
      <c r="AE46" s="20" cm="1">
        <f t="array" ref="AE46">INDEX(W_psid!$B$2:$CZ$104,W_!$A46,W_!AE$1)/Ns!$B$1</f>
        <v>1.0545226744964101E-5</v>
      </c>
      <c r="AF46" s="20" cm="1">
        <f t="array" ref="AF46">INDEX(W_psid!$B$2:$CZ$104,W_!$A46,W_!AF$1)/Ns!$B$1</f>
        <v>-3.9283865240961387E-3</v>
      </c>
      <c r="AG46" s="20" cm="1">
        <f t="array" ref="AG46">INDEX(W_psid!$B$2:$CZ$104,W_!$A46,W_!AG$1)/Ns!$B$1</f>
        <v>-4.3330826489570186E-3</v>
      </c>
      <c r="AH46" s="20" cm="1">
        <f t="array" ref="AH46">INDEX(W_psid!$B$2:$CZ$104,W_!$A46,W_!AH$1)/Ns!$B$1</f>
        <v>4.8389532806483253E-5</v>
      </c>
      <c r="AI46" s="20" cm="1">
        <f t="array" ref="AI46">INDEX(W_psid!$B$2:$CZ$104,W_!$A46,W_!AI$1)/Ns!$B$1</f>
        <v>-7.4091881145935584E-6</v>
      </c>
      <c r="AJ46" s="20" cm="1">
        <f t="array" ref="AJ46">INDEX(W_psid!$B$2:$CZ$104,W_!$A46,W_!AJ$1)/Ns!$B$1</f>
        <v>-1.6203308753322448E-7</v>
      </c>
      <c r="AK46" s="20" cm="1">
        <f t="array" ref="AK46">INDEX(W_psid!$B$2:$CZ$104,W_!$A46,W_!AK$1)/Ns!$B$1</f>
        <v>2.3761379514992825E-3</v>
      </c>
      <c r="AL46" s="20" cm="1">
        <f t="array" ref="AL46">INDEX(W_psid!$B$2:$CZ$104,W_!$A46,W_!AL$1)/Ns!$B$1</f>
        <v>1.4502780721509778E-3</v>
      </c>
      <c r="AM46" s="20" cm="1">
        <f t="array" ref="AM46">INDEX(W_psid!$B$2:$CZ$104,W_!$A46,W_!AM$1)/Ns!$B$1</f>
        <v>-1.4498701777755773E-3</v>
      </c>
      <c r="AN46" s="20" cm="1">
        <f t="array" ref="AN46">INDEX(W_psid!$B$2:$CZ$104,W_!$A46,W_!AN$1)/Ns!$B$1</f>
        <v>6.3657567097755786E-6</v>
      </c>
      <c r="AO46" s="20" cm="1">
        <f t="array" ref="AO46">INDEX(W_psid!$B$2:$CZ$104,W_!$A46,W_!AO$1)/Ns!$B$1</f>
        <v>-8.1059776711433713E-7</v>
      </c>
      <c r="AP46" s="20" cm="1">
        <f t="array" ref="AP46">INDEX(W_psid!$B$2:$CZ$104,W_!$A46,W_!AP$1)/Ns!$B$1</f>
        <v>-1.3772609115036952E-2</v>
      </c>
      <c r="AQ46" s="20" cm="1">
        <f t="array" ref="AQ46">INDEX(W_psid!$B$2:$CZ$104,W_!$A46,W_!AQ$1)/Ns!$B$1</f>
        <v>-1.082858132873625E-2</v>
      </c>
      <c r="AR46" s="20" cm="1">
        <f t="array" ref="AR46">INDEX(W_psid!$B$2:$CZ$104,W_!$A46,W_!AR$1)/Ns!$B$1</f>
        <v>2.7651383795084324E-3</v>
      </c>
      <c r="AS46" s="20" cm="1">
        <f t="array" ref="AS46">INDEX(W_psid!$B$2:$CZ$104,W_!$A46,W_!AS$1)/Ns!$B$1</f>
        <v>-3.048821855819751E-6</v>
      </c>
      <c r="AT46" s="20" cm="1">
        <f t="array" ref="AT46">INDEX(W_psid!$B$2:$CZ$104,W_!$A46,W_!AT$1)/Ns!$B$1</f>
        <v>3.4619081588174891E-5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-2.7023038321302099E-3</v>
      </c>
      <c r="AW46" s="20" cm="1">
        <f t="array" ref="AW46">INDEX(W_psid!$B$2:$CZ$104,W_!$A46,W_!AW$1)/Ns!$B$1</f>
        <v>3.5999537694579689E-4</v>
      </c>
      <c r="AX46" s="20" cm="1">
        <f t="array" ref="AX46">INDEX(W_psid!$B$2:$CZ$104,W_!$A46,W_!AX$1)/Ns!$B$1</f>
        <v>-6.3135265413495601E-4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</row>
    <row r="47" spans="1:58" x14ac:dyDescent="0.3">
      <c r="A47" s="18">
        <f>MATCH(C47,W_psid!$A$2:$A$104,0)</f>
        <v>17</v>
      </c>
      <c r="B47" s="18" t="str">
        <f>MOMS!$A$45</f>
        <v>b</v>
      </c>
      <c r="C47" s="18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INDEX(W_psid!$B$2:$CZ$104,W_!$A47,W_!AW$1)/Ns!$B$1</f>
        <v>0</v>
      </c>
      <c r="AX47" s="20" cm="1">
        <f t="array" ref="AX47">INDEX(W_psid!$B$2:$CZ$104,W_!$A47,W_!AX$1)/Ns!$B$1</f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</row>
    <row r="48" spans="1:58" x14ac:dyDescent="0.3">
      <c r="A48" s="18">
        <f>MATCH(C48,W_psid!$A$2:$A$104,0)</f>
        <v>68</v>
      </c>
      <c r="B48" s="18" t="str">
        <f>MOMS!$A$46</f>
        <v>commiles_sd</v>
      </c>
      <c r="C48" s="18" t="str">
        <f>MOMS!$B$46</f>
        <v>commiles_sd_inmsa</v>
      </c>
      <c r="D48" s="20" cm="1">
        <f t="array" ref="D48">INDEX(W_psid!$B$2:$CZ$104,W_!$A48,W_!D$1)/Ns!$B$1</f>
        <v>-0.7520384173790714</v>
      </c>
      <c r="E48" s="20" cm="1">
        <f t="array" ref="E48">INDEX(W_psid!$B$2:$CZ$104,W_!$A48,W_!E$1)/Ns!$B$1</f>
        <v>-2.1094164463100538</v>
      </c>
      <c r="F48" s="20" cm="1">
        <f t="array" ref="F48">INDEX(W_psid!$B$2:$CZ$104,W_!$A48,W_!F$1)/Ns!$B$1</f>
        <v>-1.7462127499138047</v>
      </c>
      <c r="G48" s="20" cm="1">
        <f t="array" ref="G48">INDEX(W_psid!$B$2:$CZ$104,W_!$A48,W_!G$1)/Ns!$B$1</f>
        <v>-41.982175406508176</v>
      </c>
      <c r="H48" s="20" cm="1">
        <f t="array" ref="H48">INDEX(W_psid!$B$2:$CZ$104,W_!$A48,W_!H$1)/Ns!$B$1</f>
        <v>21.083875855888977</v>
      </c>
      <c r="I48" s="20" cm="1">
        <f t="array" ref="I48">INDEX(W_psid!$B$2:$CZ$104,W_!$A48,W_!I$1)/Ns!$B$1</f>
        <v>28.935042558319978</v>
      </c>
      <c r="J48" s="20" cm="1">
        <f t="array" ref="J48">INDEX(W_psid!$B$2:$CZ$104,W_!$A48,W_!J$1)/Ns!$B$1</f>
        <v>10.869401176670483</v>
      </c>
      <c r="K48" s="20" cm="1">
        <f t="array" ref="K48">INDEX(W_psid!$B$2:$CZ$104,W_!$A48,W_!K$1)/Ns!$B$1</f>
        <v>24.342941174552273</v>
      </c>
      <c r="L48" s="20" cm="1">
        <f t="array" ref="L48">INDEX(W_psid!$B$2:$CZ$104,W_!$A48,W_!L$1)/Ns!$B$1</f>
        <v>-9.7978525834385159</v>
      </c>
      <c r="M48" s="20" cm="1">
        <f t="array" ref="M48">INDEX(W_psid!$B$2:$CZ$104,W_!$A48,W_!M$1)/Ns!$B$1</f>
        <v>-30.740531624322113</v>
      </c>
      <c r="N48" s="20" cm="1">
        <f t="array" ref="N48">INDEX(W_psid!$B$2:$CZ$104,W_!$A48,W_!N$1)/Ns!$B$1</f>
        <v>11.500296885428261</v>
      </c>
      <c r="O48" s="20" cm="1">
        <f t="array" ref="O48">INDEX(W_psid!$B$2:$CZ$104,W_!$A48,W_!O$1)/Ns!$B$1</f>
        <v>-13.675057620330946</v>
      </c>
      <c r="P48" s="20" cm="1">
        <f t="array" ref="P48">INDEX(W_psid!$B$2:$CZ$104,W_!$A48,W_!P$1)/Ns!$B$1</f>
        <v>-17.023527871051975</v>
      </c>
      <c r="Q48" s="20" cm="1">
        <f t="array" ref="Q48">INDEX(W_psid!$B$2:$CZ$104,W_!$A48,W_!Q$1)/Ns!$B$1</f>
        <v>-14.554650270386208</v>
      </c>
      <c r="R48" s="20" cm="1">
        <f t="array" ref="R48">INDEX(W_psid!$B$2:$CZ$104,W_!$A48,W_!R$1)/Ns!$B$1</f>
        <v>-32.777396461746335</v>
      </c>
      <c r="S48" s="20" cm="1">
        <f t="array" ref="S48">INDEX(W_psid!$B$2:$CZ$104,W_!$A48,W_!S$1)/Ns!$B$1</f>
        <v>-8.5244534945116569E-3</v>
      </c>
      <c r="T48" s="20" cm="1">
        <f t="array" ref="T48">INDEX(W_psid!$B$2:$CZ$104,W_!$A48,W_!T$1)/Ns!$B$1</f>
        <v>9.372630188177846E-4</v>
      </c>
      <c r="U48" s="20" cm="1">
        <f t="array" ref="U48">INDEX(W_psid!$B$2:$CZ$104,W_!$A48,W_!U$1)/Ns!$B$1</f>
        <v>1.3840885880352491E-2</v>
      </c>
      <c r="V48" s="20" cm="1">
        <f t="array" ref="V48">INDEX(W_psid!$B$2:$CZ$104,W_!$A48,W_!V$1)/Ns!$B$1</f>
        <v>4.5363742872264456</v>
      </c>
      <c r="W48" s="20" cm="1">
        <f t="array" ref="W48">INDEX(W_psid!$B$2:$CZ$104,W_!$A48,W_!W$1)/Ns!$B$1</f>
        <v>4.5171002912393323</v>
      </c>
      <c r="X48" s="20" cm="1">
        <f t="array" ref="X48">INDEX(W_psid!$B$2:$CZ$104,W_!$A48,W_!X$1)/Ns!$B$1</f>
        <v>2.5876094156049918</v>
      </c>
      <c r="Y48" s="20" cm="1">
        <f t="array" ref="Y48">INDEX(W_psid!$B$2:$CZ$104,W_!$A48,W_!Y$1)/Ns!$B$1</f>
        <v>2.1558746338096926</v>
      </c>
      <c r="Z48" s="20" cm="1">
        <f t="array" ref="Z48">INDEX(W_psid!$B$2:$CZ$104,W_!$A48,W_!Z$1)/Ns!$B$1</f>
        <v>2.0954265753140997</v>
      </c>
      <c r="AA48" s="20" cm="1">
        <f t="array" ref="AA48">INDEX(W_psid!$B$2:$CZ$104,W_!$A48,W_!AA$1)/Ns!$B$1</f>
        <v>2.580284586395317</v>
      </c>
      <c r="AB48" s="20" cm="1">
        <f t="array" ref="AB48">INDEX(W_psid!$B$2:$CZ$104,W_!$A48,W_!AB$1)/Ns!$B$1</f>
        <v>0.57994354707788542</v>
      </c>
      <c r="AC48" s="20" cm="1">
        <f t="array" ref="AC48">INDEX(W_psid!$B$2:$CZ$104,W_!$A48,W_!AC$1)/Ns!$B$1</f>
        <v>-7.3172830453045335E-3</v>
      </c>
      <c r="AD48" s="20" cm="1">
        <f t="array" ref="AD48">INDEX(W_psid!$B$2:$CZ$104,W_!$A48,W_!AD$1)/Ns!$B$1</f>
        <v>-0.26762386860343318</v>
      </c>
      <c r="AE48" s="20" cm="1">
        <f t="array" ref="AE48">INDEX(W_psid!$B$2:$CZ$104,W_!$A48,W_!AE$1)/Ns!$B$1</f>
        <v>-0.24754567812059189</v>
      </c>
      <c r="AF48" s="20" cm="1">
        <f t="array" ref="AF48">INDEX(W_psid!$B$2:$CZ$104,W_!$A48,W_!AF$1)/Ns!$B$1</f>
        <v>60.448619112331428</v>
      </c>
      <c r="AG48" s="20" cm="1">
        <f t="array" ref="AG48">INDEX(W_psid!$B$2:$CZ$104,W_!$A48,W_!AG$1)/Ns!$B$1</f>
        <v>53.612302932834567</v>
      </c>
      <c r="AH48" s="20" cm="1">
        <f t="array" ref="AH48">INDEX(W_psid!$B$2:$CZ$104,W_!$A48,W_!AH$1)/Ns!$B$1</f>
        <v>0.11535873793911056</v>
      </c>
      <c r="AI48" s="20" cm="1">
        <f t="array" ref="AI48">INDEX(W_psid!$B$2:$CZ$104,W_!$A48,W_!AI$1)/Ns!$B$1</f>
        <v>-5.1459075599971919E-2</v>
      </c>
      <c r="AJ48" s="20" cm="1">
        <f t="array" ref="AJ48">INDEX(W_psid!$B$2:$CZ$104,W_!$A48,W_!AJ$1)/Ns!$B$1</f>
        <v>-2.3890838955957562E-4</v>
      </c>
      <c r="AK48" s="20" cm="1">
        <f t="array" ref="AK48">INDEX(W_psid!$B$2:$CZ$104,W_!$A48,W_!AK$1)/Ns!$B$1</f>
        <v>-1.0645539842064728</v>
      </c>
      <c r="AL48" s="20" cm="1">
        <f t="array" ref="AL48">INDEX(W_psid!$B$2:$CZ$104,W_!$A48,W_!AL$1)/Ns!$B$1</f>
        <v>-1.5876811761477403</v>
      </c>
      <c r="AM48" s="20" cm="1">
        <f t="array" ref="AM48">INDEX(W_psid!$B$2:$CZ$104,W_!$A48,W_!AM$1)/Ns!$B$1</f>
        <v>-0.15180097190275266</v>
      </c>
      <c r="AN48" s="20" cm="1">
        <f t="array" ref="AN48">INDEX(W_psid!$B$2:$CZ$104,W_!$A48,W_!AN$1)/Ns!$B$1</f>
        <v>1.0632501199078274E-2</v>
      </c>
      <c r="AO48" s="20" cm="1">
        <f t="array" ref="AO48">INDEX(W_psid!$B$2:$CZ$104,W_!$A48,W_!AO$1)/Ns!$B$1</f>
        <v>1.7908144940826959E-3</v>
      </c>
      <c r="AP48" s="20" cm="1">
        <f t="array" ref="AP48">INDEX(W_psid!$B$2:$CZ$104,W_!$A48,W_!AP$1)/Ns!$B$1</f>
        <v>-25.310559138999409</v>
      </c>
      <c r="AQ48" s="20" cm="1">
        <f t="array" ref="AQ48">INDEX(W_psid!$B$2:$CZ$104,W_!$A48,W_!AQ$1)/Ns!$B$1</f>
        <v>-17.414296058940831</v>
      </c>
      <c r="AR48" s="20" cm="1">
        <f t="array" ref="AR48">INDEX(W_psid!$B$2:$CZ$104,W_!$A48,W_!AR$1)/Ns!$B$1</f>
        <v>13.068562335114603</v>
      </c>
      <c r="AS48" s="20" cm="1">
        <f t="array" ref="AS48">INDEX(W_psid!$B$2:$CZ$104,W_!$A48,W_!AS$1)/Ns!$B$1</f>
        <v>1.5460056201449879E-4</v>
      </c>
      <c r="AT48" s="20" cm="1">
        <f t="array" ref="AT48">INDEX(W_psid!$B$2:$CZ$104,W_!$A48,W_!AT$1)/Ns!$B$1</f>
        <v>-2.7023038321302099E-3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67.229585247183721</v>
      </c>
      <c r="AW48" s="20" cm="1">
        <f t="array" ref="AW48">INDEX(W_psid!$B$2:$CZ$104,W_!$A48,W_!AW$1)/Ns!$B$1</f>
        <v>1.0165991295103367</v>
      </c>
      <c r="AX48" s="20" cm="1">
        <f t="array" ref="AX48">INDEX(W_psid!$B$2:$CZ$104,W_!$A48,W_!AX$1)/Ns!$B$1</f>
        <v>-0.64416174011283345</v>
      </c>
      <c r="AY48" s="20"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  <c r="BF48" s="20" cm="1">
        <f t="array" ref="BF48">INDEX(W_other!$B$2:$CT$98,W_!$A48,W_!BF$1)</f>
        <v>0</v>
      </c>
    </row>
    <row r="49" spans="1:58" x14ac:dyDescent="0.3">
      <c r="A49" s="18">
        <f>MATCH(C49,W_psid!$A$2:$A$104,0)</f>
        <v>72</v>
      </c>
      <c r="B49" s="18" t="str">
        <f>MOMS!$A$47</f>
        <v>sd_hdo_wdo</v>
      </c>
      <c r="C49" s="18" t="str">
        <f>MOMS!$B$47</f>
        <v>sd_hdo_wdo_inmsa</v>
      </c>
      <c r="D49" s="20" cm="1">
        <f t="array" ref="D49">INDEX(W_psid!$B$2:$CZ$104,W_!$A49,W_!D$1)/Ns!$B$1</f>
        <v>-5.4548963219724555E-3</v>
      </c>
      <c r="E49" s="20" cm="1">
        <f t="array" ref="E49">INDEX(W_psid!$B$2:$CZ$104,W_!$A49,W_!E$1)/Ns!$B$1</f>
        <v>-7.1100079091587359E-2</v>
      </c>
      <c r="F49" s="20" cm="1">
        <f t="array" ref="F49">INDEX(W_psid!$B$2:$CZ$104,W_!$A49,W_!F$1)/Ns!$B$1</f>
        <v>4.2593638033966881E-3</v>
      </c>
      <c r="G49" s="20" cm="1">
        <f t="array" ref="G49">INDEX(W_psid!$B$2:$CZ$104,W_!$A49,W_!G$1)/Ns!$B$1</f>
        <v>0.39892294125107586</v>
      </c>
      <c r="H49" s="20" cm="1">
        <f t="array" ref="H49">INDEX(W_psid!$B$2:$CZ$104,W_!$A49,W_!H$1)/Ns!$B$1</f>
        <v>1.3543894767043383</v>
      </c>
      <c r="I49" s="20" cm="1">
        <f t="array" ref="I49">INDEX(W_psid!$B$2:$CZ$104,W_!$A49,W_!I$1)/Ns!$B$1</f>
        <v>0.6349885477885564</v>
      </c>
      <c r="J49" s="20" cm="1">
        <f t="array" ref="J49">INDEX(W_psid!$B$2:$CZ$104,W_!$A49,W_!J$1)/Ns!$B$1</f>
        <v>-0.35129325722644195</v>
      </c>
      <c r="K49" s="20" cm="1">
        <f t="array" ref="K49">INDEX(W_psid!$B$2:$CZ$104,W_!$A49,W_!K$1)/Ns!$B$1</f>
        <v>0.89610685505077003</v>
      </c>
      <c r="L49" s="20" cm="1">
        <f t="array" ref="L49">INDEX(W_psid!$B$2:$CZ$104,W_!$A49,W_!L$1)/Ns!$B$1</f>
        <v>-1.2658683220624518</v>
      </c>
      <c r="M49" s="20" cm="1">
        <f t="array" ref="M49">INDEX(W_psid!$B$2:$CZ$104,W_!$A49,W_!M$1)/Ns!$B$1</f>
        <v>-0.76993934161583721</v>
      </c>
      <c r="N49" s="20" cm="1">
        <f t="array" ref="N49">INDEX(W_psid!$B$2:$CZ$104,W_!$A49,W_!N$1)/Ns!$B$1</f>
        <v>0.25001019800871183</v>
      </c>
      <c r="O49" s="20" cm="1">
        <f t="array" ref="O49">INDEX(W_psid!$B$2:$CZ$104,W_!$A49,W_!O$1)/Ns!$B$1</f>
        <v>1.0079393811256363</v>
      </c>
      <c r="P49" s="20" cm="1">
        <f t="array" ref="P49">INDEX(W_psid!$B$2:$CZ$104,W_!$A49,W_!P$1)/Ns!$B$1</f>
        <v>-0.90333909039851346</v>
      </c>
      <c r="Q49" s="20" cm="1">
        <f t="array" ref="Q49">INDEX(W_psid!$B$2:$CZ$104,W_!$A49,W_!Q$1)/Ns!$B$1</f>
        <v>-1.4179029096202442</v>
      </c>
      <c r="R49" s="20" cm="1">
        <f t="array" ref="R49">INDEX(W_psid!$B$2:$CZ$104,W_!$A49,W_!R$1)/Ns!$B$1</f>
        <v>-0.72184564319645494</v>
      </c>
      <c r="S49" s="20" cm="1">
        <f t="array" ref="S49">INDEX(W_psid!$B$2:$CZ$104,W_!$A49,W_!S$1)/Ns!$B$1</f>
        <v>5.6263534237016132E-4</v>
      </c>
      <c r="T49" s="20" cm="1">
        <f t="array" ref="T49">INDEX(W_psid!$B$2:$CZ$104,W_!$A49,W_!T$1)/Ns!$B$1</f>
        <v>1.6881099785479381E-4</v>
      </c>
      <c r="U49" s="20" cm="1">
        <f t="array" ref="U49">INDEX(W_psid!$B$2:$CZ$104,W_!$A49,W_!U$1)/Ns!$B$1</f>
        <v>-1.3027952264439395E-4</v>
      </c>
      <c r="V49" s="20" cm="1">
        <f t="array" ref="V49">INDEX(W_psid!$B$2:$CZ$104,W_!$A49,W_!V$1)/Ns!$B$1</f>
        <v>0.15595615166767451</v>
      </c>
      <c r="W49" s="20" cm="1">
        <f t="array" ref="W49">INDEX(W_psid!$B$2:$CZ$104,W_!$A49,W_!W$1)/Ns!$B$1</f>
        <v>0.14601768080329131</v>
      </c>
      <c r="X49" s="20" cm="1">
        <f t="array" ref="X49">INDEX(W_psid!$B$2:$CZ$104,W_!$A49,W_!X$1)/Ns!$B$1</f>
        <v>0.15562350415765139</v>
      </c>
      <c r="Y49" s="20" cm="1">
        <f t="array" ref="Y49">INDEX(W_psid!$B$2:$CZ$104,W_!$A49,W_!Y$1)/Ns!$B$1</f>
        <v>0.158186609983445</v>
      </c>
      <c r="Z49" s="20" cm="1">
        <f t="array" ref="Z49">INDEX(W_psid!$B$2:$CZ$104,W_!$A49,W_!Z$1)/Ns!$B$1</f>
        <v>0.15627272021862085</v>
      </c>
      <c r="AA49" s="20" cm="1">
        <f t="array" ref="AA49">INDEX(W_psid!$B$2:$CZ$104,W_!$A49,W_!AA$1)/Ns!$B$1</f>
        <v>0.17342064969610474</v>
      </c>
      <c r="AB49" s="20" cm="1">
        <f t="array" ref="AB49">INDEX(W_psid!$B$2:$CZ$104,W_!$A49,W_!AB$1)/Ns!$B$1</f>
        <v>2.663757574831219E-2</v>
      </c>
      <c r="AC49" s="20" cm="1">
        <f t="array" ref="AC49">INDEX(W_psid!$B$2:$CZ$104,W_!$A49,W_!AC$1)/Ns!$B$1</f>
        <v>1.2930535353429995E-4</v>
      </c>
      <c r="AD49" s="20" cm="1">
        <f t="array" ref="AD49">INDEX(W_psid!$B$2:$CZ$104,W_!$A49,W_!AD$1)/Ns!$B$1</f>
        <v>-4.6748032210647154E-2</v>
      </c>
      <c r="AE49" s="20" cm="1">
        <f t="array" ref="AE49">INDEX(W_psid!$B$2:$CZ$104,W_!$A49,W_!AE$1)/Ns!$B$1</f>
        <v>5.482677475681064E-3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0.92152441336175184</v>
      </c>
      <c r="AH49" s="20" cm="1">
        <f t="array" ref="AH49">INDEX(W_psid!$B$2:$CZ$104,W_!$A49,W_!AH$1)/Ns!$B$1</f>
        <v>2.4658689233715364E-2</v>
      </c>
      <c r="AI49" s="20" cm="1">
        <f t="array" ref="AI49">INDEX(W_psid!$B$2:$CZ$104,W_!$A49,W_!AI$1)/Ns!$B$1</f>
        <v>-1.7758252567469986E-3</v>
      </c>
      <c r="AJ49" s="20" cm="1">
        <f t="array" ref="AJ49">INDEX(W_psid!$B$2:$CZ$104,W_!$A49,W_!AJ$1)/Ns!$B$1</f>
        <v>5.1308821777017695E-5</v>
      </c>
      <c r="AK49" s="20" cm="1">
        <f t="array" ref="AK49">INDEX(W_psid!$B$2:$CZ$104,W_!$A49,W_!AK$1)/Ns!$B$1</f>
        <v>0.34558325707019516</v>
      </c>
      <c r="AL49" s="20" cm="1">
        <f t="array" ref="AL49">INDEX(W_psid!$B$2:$CZ$104,W_!$A49,W_!AL$1)/Ns!$B$1</f>
        <v>0.34485840276493518</v>
      </c>
      <c r="AM49" s="20" cm="1">
        <f t="array" ref="AM49">INDEX(W_psid!$B$2:$CZ$104,W_!$A49,W_!AM$1)/Ns!$B$1</f>
        <v>-0.17876183684662375</v>
      </c>
      <c r="AN49" s="20" cm="1">
        <f t="array" ref="AN49">INDEX(W_psid!$B$2:$CZ$104,W_!$A49,W_!AN$1)/Ns!$B$1</f>
        <v>-5.5136161975131049E-4</v>
      </c>
      <c r="AO49" s="20" cm="1">
        <f t="array" ref="AO49">INDEX(W_psid!$B$2:$CZ$104,W_!$A49,W_!AO$1)/Ns!$B$1</f>
        <v>-8.0873541186015242E-5</v>
      </c>
      <c r="AP49" s="20" cm="1">
        <f t="array" ref="AP49">INDEX(W_psid!$B$2:$CZ$104,W_!$A49,W_!AP$1)/Ns!$B$1</f>
        <v>-1.4067055951263208</v>
      </c>
      <c r="AQ49" s="20" cm="1">
        <f t="array" ref="AQ49">INDEX(W_psid!$B$2:$CZ$104,W_!$A49,W_!AQ$1)/Ns!$B$1</f>
        <v>-1.0374373211801249</v>
      </c>
      <c r="AR49" s="20" cm="1">
        <f t="array" ref="AR49">INDEX(W_psid!$B$2:$CZ$104,W_!$A49,W_!AR$1)/Ns!$B$1</f>
        <v>0.79361644698765343</v>
      </c>
      <c r="AS49" s="20" cm="1">
        <f t="array" ref="AS49">INDEX(W_psid!$B$2:$CZ$104,W_!$A49,W_!AS$1)/Ns!$B$1</f>
        <v>5.7965262066105922E-5</v>
      </c>
      <c r="AT49" s="20" cm="1">
        <f t="array" ref="AT49">INDEX(W_psid!$B$2:$CZ$104,W_!$A49,W_!AT$1)/Ns!$B$1</f>
        <v>3.5999537694579689E-4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1.0165991295103367</v>
      </c>
      <c r="AW49" s="20" cm="1">
        <f t="array" ref="AW49">INDEX(W_psid!$B$2:$CZ$104,W_!$A49,W_!AW$1)/Ns!$B$1</f>
        <v>0.30240473130539386</v>
      </c>
      <c r="AX49" s="20" cm="1">
        <f t="array" ref="AX49">INDEX(W_psid!$B$2:$CZ$104,W_!$A49,W_!AX$1)/Ns!$B$1</f>
        <v>-3.3984293956567435E-2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</row>
    <row r="50" spans="1:58" x14ac:dyDescent="0.3">
      <c r="A50" s="18">
        <f>MATCH(C50,W_psid!$A$2:$A$104,0)</f>
        <v>30</v>
      </c>
      <c r="B50" s="18" t="str">
        <f>MOMS!$A$48</f>
        <v>sdj_dif</v>
      </c>
      <c r="C50" s="18" t="str">
        <f>MOMS!$B$48</f>
        <v>sdj_dif</v>
      </c>
      <c r="D50" s="20" cm="1">
        <f t="array" ref="D50">INDEX(W_psid!$B$2:$CZ$104,W_!$A50,W_!D$1)/Ns!$B$1</f>
        <v>1.1929012188305461E-2</v>
      </c>
      <c r="E50" s="20" cm="1">
        <f t="array" ref="E50">INDEX(W_psid!$B$2:$CZ$104,W_!$A50,W_!E$1)/Ns!$B$1</f>
        <v>7.3203937945769265E-2</v>
      </c>
      <c r="F50" s="20" cm="1">
        <f t="array" ref="F50">INDEX(W_psid!$B$2:$CZ$104,W_!$A50,W_!F$1)/Ns!$B$1</f>
        <v>4.7168123484154327E-2</v>
      </c>
      <c r="G50" s="20" cm="1">
        <f t="array" ref="G50">INDEX(W_psid!$B$2:$CZ$104,W_!$A50,W_!G$1)/Ns!$B$1</f>
        <v>1.4294378864730664</v>
      </c>
      <c r="H50" s="20" cm="1">
        <f t="array" ref="H50">INDEX(W_psid!$B$2:$CZ$104,W_!$A50,W_!H$1)/Ns!$B$1</f>
        <v>-0.10169793643099743</v>
      </c>
      <c r="I50" s="20" cm="1">
        <f t="array" ref="I50">INDEX(W_psid!$B$2:$CZ$104,W_!$A50,W_!I$1)/Ns!$B$1</f>
        <v>-1.4636958202516124</v>
      </c>
      <c r="J50" s="20" cm="1">
        <f t="array" ref="J50">INDEX(W_psid!$B$2:$CZ$104,W_!$A50,W_!J$1)/Ns!$B$1</f>
        <v>-1.203157585419723</v>
      </c>
      <c r="K50" s="20" cm="1">
        <f t="array" ref="K50">INDEX(W_psid!$B$2:$CZ$104,W_!$A50,W_!K$1)/Ns!$B$1</f>
        <v>-1.3332224657434482</v>
      </c>
      <c r="L50" s="20" cm="1">
        <f t="array" ref="L50">INDEX(W_psid!$B$2:$CZ$104,W_!$A50,W_!L$1)/Ns!$B$1</f>
        <v>0.86393979975070012</v>
      </c>
      <c r="M50" s="20" cm="1">
        <f t="array" ref="M50">INDEX(W_psid!$B$2:$CZ$104,W_!$A50,W_!M$1)/Ns!$B$1</f>
        <v>1.1216874168235829</v>
      </c>
      <c r="N50" s="20" cm="1">
        <f t="array" ref="N50">INDEX(W_psid!$B$2:$CZ$104,W_!$A50,W_!N$1)/Ns!$B$1</f>
        <v>-6.4307143333198938E-2</v>
      </c>
      <c r="O50" s="20" cm="1">
        <f t="array" ref="O50">INDEX(W_psid!$B$2:$CZ$104,W_!$A50,W_!O$1)/Ns!$B$1</f>
        <v>-0.4975601355112389</v>
      </c>
      <c r="P50" s="20" cm="1">
        <f t="array" ref="P50">INDEX(W_psid!$B$2:$CZ$104,W_!$A50,W_!P$1)/Ns!$B$1</f>
        <v>0.38751112762763223</v>
      </c>
      <c r="Q50" s="20" cm="1">
        <f t="array" ref="Q50">INDEX(W_psid!$B$2:$CZ$104,W_!$A50,W_!Q$1)/Ns!$B$1</f>
        <v>0.65206997973784142</v>
      </c>
      <c r="R50" s="20" cm="1">
        <f t="array" ref="R50">INDEX(W_psid!$B$2:$CZ$104,W_!$A50,W_!R$1)/Ns!$B$1</f>
        <v>1.0002264821964526</v>
      </c>
      <c r="S50" s="20" cm="1">
        <f t="array" ref="S50">INDEX(W_psid!$B$2:$CZ$104,W_!$A50,W_!S$1)/Ns!$B$1</f>
        <v>4.2376930329549641E-4</v>
      </c>
      <c r="T50" s="20" cm="1">
        <f t="array" ref="T50">INDEX(W_psid!$B$2:$CZ$104,W_!$A50,W_!T$1)/Ns!$B$1</f>
        <v>-2.2475172015180568E-4</v>
      </c>
      <c r="U50" s="20" cm="1">
        <f t="array" ref="U50">INDEX(W_psid!$B$2:$CZ$104,W_!$A50,W_!U$1)/Ns!$B$1</f>
        <v>-3.7844365773835278E-4</v>
      </c>
      <c r="V50" s="20" cm="1">
        <f t="array" ref="V50">INDEX(W_psid!$B$2:$CZ$104,W_!$A50,W_!V$1)/Ns!$B$1</f>
        <v>-0.16287667531216776</v>
      </c>
      <c r="W50" s="20" cm="1">
        <f t="array" ref="W50">INDEX(W_psid!$B$2:$CZ$104,W_!$A50,W_!W$1)/Ns!$B$1</f>
        <v>-0.15925795708824506</v>
      </c>
      <c r="X50" s="20" cm="1">
        <f t="array" ref="X50">INDEX(W_psid!$B$2:$CZ$104,W_!$A50,W_!X$1)/Ns!$B$1</f>
        <v>-0.15787800408651992</v>
      </c>
      <c r="Y50" s="20" cm="1">
        <f t="array" ref="Y50">INDEX(W_psid!$B$2:$CZ$104,W_!$A50,W_!Y$1)/Ns!$B$1</f>
        <v>-0.14334287080920879</v>
      </c>
      <c r="Z50" s="20" cm="1">
        <f t="array" ref="Z50">INDEX(W_psid!$B$2:$CZ$104,W_!$A50,W_!Z$1)/Ns!$B$1</f>
        <v>-0.12957658612997938</v>
      </c>
      <c r="AA50" s="20" cm="1">
        <f t="array" ref="AA50">INDEX(W_psid!$B$2:$CZ$104,W_!$A50,W_!AA$1)/Ns!$B$1</f>
        <v>-0.15784608113321749</v>
      </c>
      <c r="AB50" s="20" cm="1">
        <f t="array" ref="AB50">INDEX(W_psid!$B$2:$CZ$104,W_!$A50,W_!AB$1)/Ns!$B$1</f>
        <v>-3.2914664264450037E-3</v>
      </c>
      <c r="AC50" s="20" cm="1">
        <f t="array" ref="AC50">INDEX(W_psid!$B$2:$CZ$104,W_!$A50,W_!AC$1)/Ns!$B$1</f>
        <v>-1.9301222169037884E-3</v>
      </c>
      <c r="AD50" s="20" cm="1">
        <f t="array" ref="AD50">INDEX(W_psid!$B$2:$CZ$104,W_!$A50,W_!AD$1)/Ns!$B$1</f>
        <v>0.10601693046960611</v>
      </c>
      <c r="AE50" s="20" cm="1">
        <f t="array" ref="AE50">INDEX(W_psid!$B$2:$CZ$104,W_!$A50,W_!AE$1)/Ns!$B$1</f>
        <v>-1.8954543285797281E-3</v>
      </c>
      <c r="AF50" s="20" cm="1">
        <f t="array" ref="AF50">INDEX(W_psid!$B$2:$CZ$104,W_!$A50,W_!AF$1)/Ns!$B$1</f>
        <v>-1.349283405603154</v>
      </c>
      <c r="AG50" s="20" cm="1">
        <f t="array" ref="AG50">INDEX(W_psid!$B$2:$CZ$104,W_!$A50,W_!AG$1)/Ns!$B$1</f>
        <v>-1.1703070423011432</v>
      </c>
      <c r="AH50" s="20" cm="1">
        <f t="array" ref="AH50">INDEX(W_psid!$B$2:$CZ$104,W_!$A50,W_!AH$1)/Ns!$B$1</f>
        <v>-5.5274410439935537E-3</v>
      </c>
      <c r="AI50" s="20" cm="1">
        <f t="array" ref="AI50">INDEX(W_psid!$B$2:$CZ$104,W_!$A50,W_!AI$1)/Ns!$B$1</f>
        <v>-4.226844112016178E-3</v>
      </c>
      <c r="AJ50" s="20" cm="1">
        <f t="array" ref="AJ50">INDEX(W_psid!$B$2:$CZ$104,W_!$A50,W_!AJ$1)/Ns!$B$1</f>
        <v>2.6715033360729402E-5</v>
      </c>
      <c r="AK50" s="20" cm="1">
        <f t="array" ref="AK50">INDEX(W_psid!$B$2:$CZ$104,W_!$A50,W_!AK$1)/Ns!$B$1</f>
        <v>3.5287245167457536E-2</v>
      </c>
      <c r="AL50" s="20" cm="1">
        <f t="array" ref="AL50">INDEX(W_psid!$B$2:$CZ$104,W_!$A50,W_!AL$1)/Ns!$B$1</f>
        <v>0.11935785304220023</v>
      </c>
      <c r="AM50" s="20" cm="1">
        <f t="array" ref="AM50">INDEX(W_psid!$B$2:$CZ$104,W_!$A50,W_!AM$1)/Ns!$B$1</f>
        <v>2.3249606954764523E-2</v>
      </c>
      <c r="AN50" s="20" cm="1">
        <f t="array" ref="AN50">INDEX(W_psid!$B$2:$CZ$104,W_!$A50,W_!AN$1)/Ns!$B$1</f>
        <v>2.6366899553613237E-3</v>
      </c>
      <c r="AO50" s="20" cm="1">
        <f t="array" ref="AO50">INDEX(W_psid!$B$2:$CZ$104,W_!$A50,W_!AO$1)/Ns!$B$1</f>
        <v>1.3104652161062165E-6</v>
      </c>
      <c r="AP50" s="20" cm="1">
        <f t="array" ref="AP50">INDEX(W_psid!$B$2:$CZ$104,W_!$A50,W_!AP$1)/Ns!$B$1</f>
        <v>1.8002544581106821</v>
      </c>
      <c r="AQ50" s="20" cm="1">
        <f t="array" ref="AQ50">INDEX(W_psid!$B$2:$CZ$104,W_!$A50,W_!AQ$1)/Ns!$B$1</f>
        <v>1.3554870533530505</v>
      </c>
      <c r="AR50" s="20" cm="1">
        <f t="array" ref="AR50">INDEX(W_psid!$B$2:$CZ$104,W_!$A50,W_!AR$1)/Ns!$B$1</f>
        <v>-0.50913826257245864</v>
      </c>
      <c r="AS50" s="20" cm="1">
        <f t="array" ref="AS50">INDEX(W_psid!$B$2:$CZ$104,W_!$A50,W_!AS$1)/Ns!$B$1</f>
        <v>5.6132753190989284E-5</v>
      </c>
      <c r="AT50" s="20" cm="1">
        <f t="array" ref="AT50">INDEX(W_psid!$B$2:$CZ$104,W_!$A50,W_!AT$1)/Ns!$B$1</f>
        <v>-6.3135265413495601E-4</v>
      </c>
      <c r="AU50" s="20" cm="1">
        <f t="array" ref="AU50">INDEX(W_psid!$B$2:$CZ$104,W_!$A50,W_!AU$1)/Ns!$B$1</f>
        <v>0</v>
      </c>
      <c r="AV50" s="20" cm="1">
        <f t="array" ref="AV50">INDEX(W_psid!$B$2:$CZ$104,W_!$A50,W_!AV$1)/Ns!$B$1</f>
        <v>-0.64416174011283345</v>
      </c>
      <c r="AW50" s="20" cm="1">
        <f t="array" ref="AW50">INDEX(W_psid!$B$2:$CZ$104,W_!$A50,W_!AW$1)/Ns!$B$1</f>
        <v>-3.3984293956567435E-2</v>
      </c>
      <c r="AX50" s="20" cm="1">
        <f t="array" ref="AX50">INDEX(W_psid!$B$2:$CZ$104,W_!$A50,W_!AX$1)/Ns!$B$1</f>
        <v>0.11765595476552017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</row>
    <row r="51" spans="1:58" x14ac:dyDescent="0.3">
      <c r="A51" s="18">
        <f>MATCH(C51,W_other!$A$2:$A$98,0)</f>
        <v>7</v>
      </c>
      <c r="B51" s="18" t="str">
        <f>MOMS!$A$49</f>
        <v>NLY_</v>
      </c>
      <c r="C51" s="18" t="str">
        <f>MOMS!$B$49</f>
        <v>NLY_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0" cm="1">
        <f t="array" ref="AY51">INDEX(W_other!$B$2:$CT$98,W_!$A51,W_!AY$1)</f>
        <v>1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  <c r="BF51" s="20" cm="1">
        <f t="array" ref="BF51">INDEX(W_other!$B$2:$CT$98,W_!$A51,W_!BF$1)</f>
        <v>0</v>
      </c>
    </row>
    <row r="52" spans="1:58" x14ac:dyDescent="0.3">
      <c r="A52" s="18">
        <f>MATCH(C52,W_other!$A$2:$A$98,0)</f>
        <v>5</v>
      </c>
      <c r="B52" s="18" t="str">
        <f>MOMS!$A$50</f>
        <v>shouseexp</v>
      </c>
      <c r="C52" s="18" t="str">
        <f>MOMS!$B$50</f>
        <v>shouseexp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0" cm="1">
        <f t="array" ref="AY52">INDEX(W_other!$B$2:$CT$98,W_!$A52,W_!AY$1)</f>
        <v>0</v>
      </c>
      <c r="AZ52" s="20" cm="1">
        <f t="array" ref="AZ52">INDEX(W_other!$B$2:$CT$98,W_!$A52,W_!AZ$1)</f>
        <v>9.9999999999999995E-7</v>
      </c>
      <c r="BA52" s="20" cm="1">
        <f t="array" ref="BA52">INDEX(W_other!$B$2:$CT$98,W_!$A52,W_!BA$1)</f>
        <v>0</v>
      </c>
      <c r="BB52" s="20" cm="1">
        <f t="array" ref="BB52">INDEX(W_other!$B$2:$CT$98,W_!$A52,W_!BB$1)</f>
        <v>0</v>
      </c>
      <c r="BC52" s="20" cm="1">
        <f t="array" ref="BC52">INDEX(W_other!$B$2:$CT$98,W_!$A52,W_!BC$1)</f>
        <v>0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  <c r="BF52" s="20" cm="1">
        <f t="array" ref="BF52">INDEX(W_other!$B$2:$CT$98,W_!$A52,W_!BF$1)</f>
        <v>0</v>
      </c>
    </row>
    <row r="53" spans="1:58" x14ac:dyDescent="0.3">
      <c r="A53" s="18">
        <f>MATCH(C53,W_other!$A$2:$A$98,0)</f>
        <v>1</v>
      </c>
      <c r="B53" s="18" t="str">
        <f>MOMS!$A$51</f>
        <v>scity</v>
      </c>
      <c r="C53" s="18" t="str">
        <f>MOMS!$B$51</f>
        <v>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0" cm="1">
        <f t="array" ref="AY53">INDEX(W_other!$B$2:$CT$98,W_!$A53,W_!AY$1)</f>
        <v>0</v>
      </c>
      <c r="AZ53" s="20" cm="1">
        <f t="array" ref="AZ53">INDEX(W_other!$B$2:$CT$98,W_!$A53,W_!AZ$1)</f>
        <v>0</v>
      </c>
      <c r="BA53" s="20" cm="1">
        <f t="array" ref="BA53">INDEX(W_other!$B$2:$CT$98,W_!$A53,W_!BA$1)/Ns!$B$2</f>
        <v>3.9262297701702086E-4</v>
      </c>
      <c r="BB53" s="20" cm="1">
        <f t="array" ref="BB53">INDEX(W_other!$B$2:$CT$98,W_!$A53,W_!BB$1)/Ns!$B$2</f>
        <v>5.2458658101740558E-4</v>
      </c>
      <c r="BC53" s="20" cm="1">
        <f t="array" ref="BC53">INDEX(W_other!$B$2:$CT$98,W_!$A53,W_!BC$1)/Ns!$B$2</f>
        <v>-1.059771510722185E-5</v>
      </c>
      <c r="BD53" s="20" cm="1">
        <f t="array" ref="BD53">INDEX(W_other!$B$2:$CT$98,W_!$A53,W_!BD$1)/Ns!$B$2</f>
        <v>2.7317085315895759E-5</v>
      </c>
      <c r="BE53" s="20" cm="1">
        <f t="array" ref="BE53">INDEX(W_other!$B$2:$CT$98,W_!$A53,W_!BE$1)</f>
        <v>0</v>
      </c>
      <c r="BF53" s="20" cm="1">
        <f t="array" ref="BF53">INDEX(W_other!$B$2:$CT$98,W_!$A53,W_!BF$1)</f>
        <v>0</v>
      </c>
    </row>
    <row r="54" spans="1:58" x14ac:dyDescent="0.3">
      <c r="A54" s="18">
        <f>MATCH(C54,W_other!$A$2:$A$98,0)</f>
        <v>2</v>
      </c>
      <c r="B54" s="18" t="str">
        <f>MOMS!$A$52</f>
        <v>sjobscity</v>
      </c>
      <c r="C54" s="18" t="str">
        <f>MOMS!$B$52</f>
        <v>sjobscity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0" cm="1">
        <f t="array" ref="AY54">INDEX(W_other!$B$2:$CT$98,W_!$A54,W_!AY$1)</f>
        <v>0</v>
      </c>
      <c r="AZ54" s="20" cm="1">
        <f t="array" ref="AZ54">INDEX(W_other!$B$2:$CT$98,W_!$A54,W_!AZ$1)</f>
        <v>0</v>
      </c>
      <c r="BA54" s="20" cm="1">
        <f t="array" ref="BA54">INDEX(W_other!$B$2:$CT$98,W_!$A54,W_!BA$1)/Ns!$B$2</f>
        <v>5.2458658101740558E-4</v>
      </c>
      <c r="BB54" s="20" cm="1">
        <f t="array" ref="BB54">INDEX(W_other!$B$2:$CT$98,W_!$A54,W_!BB$1)/Ns!$B$2</f>
        <v>7.8351114857197804E-4</v>
      </c>
      <c r="BC54" s="20" cm="1">
        <f t="array" ref="BC54">INDEX(W_other!$B$2:$CT$98,W_!$A54,W_!BC$1)/Ns!$B$2</f>
        <v>-3.0097721877103564E-5</v>
      </c>
      <c r="BD54" s="20" cm="1">
        <f t="array" ref="BD54">INDEX(W_other!$B$2:$CT$98,W_!$A54,W_!BD$1)/Ns!$B$2</f>
        <v>1.4776707306471775E-4</v>
      </c>
      <c r="BE54" s="20" cm="1">
        <f t="array" ref="BE54">INDEX(W_other!$B$2:$CT$98,W_!$A54,W_!BE$1)</f>
        <v>0</v>
      </c>
      <c r="BF54" s="20" cm="1">
        <f t="array" ref="BF54">INDEX(W_other!$B$2:$CT$98,W_!$A54,W_!BF$1)</f>
        <v>0</v>
      </c>
    </row>
    <row r="55" spans="1:58" x14ac:dyDescent="0.3">
      <c r="A55" s="18">
        <f>MATCH(C55,W_other!$A$2:$A$98,0)</f>
        <v>4</v>
      </c>
      <c r="B55" s="18" t="str">
        <f>MOMS!$A$53</f>
        <v>p_gradient</v>
      </c>
      <c r="C55" s="18" t="str">
        <f>MOMS!$B$53</f>
        <v>p_gradient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0" cm="1">
        <f t="array" ref="AY55">INDEX(W_other!$B$2:$CT$98,W_!$A55,W_!AY$1)</f>
        <v>0</v>
      </c>
      <c r="AZ55" s="20" cm="1">
        <f t="array" ref="AZ55">INDEX(W_other!$B$2:$CT$98,W_!$A55,W_!AZ$1)</f>
        <v>0</v>
      </c>
      <c r="BA55" s="20" cm="1">
        <f t="array" ref="BA55">INDEX(W_other!$B$2:$CT$98,W_!$A55,W_!BA$1)/Ns!$B$2</f>
        <v>-1.059771510722185E-5</v>
      </c>
      <c r="BB55" s="20" cm="1">
        <f t="array" ref="BB55">INDEX(W_other!$B$2:$CT$98,W_!$A55,W_!BB$1)/Ns!$B$2</f>
        <v>-3.0097721877103564E-5</v>
      </c>
      <c r="BC55" s="20" cm="1">
        <f t="array" ref="BC55">INDEX(W_other!$B$2:$CT$98,W_!$A55,W_!BC$1)/Ns!$B$2</f>
        <v>6.3318484854312911E-6</v>
      </c>
      <c r="BD55" s="20" cm="1">
        <f t="array" ref="BD55">INDEX(W_other!$B$2:$CT$98,W_!$A55,W_!BD$1)/Ns!$B$2</f>
        <v>-3.3326383056063078E-5</v>
      </c>
      <c r="BE55" s="20" cm="1">
        <f t="array" ref="BE55">INDEX(W_other!$B$2:$CT$98,W_!$A55,W_!BE$1)</f>
        <v>0</v>
      </c>
      <c r="BF55" s="20" cm="1">
        <f t="array" ref="BF55">INDEX(W_other!$B$2:$CT$98,W_!$A55,W_!BF$1)</f>
        <v>0</v>
      </c>
    </row>
    <row r="56" spans="1:58" x14ac:dyDescent="0.3">
      <c r="A56" s="18">
        <f>MATCH(C56,W_other!$A$2:$A$98,0)</f>
        <v>3</v>
      </c>
      <c r="B56" s="18" t="str">
        <f>MOMS!$A$54</f>
        <v>p_gradient_simple</v>
      </c>
      <c r="C56" s="18" t="str">
        <f>MOMS!$B$54</f>
        <v>p_gradient_simple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INDEX(W_other!$B$2:$CT$98,W_!$A56,W_!BA$1)/Ns!$B$2</f>
        <v>2.7317085315895759E-5</v>
      </c>
      <c r="BB56" s="20" cm="1">
        <f t="array" ref="BB56">INDEX(W_other!$B$2:$CT$98,W_!$A56,W_!BB$1)/Ns!$B$2</f>
        <v>1.4776707306471775E-4</v>
      </c>
      <c r="BC56" s="20" cm="1">
        <f t="array" ref="BC56">INDEX(W_other!$B$2:$CT$98,W_!$A56,W_!BC$1)/Ns!$B$2</f>
        <v>-3.3326383056063078E-5</v>
      </c>
      <c r="BD56" s="20" cm="1">
        <f t="array" ref="BD56">INDEX(W_other!$B$2:$CT$98,W_!$A56,W_!BD$1)/Ns!$B$2</f>
        <v>3.5392960919319167E-4</v>
      </c>
      <c r="BE56" s="20" cm="1">
        <f t="array" ref="BE56">INDEX(W_other!$B$2:$CT$98,W_!$A56,W_!BE$1)</f>
        <v>0</v>
      </c>
      <c r="BF56" s="20" cm="1">
        <f t="array" ref="BF56">INDEX(W_other!$B$2:$CT$98,W_!$A56,W_!BF$1)</f>
        <v>0</v>
      </c>
    </row>
    <row r="57" spans="1:58" x14ac:dyDescent="0.3">
      <c r="A57" s="18">
        <f>MATCH(C57,W_other!$A$2:$A$98,0)</f>
        <v>8</v>
      </c>
      <c r="B57" s="18" t="str">
        <f>MOMS!$A$55</f>
        <v>snmarried</v>
      </c>
      <c r="C57" s="18" t="str">
        <f>MOMS!$B$55</f>
        <v>snmarried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INDEX(W_other!$B$2:$CT$98,W_!$A57,W_!BE$1)/Ns!B3</f>
        <v>4.488237951807229E-6</v>
      </c>
      <c r="BF57" s="20" cm="1">
        <f t="array" ref="BF57">INDEX(W_other!$B$2:$CT$98,W_!$A57,W_!BF$1)</f>
        <v>0</v>
      </c>
    </row>
    <row r="58" spans="1:58" x14ac:dyDescent="0.3">
      <c r="A58" s="18">
        <f>MATCH(C58,W_other!$A$2:$A$98,0)</f>
        <v>6</v>
      </c>
      <c r="B58" s="18" t="str">
        <f>MOMS!$A$56</f>
        <v>L</v>
      </c>
      <c r="C58" s="18" t="str">
        <f>MOMS!$B$56</f>
        <v>L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0" cm="1">
        <f t="array" ref="AY58">INDEX(W_other!$B$2:$CT$98,W_!$A58,W_!AY$1)</f>
        <v>0</v>
      </c>
      <c r="AZ58" s="20" cm="1">
        <f t="array" ref="AZ58">INDEX(W_other!$B$2:$CT$98,W_!$A58,W_!AZ$1)</f>
        <v>0</v>
      </c>
      <c r="BA58" s="20" cm="1">
        <f t="array" ref="BA58">INDEX(W_other!$B$2:$CT$98,W_!$A58,W_!BA$1)</f>
        <v>0</v>
      </c>
      <c r="BB58" s="20" cm="1">
        <f t="array" ref="BB58">INDEX(W_other!$B$2:$CT$98,W_!$A58,W_!BB$1)</f>
        <v>0</v>
      </c>
      <c r="BC58" s="20" cm="1">
        <f t="array" ref="BC58">INDEX(W_other!$B$2:$CT$98,W_!$A58,W_!BC$1)</f>
        <v>0</v>
      </c>
      <c r="BD58" s="20" cm="1">
        <f t="array" ref="BD58">INDEX(W_other!$B$2:$CT$98,W_!$A58,W_!BD$1)</f>
        <v>0</v>
      </c>
      <c r="BE58" s="20" cm="1">
        <f t="array" ref="BE58">INDEX(W_other!$B$2:$CT$98,W_!$A58,W_!BE$1)</f>
        <v>0</v>
      </c>
      <c r="BF58" s="20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4" x14ac:dyDescent="0.3"/>
  <cols>
    <col min="1" max="1" width="16.3320312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173</v>
      </c>
      <c r="B2">
        <v>0.39191477161275001</v>
      </c>
    </row>
    <row r="3" spans="1:3" x14ac:dyDescent="0.3">
      <c r="A3" t="s">
        <v>17</v>
      </c>
      <c r="B3">
        <v>0.49779057060822007</v>
      </c>
    </row>
    <row r="4" spans="1:3" x14ac:dyDescent="0.3">
      <c r="A4" t="s">
        <v>14</v>
      </c>
      <c r="B4">
        <v>-8.7687275110524994E-3</v>
      </c>
      <c r="C4" t="s">
        <v>174</v>
      </c>
    </row>
    <row r="5" spans="1:3" x14ac:dyDescent="0.3">
      <c r="A5" t="s">
        <v>15</v>
      </c>
      <c r="B5">
        <v>7.2765061412580503E-2</v>
      </c>
    </row>
    <row r="7" spans="1:3" x14ac:dyDescent="0.3">
      <c r="A7" t="s">
        <v>59</v>
      </c>
      <c r="B7">
        <f>'OUTSIDE MOMENT'!B2</f>
        <v>0.193</v>
      </c>
    </row>
    <row r="8" spans="1:3" x14ac:dyDescent="0.3">
      <c r="A8" t="s">
        <v>9</v>
      </c>
      <c r="B8">
        <f>'OUTSIDE MOMENT'!B3</f>
        <v>0.53600000000000003</v>
      </c>
    </row>
    <row r="9" spans="1:3" x14ac:dyDescent="0.3">
      <c r="A9" t="s">
        <v>10</v>
      </c>
      <c r="B9">
        <f>'OUTSIDE MOMENT'!B4</f>
        <v>0.15652701064259733</v>
      </c>
    </row>
    <row r="10" spans="1:3" x14ac:dyDescent="0.3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4" x14ac:dyDescent="0.3"/>
  <cols>
    <col min="1" max="1" width="23.5546875" bestFit="1" customWidth="1"/>
    <col min="2" max="2" width="5.77734375" bestFit="1" customWidth="1"/>
  </cols>
  <sheetData>
    <row r="1" spans="1:3" x14ac:dyDescent="0.3">
      <c r="B1" t="s">
        <v>122</v>
      </c>
      <c r="C1" t="s">
        <v>1</v>
      </c>
    </row>
    <row r="2" spans="1:3" x14ac:dyDescent="0.3">
      <c r="A2" t="s">
        <v>123</v>
      </c>
      <c r="B2">
        <v>1</v>
      </c>
      <c r="C2">
        <v>12.15999517122788</v>
      </c>
    </row>
    <row r="3" spans="1:3" x14ac:dyDescent="0.3">
      <c r="A3" t="s">
        <v>124</v>
      </c>
      <c r="B3">
        <v>2</v>
      </c>
      <c r="C3">
        <v>-3.8619970791605471</v>
      </c>
    </row>
    <row r="4" spans="1:3" x14ac:dyDescent="0.3">
      <c r="A4" t="s">
        <v>125</v>
      </c>
      <c r="B4">
        <v>3</v>
      </c>
      <c r="C4">
        <v>-3.087384738571985</v>
      </c>
    </row>
    <row r="5" spans="1:3" x14ac:dyDescent="0.3">
      <c r="A5" t="s">
        <v>26</v>
      </c>
      <c r="B5">
        <v>4</v>
      </c>
      <c r="C5">
        <v>-3.022548801873556</v>
      </c>
    </row>
    <row r="6" spans="1:3" x14ac:dyDescent="0.3">
      <c r="A6" t="s">
        <v>27</v>
      </c>
      <c r="B6">
        <v>5</v>
      </c>
      <c r="C6">
        <v>-0.113034175390985</v>
      </c>
    </row>
    <row r="7" spans="1:3" x14ac:dyDescent="0.3">
      <c r="A7" t="s">
        <v>126</v>
      </c>
      <c r="B7">
        <v>6</v>
      </c>
      <c r="C7">
        <v>0.36030751060892291</v>
      </c>
    </row>
    <row r="8" spans="1:3" x14ac:dyDescent="0.3">
      <c r="A8" t="s">
        <v>24</v>
      </c>
      <c r="B8">
        <v>7</v>
      </c>
      <c r="C8">
        <v>8.6669121586366344</v>
      </c>
    </row>
    <row r="9" spans="1:3" x14ac:dyDescent="0.3">
      <c r="A9" t="s">
        <v>127</v>
      </c>
      <c r="B9">
        <v>8</v>
      </c>
      <c r="C9">
        <v>-1.806606721385478</v>
      </c>
    </row>
    <row r="10" spans="1:3" x14ac:dyDescent="0.3">
      <c r="A10" t="s">
        <v>128</v>
      </c>
      <c r="B10">
        <v>9</v>
      </c>
      <c r="C10">
        <v>-1.8615985945475739</v>
      </c>
    </row>
    <row r="11" spans="1:3" x14ac:dyDescent="0.3">
      <c r="A11" t="s">
        <v>118</v>
      </c>
      <c r="B11">
        <v>10</v>
      </c>
      <c r="C11">
        <v>-2.3628717358738478</v>
      </c>
    </row>
    <row r="12" spans="1:3" x14ac:dyDescent="0.3">
      <c r="A12" t="s">
        <v>119</v>
      </c>
      <c r="B12">
        <v>11</v>
      </c>
      <c r="C12">
        <v>-0.1149982088563825</v>
      </c>
    </row>
    <row r="13" spans="1:3" x14ac:dyDescent="0.3">
      <c r="A13" t="s">
        <v>129</v>
      </c>
      <c r="B13">
        <v>12</v>
      </c>
      <c r="C13">
        <v>0.53125214244042096</v>
      </c>
    </row>
    <row r="14" spans="1:3" x14ac:dyDescent="0.3">
      <c r="A14" t="s">
        <v>130</v>
      </c>
      <c r="B14">
        <v>13</v>
      </c>
      <c r="C14">
        <v>-2.6967358682803728</v>
      </c>
    </row>
    <row r="15" spans="1:3" x14ac:dyDescent="0.3">
      <c r="A15" t="s">
        <v>120</v>
      </c>
      <c r="B15">
        <v>14</v>
      </c>
      <c r="C15">
        <v>-2.7084940999921869</v>
      </c>
    </row>
    <row r="16" spans="1:3" x14ac:dyDescent="0.3">
      <c r="A16" t="s">
        <v>121</v>
      </c>
      <c r="B16">
        <v>15</v>
      </c>
      <c r="C16">
        <v>-0.29730104993288509</v>
      </c>
    </row>
    <row r="17" spans="1:3" x14ac:dyDescent="0.3">
      <c r="A17" t="s">
        <v>131</v>
      </c>
      <c r="B17">
        <v>16</v>
      </c>
      <c r="C17">
        <v>0.37207329147337359</v>
      </c>
    </row>
    <row r="18" spans="1:3" x14ac:dyDescent="0.3">
      <c r="A18" t="s">
        <v>132</v>
      </c>
      <c r="B18">
        <v>17</v>
      </c>
      <c r="C18">
        <v>1.858023032880175E-3</v>
      </c>
    </row>
    <row r="19" spans="1:3" x14ac:dyDescent="0.3">
      <c r="A19" t="s">
        <v>133</v>
      </c>
      <c r="B19">
        <v>18</v>
      </c>
      <c r="C19">
        <v>1.88140143270291E-3</v>
      </c>
    </row>
    <row r="20" spans="1:3" x14ac:dyDescent="0.3">
      <c r="A20" t="s">
        <v>134</v>
      </c>
      <c r="B20">
        <v>19</v>
      </c>
      <c r="C20">
        <v>1.9666306282818059E-3</v>
      </c>
    </row>
    <row r="21" spans="1:3" x14ac:dyDescent="0.3">
      <c r="A21" t="s">
        <v>135</v>
      </c>
      <c r="B21">
        <v>20</v>
      </c>
      <c r="C21">
        <v>1.9010739631001279E-3</v>
      </c>
    </row>
    <row r="22" spans="1:3" x14ac:dyDescent="0.3">
      <c r="A22" t="s">
        <v>136</v>
      </c>
      <c r="B22">
        <v>21</v>
      </c>
      <c r="C22">
        <v>9.9917849898722749E-4</v>
      </c>
    </row>
    <row r="23" spans="1:3" x14ac:dyDescent="0.3">
      <c r="A23" t="s">
        <v>137</v>
      </c>
      <c r="B23">
        <v>22</v>
      </c>
      <c r="C23">
        <v>1.0295415592160679E-3</v>
      </c>
    </row>
    <row r="24" spans="1:3" x14ac:dyDescent="0.3">
      <c r="A24" t="s">
        <v>39</v>
      </c>
      <c r="B24">
        <v>23</v>
      </c>
      <c r="C24">
        <v>127.55650702409319</v>
      </c>
    </row>
    <row r="25" spans="1:3" x14ac:dyDescent="0.3">
      <c r="A25" t="s">
        <v>138</v>
      </c>
      <c r="B25">
        <v>24</v>
      </c>
      <c r="C25">
        <v>12</v>
      </c>
    </row>
    <row r="26" spans="1:3" x14ac:dyDescent="0.3">
      <c r="A26" t="s">
        <v>139</v>
      </c>
      <c r="B26">
        <v>25</v>
      </c>
      <c r="C26">
        <v>152.82676676750711</v>
      </c>
    </row>
    <row r="27" spans="1:3" x14ac:dyDescent="0.3">
      <c r="A27" t="s">
        <v>140</v>
      </c>
      <c r="B27">
        <v>26</v>
      </c>
      <c r="C27">
        <v>19570.859179726369</v>
      </c>
    </row>
    <row r="28" spans="1:3" x14ac:dyDescent="0.3">
      <c r="A28" t="s">
        <v>141</v>
      </c>
      <c r="B28">
        <v>27</v>
      </c>
      <c r="C28">
        <v>159</v>
      </c>
    </row>
    <row r="29" spans="1:3" x14ac:dyDescent="0.3">
      <c r="A29" t="s">
        <v>36</v>
      </c>
      <c r="B29">
        <v>28</v>
      </c>
      <c r="C29">
        <v>20.026576813082229</v>
      </c>
    </row>
    <row r="30" spans="1:3" x14ac:dyDescent="0.3">
      <c r="A30" t="s">
        <v>37</v>
      </c>
      <c r="B30">
        <v>29</v>
      </c>
      <c r="C30">
        <v>8.2483445308043329E-2</v>
      </c>
    </row>
    <row r="31" spans="1:3" x14ac:dyDescent="0.3">
      <c r="A31" t="s">
        <v>38</v>
      </c>
      <c r="B31">
        <v>30</v>
      </c>
      <c r="C31">
        <v>-1.7715051525342049</v>
      </c>
    </row>
    <row r="32" spans="1:3" x14ac:dyDescent="0.3">
      <c r="A32" t="s">
        <v>142</v>
      </c>
      <c r="B32">
        <v>31</v>
      </c>
      <c r="C32">
        <v>2.7941510756567679E-2</v>
      </c>
    </row>
    <row r="33" spans="1:3" x14ac:dyDescent="0.3">
      <c r="A33" t="s">
        <v>143</v>
      </c>
      <c r="B33">
        <v>32</v>
      </c>
      <c r="C33">
        <v>-1.693068743449766</v>
      </c>
    </row>
    <row r="34" spans="1:3" x14ac:dyDescent="0.3">
      <c r="A34" t="s">
        <v>25</v>
      </c>
      <c r="B34">
        <v>33</v>
      </c>
      <c r="C34">
        <v>20.27689348857923</v>
      </c>
    </row>
    <row r="35" spans="1:3" x14ac:dyDescent="0.3">
      <c r="A35" t="s">
        <v>144</v>
      </c>
      <c r="B35">
        <v>34</v>
      </c>
      <c r="C35">
        <v>-1.4098748233617819</v>
      </c>
    </row>
    <row r="36" spans="1:3" x14ac:dyDescent="0.3">
      <c r="A36" t="s">
        <v>145</v>
      </c>
      <c r="B36">
        <v>35</v>
      </c>
      <c r="C36">
        <v>-1.5614483850622769</v>
      </c>
    </row>
    <row r="37" spans="1:3" x14ac:dyDescent="0.3">
      <c r="A37" t="s">
        <v>40</v>
      </c>
      <c r="B37">
        <v>36</v>
      </c>
      <c r="C37">
        <v>133.69302804456299</v>
      </c>
    </row>
    <row r="38" spans="1:3" x14ac:dyDescent="0.3">
      <c r="A38" t="s">
        <v>41</v>
      </c>
      <c r="B38">
        <v>37</v>
      </c>
      <c r="C38">
        <v>123.7160952414538</v>
      </c>
    </row>
    <row r="39" spans="1:3" x14ac:dyDescent="0.3">
      <c r="A39" t="s">
        <v>146</v>
      </c>
      <c r="B39">
        <v>38</v>
      </c>
      <c r="C39">
        <v>9.6525439793758896E-2</v>
      </c>
    </row>
    <row r="40" spans="1:3" x14ac:dyDescent="0.3">
      <c r="A40" t="s">
        <v>20</v>
      </c>
      <c r="B40">
        <v>39</v>
      </c>
      <c r="C40">
        <v>7.0380097359185795E-2</v>
      </c>
    </row>
    <row r="41" spans="1:3" x14ac:dyDescent="0.3">
      <c r="A41" t="s">
        <v>22</v>
      </c>
      <c r="B41">
        <v>40</v>
      </c>
      <c r="C41">
        <v>0.97377889090392133</v>
      </c>
    </row>
    <row r="42" spans="1:3" x14ac:dyDescent="0.3">
      <c r="A42" t="s">
        <v>21</v>
      </c>
      <c r="B42">
        <v>41</v>
      </c>
      <c r="C42">
        <v>-0.22074335511107751</v>
      </c>
    </row>
    <row r="43" spans="1:3" x14ac:dyDescent="0.3">
      <c r="A43" t="s">
        <v>147</v>
      </c>
      <c r="B43">
        <v>42</v>
      </c>
      <c r="C43">
        <v>0.93260040414320899</v>
      </c>
    </row>
    <row r="44" spans="1:3" x14ac:dyDescent="0.3">
      <c r="A44" t="s">
        <v>148</v>
      </c>
      <c r="B44">
        <v>43</v>
      </c>
      <c r="C44">
        <v>-0.25520335289941343</v>
      </c>
    </row>
    <row r="45" spans="1:3" x14ac:dyDescent="0.3">
      <c r="A45" t="s">
        <v>44</v>
      </c>
      <c r="B45">
        <v>44</v>
      </c>
      <c r="C45">
        <v>1873.126070137658</v>
      </c>
    </row>
    <row r="46" spans="1:3" x14ac:dyDescent="0.3">
      <c r="A46" t="s">
        <v>61</v>
      </c>
      <c r="B46">
        <v>45</v>
      </c>
      <c r="C46">
        <v>495.34145665939718</v>
      </c>
    </row>
    <row r="47" spans="1:3" x14ac:dyDescent="0.3">
      <c r="A47" t="s">
        <v>149</v>
      </c>
      <c r="B47">
        <v>46</v>
      </c>
      <c r="C47">
        <v>1965.336546713233</v>
      </c>
    </row>
    <row r="48" spans="1:3" x14ac:dyDescent="0.3">
      <c r="A48" t="s">
        <v>150</v>
      </c>
      <c r="B48">
        <v>47</v>
      </c>
      <c r="C48">
        <v>-151.63447703706171</v>
      </c>
    </row>
    <row r="49" spans="1:3" x14ac:dyDescent="0.3">
      <c r="A49" t="s">
        <v>151</v>
      </c>
      <c r="B49">
        <v>48</v>
      </c>
      <c r="C49">
        <v>593.16349855375722</v>
      </c>
    </row>
    <row r="50" spans="1:3" x14ac:dyDescent="0.3">
      <c r="A50" t="s">
        <v>152</v>
      </c>
      <c r="B50">
        <v>49</v>
      </c>
      <c r="C50">
        <v>188.3189278578576</v>
      </c>
    </row>
    <row r="51" spans="1:3" x14ac:dyDescent="0.3">
      <c r="A51" t="s">
        <v>45</v>
      </c>
      <c r="B51">
        <v>50</v>
      </c>
      <c r="C51">
        <v>2206.542127027375</v>
      </c>
    </row>
    <row r="52" spans="1:3" x14ac:dyDescent="0.3">
      <c r="A52" t="s">
        <v>46</v>
      </c>
      <c r="B52">
        <v>51</v>
      </c>
      <c r="C52">
        <v>63.102838742636607</v>
      </c>
    </row>
    <row r="53" spans="1:3" x14ac:dyDescent="0.3">
      <c r="A53" t="s">
        <v>23</v>
      </c>
      <c r="B53">
        <v>52</v>
      </c>
      <c r="C53">
        <v>-671.54653071480595</v>
      </c>
    </row>
    <row r="54" spans="1:3" x14ac:dyDescent="0.3">
      <c r="A54" t="s">
        <v>47</v>
      </c>
      <c r="B54">
        <v>53</v>
      </c>
      <c r="C54">
        <v>105.92467385866679</v>
      </c>
    </row>
    <row r="55" spans="1:3" x14ac:dyDescent="0.3">
      <c r="A55" t="s">
        <v>153</v>
      </c>
      <c r="B55">
        <v>54</v>
      </c>
      <c r="C55">
        <v>-617.09437937111397</v>
      </c>
    </row>
    <row r="56" spans="1:3" x14ac:dyDescent="0.3">
      <c r="A56" t="s">
        <v>154</v>
      </c>
      <c r="B56">
        <v>55</v>
      </c>
      <c r="C56">
        <v>-558.45904589999702</v>
      </c>
    </row>
    <row r="57" spans="1:3" x14ac:dyDescent="0.3">
      <c r="A57" t="s">
        <v>51</v>
      </c>
      <c r="B57">
        <v>56</v>
      </c>
      <c r="C57">
        <v>-604.50613192106152</v>
      </c>
    </row>
    <row r="58" spans="1:3" x14ac:dyDescent="0.3">
      <c r="A58" t="s">
        <v>52</v>
      </c>
      <c r="B58">
        <v>57</v>
      </c>
      <c r="C58">
        <v>-50.524167685204198</v>
      </c>
    </row>
    <row r="59" spans="1:3" x14ac:dyDescent="0.3">
      <c r="A59" t="s">
        <v>53</v>
      </c>
      <c r="B59">
        <v>58</v>
      </c>
      <c r="C59">
        <v>277.3960843684647</v>
      </c>
    </row>
    <row r="60" spans="1:3" x14ac:dyDescent="0.3">
      <c r="A60" t="s">
        <v>48</v>
      </c>
      <c r="B60">
        <v>59</v>
      </c>
      <c r="C60">
        <v>973.91420861085408</v>
      </c>
    </row>
    <row r="61" spans="1:3" x14ac:dyDescent="0.3">
      <c r="A61" t="s">
        <v>49</v>
      </c>
      <c r="B61">
        <v>60</v>
      </c>
      <c r="C61">
        <v>683.00321899695848</v>
      </c>
    </row>
    <row r="62" spans="1:3" x14ac:dyDescent="0.3">
      <c r="A62" t="s">
        <v>50</v>
      </c>
      <c r="B62">
        <v>61</v>
      </c>
      <c r="C62">
        <v>-109.1547555757197</v>
      </c>
    </row>
    <row r="63" spans="1:3" x14ac:dyDescent="0.3">
      <c r="A63" t="s">
        <v>54</v>
      </c>
      <c r="B63">
        <v>62</v>
      </c>
      <c r="C63">
        <v>17.300003612584021</v>
      </c>
    </row>
    <row r="64" spans="1:3" x14ac:dyDescent="0.3">
      <c r="A64" t="s">
        <v>55</v>
      </c>
      <c r="B64">
        <v>63</v>
      </c>
      <c r="C64">
        <v>16.41873490261716</v>
      </c>
    </row>
    <row r="65" spans="1:3" x14ac:dyDescent="0.3">
      <c r="A65" t="s">
        <v>155</v>
      </c>
      <c r="B65">
        <v>64</v>
      </c>
      <c r="C65">
        <v>16.266669440742501</v>
      </c>
    </row>
    <row r="66" spans="1:3" x14ac:dyDescent="0.3">
      <c r="A66" t="s">
        <v>156</v>
      </c>
      <c r="B66">
        <v>65</v>
      </c>
      <c r="C66">
        <v>16.373180166108941</v>
      </c>
    </row>
    <row r="67" spans="1:3" x14ac:dyDescent="0.3">
      <c r="A67" t="s">
        <v>56</v>
      </c>
      <c r="B67">
        <v>66</v>
      </c>
      <c r="C67">
        <v>16.50485049313583</v>
      </c>
    </row>
    <row r="68" spans="1:3" x14ac:dyDescent="0.3">
      <c r="A68" t="s">
        <v>57</v>
      </c>
      <c r="B68">
        <v>67</v>
      </c>
      <c r="C68">
        <v>9.7404941422592</v>
      </c>
    </row>
    <row r="69" spans="1:3" x14ac:dyDescent="0.3">
      <c r="A69" t="s">
        <v>58</v>
      </c>
      <c r="B69">
        <v>68</v>
      </c>
      <c r="C69">
        <v>1.8622385753987361</v>
      </c>
    </row>
    <row r="70" spans="1:3" x14ac:dyDescent="0.3">
      <c r="A70" t="s">
        <v>28</v>
      </c>
      <c r="B70">
        <v>69</v>
      </c>
      <c r="C70">
        <v>0.70642425961924049</v>
      </c>
    </row>
    <row r="71" spans="1:3" x14ac:dyDescent="0.3">
      <c r="A71" t="s">
        <v>29</v>
      </c>
      <c r="B71">
        <v>70</v>
      </c>
      <c r="C71">
        <v>-0.1053500575262209</v>
      </c>
    </row>
    <row r="72" spans="1:3" x14ac:dyDescent="0.3">
      <c r="A72" t="s">
        <v>30</v>
      </c>
      <c r="B72">
        <v>71</v>
      </c>
      <c r="C72">
        <v>-1.9224712072771601E-3</v>
      </c>
    </row>
    <row r="73" spans="1:3" x14ac:dyDescent="0.3">
      <c r="A73" t="s">
        <v>31</v>
      </c>
      <c r="B73">
        <v>72</v>
      </c>
      <c r="C73">
        <v>-1.588598449141954E-3</v>
      </c>
    </row>
    <row r="74" spans="1:3" x14ac:dyDescent="0.3">
      <c r="A74" t="s">
        <v>157</v>
      </c>
      <c r="B74">
        <v>73</v>
      </c>
      <c r="C74">
        <v>-1.870685337031015E-3</v>
      </c>
    </row>
    <row r="75" spans="1:3" x14ac:dyDescent="0.3">
      <c r="A75" t="s">
        <v>158</v>
      </c>
      <c r="B75">
        <v>74</v>
      </c>
      <c r="C75">
        <v>-1.4226091377864509E-3</v>
      </c>
    </row>
    <row r="76" spans="1:3" x14ac:dyDescent="0.3">
      <c r="A76" t="s">
        <v>32</v>
      </c>
      <c r="B76">
        <v>75</v>
      </c>
      <c r="C76">
        <v>-5.4621031206579556</v>
      </c>
    </row>
    <row r="77" spans="1:3" x14ac:dyDescent="0.3">
      <c r="A77" t="s">
        <v>33</v>
      </c>
      <c r="B77">
        <v>76</v>
      </c>
      <c r="C77">
        <v>-5.1460408600554093</v>
      </c>
    </row>
    <row r="78" spans="1:3" x14ac:dyDescent="0.3">
      <c r="A78" t="s">
        <v>34</v>
      </c>
      <c r="B78">
        <v>77</v>
      </c>
      <c r="C78">
        <v>-4.9346811983424637</v>
      </c>
    </row>
    <row r="79" spans="1:3" x14ac:dyDescent="0.3">
      <c r="A79" t="s">
        <v>35</v>
      </c>
      <c r="B79">
        <v>78</v>
      </c>
      <c r="C79">
        <v>-2.4845220850313421</v>
      </c>
    </row>
    <row r="80" spans="1:3" x14ac:dyDescent="0.3">
      <c r="A80" t="s">
        <v>115</v>
      </c>
      <c r="B80">
        <v>79</v>
      </c>
      <c r="C80">
        <v>-1.0639787156140439</v>
      </c>
    </row>
    <row r="81" spans="1:3" x14ac:dyDescent="0.3">
      <c r="A81" t="s">
        <v>116</v>
      </c>
      <c r="B81">
        <v>80</v>
      </c>
      <c r="C81">
        <v>3.284617791136256</v>
      </c>
    </row>
    <row r="82" spans="1:3" x14ac:dyDescent="0.3">
      <c r="A82" t="s">
        <v>159</v>
      </c>
      <c r="B82">
        <v>81</v>
      </c>
      <c r="C82">
        <v>5.3482037056109188</v>
      </c>
    </row>
    <row r="83" spans="1:3" x14ac:dyDescent="0.3">
      <c r="A83" t="s">
        <v>160</v>
      </c>
      <c r="B83">
        <v>82</v>
      </c>
      <c r="C83">
        <v>-1.4777125461852829</v>
      </c>
    </row>
    <row r="84" spans="1:3" x14ac:dyDescent="0.3">
      <c r="A84" t="s">
        <v>42</v>
      </c>
      <c r="B84">
        <v>83</v>
      </c>
      <c r="C84">
        <v>1.4503303731614511E-3</v>
      </c>
    </row>
    <row r="85" spans="1:3" x14ac:dyDescent="0.3">
      <c r="A85" t="s">
        <v>43</v>
      </c>
      <c r="B85">
        <v>84</v>
      </c>
      <c r="C85">
        <v>-1.178628214930753E-3</v>
      </c>
    </row>
    <row r="86" spans="1:3" x14ac:dyDescent="0.3">
      <c r="A86" t="s">
        <v>161</v>
      </c>
      <c r="B86">
        <v>85</v>
      </c>
      <c r="C86">
        <v>72.316991346232982</v>
      </c>
    </row>
    <row r="87" spans="1:3" x14ac:dyDescent="0.3">
      <c r="A87" t="s">
        <v>162</v>
      </c>
      <c r="B87">
        <v>86</v>
      </c>
      <c r="C87">
        <v>65.080088675771051</v>
      </c>
    </row>
    <row r="88" spans="1:3" x14ac:dyDescent="0.3">
      <c r="A88" t="s">
        <v>163</v>
      </c>
      <c r="B88">
        <v>87</v>
      </c>
      <c r="C88">
        <v>122.548474987894</v>
      </c>
    </row>
    <row r="89" spans="1:3" x14ac:dyDescent="0.3">
      <c r="A89" t="s">
        <v>164</v>
      </c>
      <c r="B89">
        <v>89</v>
      </c>
      <c r="C89">
        <v>142.5528382120342</v>
      </c>
    </row>
    <row r="90" spans="1:3" x14ac:dyDescent="0.3">
      <c r="A90" t="s">
        <v>165</v>
      </c>
      <c r="B90">
        <v>90</v>
      </c>
      <c r="C90">
        <v>18478.29340157317</v>
      </c>
    </row>
    <row r="91" spans="1:3" x14ac:dyDescent="0.3">
      <c r="A91" t="s">
        <v>198</v>
      </c>
      <c r="C91">
        <v>-0.23237462229539671</v>
      </c>
    </row>
    <row r="92" spans="1:3" x14ac:dyDescent="0.3">
      <c r="A92" t="s">
        <v>199</v>
      </c>
      <c r="C92">
        <v>-0.28859491202232501</v>
      </c>
    </row>
    <row r="93" spans="1:3" x14ac:dyDescent="0.3">
      <c r="A93" t="s">
        <v>200</v>
      </c>
      <c r="C93">
        <v>-0.26293418832561888</v>
      </c>
    </row>
    <row r="94" spans="1:3" x14ac:dyDescent="0.3">
      <c r="A94" t="s">
        <v>201</v>
      </c>
      <c r="C94">
        <v>-0.29549068412733248</v>
      </c>
    </row>
    <row r="95" spans="1:3" x14ac:dyDescent="0.3">
      <c r="A95" t="s">
        <v>202</v>
      </c>
      <c r="C95">
        <v>-0.34749104115171359</v>
      </c>
    </row>
    <row r="96" spans="1:3" x14ac:dyDescent="0.3">
      <c r="A96" t="s">
        <v>203</v>
      </c>
      <c r="C96">
        <v>-0.32539548393483092</v>
      </c>
    </row>
    <row r="97" spans="1:3" x14ac:dyDescent="0.3">
      <c r="A97" t="s">
        <v>166</v>
      </c>
      <c r="B97">
        <v>92</v>
      </c>
      <c r="C97">
        <v>-0.24229407501972891</v>
      </c>
    </row>
    <row r="98" spans="1:3" x14ac:dyDescent="0.3">
      <c r="A98" t="s">
        <v>167</v>
      </c>
      <c r="B98">
        <v>93</v>
      </c>
      <c r="C98">
        <v>-0.27005117509554499</v>
      </c>
    </row>
    <row r="99" spans="1:3" x14ac:dyDescent="0.3">
      <c r="A99" t="s">
        <v>117</v>
      </c>
      <c r="B99">
        <v>94</v>
      </c>
      <c r="C99">
        <v>-0.24397495405798261</v>
      </c>
    </row>
    <row r="100" spans="1:3" x14ac:dyDescent="0.3">
      <c r="A100" t="s">
        <v>168</v>
      </c>
      <c r="B100">
        <v>95</v>
      </c>
      <c r="C100">
        <v>-0.29782014109595578</v>
      </c>
    </row>
    <row r="101" spans="1:3" x14ac:dyDescent="0.3">
      <c r="A101" t="s">
        <v>169</v>
      </c>
      <c r="B101">
        <v>96</v>
      </c>
      <c r="C101">
        <v>-0.32810689174601743</v>
      </c>
    </row>
    <row r="102" spans="1:3" x14ac:dyDescent="0.3">
      <c r="A102" t="s">
        <v>170</v>
      </c>
      <c r="B102">
        <v>97</v>
      </c>
      <c r="C102">
        <v>-0.30802326104584432</v>
      </c>
    </row>
    <row r="103" spans="1:3" x14ac:dyDescent="0.3">
      <c r="A103" t="s">
        <v>171</v>
      </c>
      <c r="B103">
        <v>98</v>
      </c>
      <c r="C103">
        <v>8.2312817882667151</v>
      </c>
    </row>
    <row r="104" spans="1:3" x14ac:dyDescent="0.3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">
      <c r="A3" t="s">
        <v>9</v>
      </c>
      <c r="B3">
        <v>0.53600000000000003</v>
      </c>
      <c r="C3">
        <v>18.518263999999999</v>
      </c>
    </row>
    <row r="4" spans="1:10" x14ac:dyDescent="0.3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">
      <c r="A6" s="3" t="s">
        <v>12</v>
      </c>
      <c r="E6" t="s">
        <v>13</v>
      </c>
      <c r="F6" t="s">
        <v>111</v>
      </c>
    </row>
    <row r="7" spans="1:10" x14ac:dyDescent="0.3">
      <c r="A7" t="s">
        <v>14</v>
      </c>
      <c r="E7" t="s">
        <v>238</v>
      </c>
    </row>
    <row r="8" spans="1:10" x14ac:dyDescent="0.3">
      <c r="A8" t="s">
        <v>15</v>
      </c>
      <c r="E8" t="s">
        <v>16</v>
      </c>
    </row>
    <row r="9" spans="1:10" x14ac:dyDescent="0.3">
      <c r="A9" t="s">
        <v>17</v>
      </c>
      <c r="E9" t="s">
        <v>18</v>
      </c>
    </row>
    <row r="11" spans="1:10" x14ac:dyDescent="0.3">
      <c r="A11" t="s">
        <v>113</v>
      </c>
      <c r="E11" t="s">
        <v>19</v>
      </c>
    </row>
    <row r="12" spans="1:10" x14ac:dyDescent="0.3">
      <c r="A12" t="s">
        <v>112</v>
      </c>
      <c r="B12" s="8">
        <v>0.4</v>
      </c>
      <c r="E12" t="s">
        <v>19</v>
      </c>
    </row>
    <row r="14" spans="1:10" x14ac:dyDescent="0.3">
      <c r="F14" t="s">
        <v>224</v>
      </c>
    </row>
    <row r="15" spans="1:10" x14ac:dyDescent="0.3">
      <c r="C15" t="s">
        <v>212</v>
      </c>
      <c r="F15" t="s">
        <v>213</v>
      </c>
      <c r="H15" t="s">
        <v>241</v>
      </c>
      <c r="I15" t="s">
        <v>248</v>
      </c>
    </row>
    <row r="16" spans="1:10" x14ac:dyDescent="0.3">
      <c r="C16">
        <f>EXP(-0.0135*6.6667)*2*(1-0.156527)/(0.193*(C17))</f>
        <v>20.65970855393061</v>
      </c>
      <c r="F16">
        <f>1/3+2/3*(0.1449)</f>
        <v>0.42993333333333328</v>
      </c>
      <c r="H16">
        <f>PARS!E37</f>
        <v>24.382751079030985</v>
      </c>
      <c r="I16">
        <f>PARS!E49</f>
        <v>3.7</v>
      </c>
      <c r="J16">
        <f>EXP(I16*H16)</f>
        <v>1.5149165662261022E+39</v>
      </c>
    </row>
    <row r="17" spans="3:10" x14ac:dyDescent="0.3">
      <c r="C17">
        <f>2206.542/(24*365)+EXP(-0.26248)*(2206.542/(24*365)-671.547/(24*365))</f>
        <v>0.38666332602882758</v>
      </c>
    </row>
    <row r="18" spans="3:10" x14ac:dyDescent="0.3">
      <c r="F18" t="s">
        <v>215</v>
      </c>
      <c r="H18" t="s">
        <v>217</v>
      </c>
      <c r="J18" t="s">
        <v>218</v>
      </c>
    </row>
    <row r="19" spans="3:10" x14ac:dyDescent="0.3">
      <c r="C19" t="s">
        <v>268</v>
      </c>
      <c r="F19">
        <f>0.5*((EXP(C20/2)*(2206.542/(24*365)+EXP(-C20/2)*(2206.542/(24*365)-671.547/(24*365)))*(1-C23)+(2269/(24*365))*(C23*EXP(C20/2)))*EXP(I16*H16))</f>
        <v>3.2042125283432469E+38</v>
      </c>
      <c r="H19">
        <f>F19*G27</f>
        <v>7.8127516482905902E+39</v>
      </c>
      <c r="J19">
        <f>H19*(1/(1-C26))</f>
        <v>7.8127516482905902E+39</v>
      </c>
    </row>
    <row r="20" spans="3:10" x14ac:dyDescent="0.3">
      <c r="C20">
        <v>0.24399999999999999</v>
      </c>
      <c r="F20" t="s">
        <v>214</v>
      </c>
    </row>
    <row r="21" spans="3:10" x14ac:dyDescent="0.3">
      <c r="F21">
        <f>1873/(24*365)*EXP(I16*H16)</f>
        <v>3.2390853065542115E+38</v>
      </c>
      <c r="H21">
        <f>F21*G27</f>
        <v>7.8977810753458103E+39</v>
      </c>
      <c r="J21">
        <f>H21*(1/(1-C26))</f>
        <v>7.8977810753458103E+39</v>
      </c>
    </row>
    <row r="22" spans="3:10" x14ac:dyDescent="0.3">
      <c r="C22" t="s">
        <v>269</v>
      </c>
    </row>
    <row r="23" spans="3:10" x14ac:dyDescent="0.3">
      <c r="C23">
        <v>0.22</v>
      </c>
      <c r="F23" t="s">
        <v>216</v>
      </c>
    </row>
    <row r="24" spans="3:10" x14ac:dyDescent="0.3">
      <c r="F24">
        <f>(F19*(1-F16)+F21*F16)/(1-C26)</f>
        <v>3.2192054981220809E+38</v>
      </c>
      <c r="J24">
        <f>J19*(1-F16)+J21*F16</f>
        <v>7.8493086332958649E+39</v>
      </c>
    </row>
    <row r="25" spans="3:10" x14ac:dyDescent="0.3">
      <c r="C25" t="s">
        <v>270</v>
      </c>
    </row>
    <row r="26" spans="3:10" x14ac:dyDescent="0.3">
      <c r="C26">
        <v>0</v>
      </c>
      <c r="F26" t="s">
        <v>77</v>
      </c>
      <c r="J26" t="s">
        <v>219</v>
      </c>
    </row>
    <row r="27" spans="3:10" x14ac:dyDescent="0.3">
      <c r="F27">
        <f>1/(F24*0.193)</f>
        <v>1.6095111521403649E-38</v>
      </c>
      <c r="G27">
        <v>24.382751079030985</v>
      </c>
      <c r="J27">
        <f>J24*0.193</f>
        <v>1.5149165662261019E+39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4" x14ac:dyDescent="0.3"/>
  <cols>
    <col min="1" max="1" width="23.5546875" bestFit="1" customWidth="1"/>
    <col min="39" max="39" width="11.77734375" bestFit="1" customWidth="1"/>
    <col min="40" max="40" width="12.44140625" bestFit="1" customWidth="1"/>
    <col min="55" max="56" width="20.77734375" bestFit="1" customWidth="1"/>
    <col min="87" max="87" width="8.77734375" style="3"/>
    <col min="89" max="90" width="8.77734375"/>
    <col min="94" max="94" width="12.44140625" style="11" bestFit="1" customWidth="1"/>
  </cols>
  <sheetData>
    <row r="1" spans="1:104" x14ac:dyDescent="0.3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">
      <c r="A17" t="s">
        <v>132</v>
      </c>
      <c r="AF17" s="3"/>
      <c r="AG17" s="3"/>
      <c r="CI17"/>
      <c r="CP17"/>
    </row>
    <row r="18" spans="1:104" x14ac:dyDescent="0.3">
      <c r="A18" t="s">
        <v>133</v>
      </c>
      <c r="AF18" s="3"/>
      <c r="AG18" s="3"/>
      <c r="CI18"/>
      <c r="CP18"/>
    </row>
    <row r="19" spans="1:104" x14ac:dyDescent="0.3">
      <c r="A19" t="s">
        <v>134</v>
      </c>
      <c r="AF19" s="3"/>
      <c r="AG19" s="3"/>
      <c r="CI19"/>
      <c r="CP19"/>
    </row>
    <row r="20" spans="1:104" x14ac:dyDescent="0.3">
      <c r="A20" t="s">
        <v>135</v>
      </c>
      <c r="AF20" s="3"/>
      <c r="AG20" s="3"/>
      <c r="CI20"/>
      <c r="CP20"/>
    </row>
    <row r="21" spans="1:104" x14ac:dyDescent="0.3">
      <c r="A21" t="s">
        <v>136</v>
      </c>
      <c r="AF21" s="3"/>
      <c r="AG21" s="3"/>
      <c r="CI21"/>
      <c r="CP21"/>
    </row>
    <row r="22" spans="1:104" x14ac:dyDescent="0.3">
      <c r="A22" t="s">
        <v>137</v>
      </c>
      <c r="AF22" s="3"/>
      <c r="AG22" s="3"/>
      <c r="CI22"/>
      <c r="CP22"/>
    </row>
    <row r="23" spans="1:104" x14ac:dyDescent="0.3">
      <c r="A23" t="s">
        <v>138</v>
      </c>
      <c r="AF23" s="3"/>
      <c r="AG23" s="3"/>
      <c r="CI23"/>
      <c r="CP23"/>
    </row>
    <row r="24" spans="1:104" x14ac:dyDescent="0.3">
      <c r="A24" t="s">
        <v>141</v>
      </c>
      <c r="AF24" s="3"/>
      <c r="AG24" s="3"/>
      <c r="CI24"/>
      <c r="CP24"/>
    </row>
    <row r="25" spans="1:104" x14ac:dyDescent="0.3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7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7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19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4" x14ac:dyDescent="0.3"/>
  <cols>
    <col min="1" max="1" width="16.33203125" bestFit="1" customWidth="1"/>
  </cols>
  <sheetData>
    <row r="1" spans="1:10" x14ac:dyDescent="0.3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194</v>
      </c>
      <c r="B1">
        <v>256413</v>
      </c>
    </row>
    <row r="2" spans="1:2" x14ac:dyDescent="0.3">
      <c r="A2" t="s">
        <v>195</v>
      </c>
      <c r="B2">
        <v>51995</v>
      </c>
    </row>
    <row r="3" spans="1:2" x14ac:dyDescent="0.3">
      <c r="A3" t="s">
        <v>196</v>
      </c>
      <c r="B3">
        <v>664</v>
      </c>
    </row>
    <row r="4" spans="1:2" x14ac:dyDescent="0.3">
      <c r="A4" t="s">
        <v>197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4" x14ac:dyDescent="0.3"/>
  <cols>
    <col min="1" max="1" width="23.109375" bestFit="1" customWidth="1"/>
  </cols>
  <sheetData>
    <row r="1" spans="1:7" x14ac:dyDescent="0.3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">
      <c r="B4">
        <f>SUM(B2:B3)</f>
        <v>0.90879160567250994</v>
      </c>
      <c r="C4">
        <f>SUM(C2:C3)</f>
        <v>0.81802282102425528</v>
      </c>
    </row>
    <row r="5" spans="1:7" x14ac:dyDescent="0.3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">
      <c r="A11" t="s">
        <v>234</v>
      </c>
      <c r="B11">
        <f>(B8+B9)/(F2+G2)</f>
        <v>0.59019788715857813</v>
      </c>
    </row>
    <row r="13" spans="1:7" x14ac:dyDescent="0.3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4" x14ac:dyDescent="0.3"/>
  <cols>
    <col min="1" max="1" width="23.5546875" bestFit="1" customWidth="1"/>
    <col min="2" max="2" width="5.77734375" bestFit="1" customWidth="1"/>
    <col min="3" max="3" width="12.44140625" bestFit="1" customWidth="1"/>
  </cols>
  <sheetData>
    <row r="1" spans="1:4" x14ac:dyDescent="0.3">
      <c r="B1" t="s">
        <v>122</v>
      </c>
      <c r="C1" t="s">
        <v>1</v>
      </c>
      <c r="D1" t="s">
        <v>252</v>
      </c>
    </row>
    <row r="2" spans="1:4" x14ac:dyDescent="0.3">
      <c r="A2" t="s">
        <v>123</v>
      </c>
      <c r="B2">
        <v>1</v>
      </c>
      <c r="C2">
        <v>12.15999517122788</v>
      </c>
    </row>
    <row r="3" spans="1:4" x14ac:dyDescent="0.3">
      <c r="A3" t="s">
        <v>124</v>
      </c>
      <c r="B3">
        <v>2</v>
      </c>
      <c r="C3">
        <v>-3.861997079160544</v>
      </c>
    </row>
    <row r="4" spans="1:4" x14ac:dyDescent="0.3">
      <c r="A4" t="s">
        <v>125</v>
      </c>
      <c r="B4">
        <v>3</v>
      </c>
      <c r="C4">
        <v>-3.0873847385719864</v>
      </c>
    </row>
    <row r="5" spans="1:4" x14ac:dyDescent="0.3">
      <c r="A5" t="s">
        <v>26</v>
      </c>
      <c r="B5">
        <v>4</v>
      </c>
      <c r="C5">
        <v>-3.0225488018735542</v>
      </c>
    </row>
    <row r="6" spans="1:4" x14ac:dyDescent="0.3">
      <c r="A6" t="s">
        <v>27</v>
      </c>
      <c r="B6">
        <v>5</v>
      </c>
      <c r="C6">
        <v>-0.11303417539098579</v>
      </c>
    </row>
    <row r="7" spans="1:4" x14ac:dyDescent="0.3">
      <c r="A7" t="s">
        <v>126</v>
      </c>
      <c r="B7">
        <v>6</v>
      </c>
      <c r="C7">
        <v>0.36030751060892358</v>
      </c>
    </row>
    <row r="8" spans="1:4" x14ac:dyDescent="0.3">
      <c r="A8" t="s">
        <v>24</v>
      </c>
      <c r="B8">
        <v>7</v>
      </c>
      <c r="C8">
        <v>8.6669121586366344</v>
      </c>
    </row>
    <row r="9" spans="1:4" x14ac:dyDescent="0.3">
      <c r="A9" t="s">
        <v>127</v>
      </c>
      <c r="B9">
        <v>8</v>
      </c>
      <c r="C9">
        <v>-1.8066067213854717</v>
      </c>
    </row>
    <row r="10" spans="1:4" x14ac:dyDescent="0.3">
      <c r="A10" t="s">
        <v>128</v>
      </c>
      <c r="B10">
        <v>9</v>
      </c>
      <c r="C10">
        <v>-1.8615985945475741</v>
      </c>
    </row>
    <row r="11" spans="1:4" x14ac:dyDescent="0.3">
      <c r="A11" t="s">
        <v>118</v>
      </c>
      <c r="B11">
        <v>10</v>
      </c>
      <c r="C11">
        <v>-2.3628717358738442</v>
      </c>
    </row>
    <row r="12" spans="1:4" x14ac:dyDescent="0.3">
      <c r="A12" t="s">
        <v>119</v>
      </c>
      <c r="B12">
        <v>11</v>
      </c>
      <c r="C12">
        <v>-0.11499820885638209</v>
      </c>
    </row>
    <row r="13" spans="1:4" x14ac:dyDescent="0.3">
      <c r="A13" t="s">
        <v>129</v>
      </c>
      <c r="B13">
        <v>12</v>
      </c>
      <c r="C13">
        <v>0.53125214244041696</v>
      </c>
    </row>
    <row r="14" spans="1:4" x14ac:dyDescent="0.3">
      <c r="A14" t="s">
        <v>130</v>
      </c>
      <c r="B14">
        <v>13</v>
      </c>
      <c r="C14">
        <v>-2.6967358682803724</v>
      </c>
    </row>
    <row r="15" spans="1:4" x14ac:dyDescent="0.3">
      <c r="A15" t="s">
        <v>120</v>
      </c>
      <c r="B15">
        <v>14</v>
      </c>
      <c r="C15">
        <v>-2.7084940999921852</v>
      </c>
    </row>
    <row r="16" spans="1:4" x14ac:dyDescent="0.3">
      <c r="A16" t="s">
        <v>121</v>
      </c>
      <c r="B16">
        <v>15</v>
      </c>
      <c r="C16">
        <v>-0.29730104993288531</v>
      </c>
    </row>
    <row r="17" spans="1:4" x14ac:dyDescent="0.3">
      <c r="A17" t="s">
        <v>131</v>
      </c>
      <c r="B17">
        <v>16</v>
      </c>
      <c r="C17">
        <v>0.37207329147337387</v>
      </c>
    </row>
    <row r="18" spans="1:4" x14ac:dyDescent="0.3">
      <c r="A18" t="s">
        <v>132</v>
      </c>
      <c r="B18">
        <v>17</v>
      </c>
      <c r="C18">
        <v>1.858023032880175E-3</v>
      </c>
    </row>
    <row r="19" spans="1:4" x14ac:dyDescent="0.3">
      <c r="A19" t="s">
        <v>133</v>
      </c>
      <c r="B19">
        <v>18</v>
      </c>
      <c r="C19">
        <v>1.8814014327029097E-3</v>
      </c>
    </row>
    <row r="20" spans="1:4" x14ac:dyDescent="0.3">
      <c r="A20" t="s">
        <v>134</v>
      </c>
      <c r="B20">
        <v>19</v>
      </c>
      <c r="C20">
        <v>1.9666306282818055E-3</v>
      </c>
    </row>
    <row r="21" spans="1:4" x14ac:dyDescent="0.3">
      <c r="A21" t="s">
        <v>135</v>
      </c>
      <c r="B21">
        <v>20</v>
      </c>
      <c r="C21">
        <v>1.9010739631001277E-3</v>
      </c>
    </row>
    <row r="22" spans="1:4" x14ac:dyDescent="0.3">
      <c r="A22" t="s">
        <v>136</v>
      </c>
      <c r="B22">
        <v>21</v>
      </c>
      <c r="C22">
        <v>9.9917849898722749E-4</v>
      </c>
    </row>
    <row r="23" spans="1:4" x14ac:dyDescent="0.3">
      <c r="A23" t="s">
        <v>137</v>
      </c>
      <c r="B23">
        <v>22</v>
      </c>
      <c r="C23">
        <v>1.0295415592160683E-3</v>
      </c>
    </row>
    <row r="24" spans="1:4" x14ac:dyDescent="0.3">
      <c r="A24" t="s">
        <v>39</v>
      </c>
      <c r="B24">
        <v>23</v>
      </c>
      <c r="C24">
        <v>127.55650702409324</v>
      </c>
    </row>
    <row r="25" spans="1:4" x14ac:dyDescent="0.3">
      <c r="A25" t="s">
        <v>138</v>
      </c>
      <c r="B25">
        <v>24</v>
      </c>
      <c r="C25">
        <v>12</v>
      </c>
    </row>
    <row r="26" spans="1:4" x14ac:dyDescent="0.3">
      <c r="A26" t="s">
        <v>139</v>
      </c>
      <c r="B26">
        <v>25</v>
      </c>
      <c r="C26">
        <v>152.82676676750708</v>
      </c>
    </row>
    <row r="27" spans="1:4" x14ac:dyDescent="0.3">
      <c r="A27" t="s">
        <v>140</v>
      </c>
      <c r="B27">
        <v>26</v>
      </c>
      <c r="C27">
        <v>19570.859179726365</v>
      </c>
    </row>
    <row r="28" spans="1:4" x14ac:dyDescent="0.3">
      <c r="A28" t="s">
        <v>141</v>
      </c>
      <c r="B28">
        <v>27</v>
      </c>
      <c r="C28">
        <v>159</v>
      </c>
    </row>
    <row r="29" spans="1:4" x14ac:dyDescent="0.3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">
      <c r="A39" t="s">
        <v>146</v>
      </c>
      <c r="B39">
        <v>38</v>
      </c>
      <c r="C39">
        <v>9.652543979375891E-2</v>
      </c>
    </row>
    <row r="40" spans="1:4" x14ac:dyDescent="0.3">
      <c r="A40" t="s">
        <v>20</v>
      </c>
      <c r="B40">
        <v>39</v>
      </c>
      <c r="C40">
        <v>7.0380097359185795E-2</v>
      </c>
    </row>
    <row r="41" spans="1:4" x14ac:dyDescent="0.3">
      <c r="A41" t="s">
        <v>22</v>
      </c>
      <c r="B41">
        <v>40</v>
      </c>
      <c r="C41">
        <v>0.97377889090392133</v>
      </c>
    </row>
    <row r="42" spans="1:4" x14ac:dyDescent="0.3">
      <c r="A42" t="s">
        <v>21</v>
      </c>
      <c r="B42">
        <v>41</v>
      </c>
      <c r="C42">
        <v>-0.22074335511107743</v>
      </c>
    </row>
    <row r="43" spans="1:4" x14ac:dyDescent="0.3">
      <c r="A43" t="s">
        <v>147</v>
      </c>
      <c r="B43">
        <v>42</v>
      </c>
      <c r="C43">
        <v>0.93260040414320899</v>
      </c>
    </row>
    <row r="44" spans="1:4" x14ac:dyDescent="0.3">
      <c r="A44" t="s">
        <v>148</v>
      </c>
      <c r="B44">
        <v>43</v>
      </c>
      <c r="C44">
        <v>-0.25520335289941354</v>
      </c>
    </row>
    <row r="45" spans="1:4" x14ac:dyDescent="0.3">
      <c r="A45" t="s">
        <v>44</v>
      </c>
      <c r="B45">
        <v>44</v>
      </c>
      <c r="C45">
        <v>1873.126070137658</v>
      </c>
    </row>
    <row r="46" spans="1:4" x14ac:dyDescent="0.3">
      <c r="A46" t="s">
        <v>61</v>
      </c>
      <c r="B46">
        <v>45</v>
      </c>
      <c r="C46">
        <v>495.34145665939718</v>
      </c>
    </row>
    <row r="47" spans="1:4" x14ac:dyDescent="0.3">
      <c r="A47" t="s">
        <v>149</v>
      </c>
      <c r="B47">
        <v>46</v>
      </c>
      <c r="C47">
        <v>1965.336546713233</v>
      </c>
    </row>
    <row r="48" spans="1:4" x14ac:dyDescent="0.3">
      <c r="A48" t="s">
        <v>150</v>
      </c>
      <c r="B48">
        <v>47</v>
      </c>
      <c r="C48">
        <v>-151.6344770370616</v>
      </c>
    </row>
    <row r="49" spans="1:4" x14ac:dyDescent="0.3">
      <c r="A49" t="s">
        <v>151</v>
      </c>
      <c r="B49">
        <v>48</v>
      </c>
      <c r="C49">
        <v>593.16349855375722</v>
      </c>
    </row>
    <row r="50" spans="1:4" x14ac:dyDescent="0.3">
      <c r="A50" t="s">
        <v>152</v>
      </c>
      <c r="B50">
        <v>49</v>
      </c>
      <c r="C50">
        <v>188.31892785785749</v>
      </c>
    </row>
    <row r="51" spans="1:4" x14ac:dyDescent="0.3">
      <c r="A51" t="s">
        <v>45</v>
      </c>
      <c r="B51">
        <v>50</v>
      </c>
      <c r="C51">
        <v>2206.542127027375</v>
      </c>
    </row>
    <row r="52" spans="1:4" x14ac:dyDescent="0.3">
      <c r="A52" t="s">
        <v>46</v>
      </c>
      <c r="B52">
        <v>51</v>
      </c>
      <c r="C52">
        <v>63.102838742636663</v>
      </c>
    </row>
    <row r="53" spans="1:4" x14ac:dyDescent="0.3">
      <c r="A53" t="s">
        <v>23</v>
      </c>
      <c r="B53">
        <v>52</v>
      </c>
      <c r="C53">
        <v>-671.54653071480561</v>
      </c>
    </row>
    <row r="54" spans="1:4" x14ac:dyDescent="0.3">
      <c r="A54" t="s">
        <v>47</v>
      </c>
      <c r="B54">
        <v>53</v>
      </c>
      <c r="C54">
        <v>105.92467385866674</v>
      </c>
    </row>
    <row r="55" spans="1:4" x14ac:dyDescent="0.3">
      <c r="A55" t="s">
        <v>153</v>
      </c>
      <c r="B55">
        <v>54</v>
      </c>
      <c r="C55">
        <v>-617.09437937111409</v>
      </c>
    </row>
    <row r="56" spans="1:4" x14ac:dyDescent="0.3">
      <c r="A56" t="s">
        <v>154</v>
      </c>
      <c r="B56">
        <v>55</v>
      </c>
      <c r="C56">
        <v>-558.4590458999968</v>
      </c>
    </row>
    <row r="57" spans="1:4" x14ac:dyDescent="0.3">
      <c r="A57" t="s">
        <v>51</v>
      </c>
      <c r="B57">
        <v>56</v>
      </c>
      <c r="C57">
        <v>-604.50613192106164</v>
      </c>
    </row>
    <row r="58" spans="1:4" x14ac:dyDescent="0.3">
      <c r="A58" t="s">
        <v>52</v>
      </c>
      <c r="B58">
        <v>57</v>
      </c>
      <c r="C58">
        <v>-50.524167685204183</v>
      </c>
    </row>
    <row r="59" spans="1:4" x14ac:dyDescent="0.3">
      <c r="A59" t="s">
        <v>53</v>
      </c>
      <c r="B59">
        <v>58</v>
      </c>
      <c r="C59">
        <v>277.39608436846476</v>
      </c>
    </row>
    <row r="60" spans="1:4" x14ac:dyDescent="0.3">
      <c r="A60" t="s">
        <v>48</v>
      </c>
      <c r="B60">
        <v>59</v>
      </c>
      <c r="C60">
        <v>973.91420861085408</v>
      </c>
    </row>
    <row r="61" spans="1:4" x14ac:dyDescent="0.3">
      <c r="A61" t="s">
        <v>49</v>
      </c>
      <c r="B61">
        <v>60</v>
      </c>
      <c r="C61">
        <v>683.00321899695871</v>
      </c>
    </row>
    <row r="62" spans="1:4" x14ac:dyDescent="0.3">
      <c r="A62" t="s">
        <v>50</v>
      </c>
      <c r="B62">
        <v>61</v>
      </c>
      <c r="C62">
        <v>-109.15475557571985</v>
      </c>
    </row>
    <row r="63" spans="1:4" x14ac:dyDescent="0.3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">
      <c r="A88" t="s">
        <v>163</v>
      </c>
      <c r="B88">
        <v>87</v>
      </c>
      <c r="C88">
        <v>122.548474987894</v>
      </c>
    </row>
    <row r="89" spans="1:4" x14ac:dyDescent="0.3">
      <c r="A89" t="s">
        <v>164</v>
      </c>
      <c r="B89">
        <v>89</v>
      </c>
      <c r="C89">
        <v>142.5528382120342</v>
      </c>
    </row>
    <row r="90" spans="1:4" x14ac:dyDescent="0.3">
      <c r="A90" t="s">
        <v>165</v>
      </c>
      <c r="B90">
        <v>90</v>
      </c>
      <c r="C90">
        <v>18478.29340157317</v>
      </c>
    </row>
    <row r="91" spans="1:4" x14ac:dyDescent="0.3">
      <c r="A91" t="s">
        <v>198</v>
      </c>
      <c r="C91">
        <v>-0.23237462229539668</v>
      </c>
    </row>
    <row r="92" spans="1:4" x14ac:dyDescent="0.3">
      <c r="A92" t="s">
        <v>199</v>
      </c>
      <c r="C92">
        <v>-0.2885949120223249</v>
      </c>
    </row>
    <row r="93" spans="1:4" x14ac:dyDescent="0.3">
      <c r="A93" t="s">
        <v>200</v>
      </c>
      <c r="C93">
        <v>-0.26293418832561893</v>
      </c>
    </row>
    <row r="94" spans="1:4" x14ac:dyDescent="0.3">
      <c r="A94" t="s">
        <v>201</v>
      </c>
      <c r="C94">
        <v>-0.29549068412733248</v>
      </c>
    </row>
    <row r="95" spans="1:4" x14ac:dyDescent="0.3">
      <c r="A95" t="s">
        <v>202</v>
      </c>
      <c r="C95">
        <v>-0.34749104115171398</v>
      </c>
    </row>
    <row r="96" spans="1:4" x14ac:dyDescent="0.3">
      <c r="A96" t="s">
        <v>203</v>
      </c>
      <c r="C96">
        <v>-0.32539548393483481</v>
      </c>
    </row>
    <row r="97" spans="1:4" x14ac:dyDescent="0.3">
      <c r="A97" t="s">
        <v>166</v>
      </c>
      <c r="B97">
        <v>92</v>
      </c>
      <c r="C97">
        <v>-0.24229407501972869</v>
      </c>
    </row>
    <row r="98" spans="1:4" x14ac:dyDescent="0.3">
      <c r="A98" t="s">
        <v>167</v>
      </c>
      <c r="B98">
        <v>93</v>
      </c>
      <c r="C98">
        <v>-0.27005117509554516</v>
      </c>
    </row>
    <row r="99" spans="1:4" x14ac:dyDescent="0.3">
      <c r="A99" t="s">
        <v>117</v>
      </c>
      <c r="B99">
        <v>94</v>
      </c>
      <c r="C99">
        <v>-0.24397495405798156</v>
      </c>
    </row>
    <row r="100" spans="1:4" x14ac:dyDescent="0.3">
      <c r="A100" t="s">
        <v>168</v>
      </c>
      <c r="B100">
        <v>95</v>
      </c>
      <c r="C100">
        <v>-0.29782014109595623</v>
      </c>
    </row>
    <row r="101" spans="1:4" x14ac:dyDescent="0.3">
      <c r="A101" t="s">
        <v>169</v>
      </c>
      <c r="B101">
        <v>96</v>
      </c>
      <c r="C101">
        <v>-0.32810689174601754</v>
      </c>
    </row>
    <row r="102" spans="1:4" x14ac:dyDescent="0.3">
      <c r="A102" t="s">
        <v>170</v>
      </c>
      <c r="B102">
        <v>97</v>
      </c>
      <c r="C102">
        <v>-0.30802326104585137</v>
      </c>
    </row>
    <row r="103" spans="1:4" x14ac:dyDescent="0.3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mom groups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Ranosova, Tereza</cp:lastModifiedBy>
  <dcterms:created xsi:type="dcterms:W3CDTF">2022-06-22T22:06:26Z</dcterms:created>
  <dcterms:modified xsi:type="dcterms:W3CDTF">2023-05-16T18:34:55Z</dcterms:modified>
</cp:coreProperties>
</file>