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687" documentId="13_ncr:1_{1F6193A1-24F7-47AE-86D6-8C72A9FF5A62}" xr6:coauthVersionLast="47" xr6:coauthVersionMax="47" xr10:uidLastSave="{AC97AA69-AA58-4355-B171-8154202EFD56}"/>
  <bookViews>
    <workbookView xWindow="360" yWindow="170" windowWidth="18840" windowHeight="10630" activeTab="3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</sheets>
  <externalReferences>
    <externalReference r:id="rId15"/>
  </externalReferences>
  <definedNames>
    <definedName name="_xlnm._FilterDatabase" localSheetId="3" hidden="1">MOMS!$A$1:$J$59</definedName>
    <definedName name="_xlnm._FilterDatabase" localSheetId="1" hidden="1">PARS!$A$1:$V$50</definedName>
    <definedName name="_xlnm._FilterDatabase" localSheetId="2" hidden="1">PARS4!$A$1:$V$50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7" i="3" l="1"/>
  <c r="F47" i="3"/>
  <c r="F47" i="14" s="1"/>
  <c r="D47" i="3"/>
  <c r="C47" i="3"/>
  <c r="B47" i="3"/>
  <c r="S47" i="14"/>
  <c r="T47" i="14" s="1"/>
  <c r="U47" i="14" s="1"/>
  <c r="S48" i="14"/>
  <c r="T48" i="14" s="1"/>
  <c r="U48" i="14" s="1"/>
  <c r="P47" i="14"/>
  <c r="G47" i="14"/>
  <c r="E47" i="14"/>
  <c r="B47" i="14" s="1"/>
  <c r="E48" i="14"/>
  <c r="B48" i="14" s="1"/>
  <c r="C48" i="14" s="1"/>
  <c r="D48" i="14" s="1"/>
  <c r="J48" i="14"/>
  <c r="P48" i="14"/>
  <c r="B47" i="11"/>
  <c r="C47" i="11"/>
  <c r="D47" i="11"/>
  <c r="F47" i="11"/>
  <c r="G47" i="11"/>
  <c r="H47" i="11"/>
  <c r="I47" i="11"/>
  <c r="J47" i="11"/>
  <c r="K47" i="11"/>
  <c r="L47" i="11"/>
  <c r="M47" i="11"/>
  <c r="N47" i="11"/>
  <c r="O47" i="11"/>
  <c r="Q47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Q46" i="11"/>
  <c r="C20" i="3"/>
  <c r="C20" i="11" s="1"/>
  <c r="D20" i="3"/>
  <c r="D20" i="11" s="1"/>
  <c r="B23" i="11"/>
  <c r="C23" i="11"/>
  <c r="D23" i="11"/>
  <c r="B27" i="11"/>
  <c r="C27" i="11"/>
  <c r="D27" i="11"/>
  <c r="C28" i="11"/>
  <c r="D28" i="11"/>
  <c r="B38" i="11"/>
  <c r="C38" i="11"/>
  <c r="D38" i="11"/>
  <c r="B42" i="11"/>
  <c r="B45" i="11"/>
  <c r="C45" i="11"/>
  <c r="B46" i="11"/>
  <c r="B51" i="14"/>
  <c r="E39" i="3"/>
  <c r="E40" i="3"/>
  <c r="E50" i="3"/>
  <c r="E49" i="3"/>
  <c r="E49" i="14" s="1"/>
  <c r="E48" i="3"/>
  <c r="E3" i="14"/>
  <c r="E4" i="14"/>
  <c r="E5" i="14"/>
  <c r="B5" i="14" s="1"/>
  <c r="E6" i="14"/>
  <c r="G6" i="14" s="1"/>
  <c r="E8" i="14"/>
  <c r="E9" i="14"/>
  <c r="B9" i="14" s="1"/>
  <c r="V9" i="14" s="1"/>
  <c r="E10" i="14"/>
  <c r="E11" i="14"/>
  <c r="G11" i="14" s="1"/>
  <c r="D11" i="14" s="1"/>
  <c r="E12" i="14"/>
  <c r="E13" i="14"/>
  <c r="B13" i="14" s="1"/>
  <c r="E14" i="14"/>
  <c r="E15" i="14"/>
  <c r="B15" i="14" s="1"/>
  <c r="V15" i="14" s="1"/>
  <c r="E16" i="14"/>
  <c r="E17" i="14"/>
  <c r="J17" i="14" s="1"/>
  <c r="E18" i="14"/>
  <c r="E19" i="14"/>
  <c r="E20" i="14"/>
  <c r="E21" i="14"/>
  <c r="J21" i="14" s="1"/>
  <c r="E22" i="14"/>
  <c r="E23" i="14"/>
  <c r="E24" i="14"/>
  <c r="E25" i="14"/>
  <c r="B25" i="14" s="1"/>
  <c r="E26" i="14"/>
  <c r="J26" i="14" s="1"/>
  <c r="E27" i="14"/>
  <c r="E28" i="14"/>
  <c r="E29" i="14"/>
  <c r="B29" i="14" s="1"/>
  <c r="V29" i="14" s="1"/>
  <c r="E30" i="14"/>
  <c r="B30" i="14" s="1"/>
  <c r="V30" i="14" s="1"/>
  <c r="E31" i="14"/>
  <c r="B31" i="14" s="1"/>
  <c r="V31" i="14" s="1"/>
  <c r="E32" i="14"/>
  <c r="E33" i="14"/>
  <c r="J33" i="14" s="1"/>
  <c r="E34" i="14"/>
  <c r="E35" i="14"/>
  <c r="B35" i="14" s="1"/>
  <c r="V35" i="14" s="1"/>
  <c r="E36" i="14"/>
  <c r="J36" i="14" s="1"/>
  <c r="E37" i="14"/>
  <c r="B37" i="14" s="1"/>
  <c r="V37" i="14" s="1"/>
  <c r="E38" i="14"/>
  <c r="E39" i="14"/>
  <c r="J39" i="14" s="1"/>
  <c r="E40" i="14"/>
  <c r="B40" i="14" s="1"/>
  <c r="C40" i="14" s="1"/>
  <c r="D40" i="14" s="1"/>
  <c r="E41" i="14"/>
  <c r="E42" i="14"/>
  <c r="E43" i="14"/>
  <c r="F43" i="14" s="1"/>
  <c r="C43" i="14" s="1"/>
  <c r="E44" i="14"/>
  <c r="B44" i="14" s="1"/>
  <c r="E45" i="14"/>
  <c r="E46" i="14"/>
  <c r="E50" i="14"/>
  <c r="F50" i="14" s="1"/>
  <c r="E2" i="14"/>
  <c r="G2" i="14" s="1"/>
  <c r="D2" i="14" s="1"/>
  <c r="S50" i="14"/>
  <c r="T50" i="14" s="1"/>
  <c r="U50" i="14" s="1"/>
  <c r="P50" i="14"/>
  <c r="J50" i="14"/>
  <c r="T49" i="14"/>
  <c r="U49" i="14" s="1"/>
  <c r="S49" i="14"/>
  <c r="P49" i="14"/>
  <c r="J49" i="14"/>
  <c r="S46" i="14"/>
  <c r="T46" i="14" s="1"/>
  <c r="U46" i="14" s="1"/>
  <c r="P46" i="14"/>
  <c r="J46" i="14"/>
  <c r="D46" i="14"/>
  <c r="C46" i="14"/>
  <c r="S45" i="14"/>
  <c r="T45" i="14" s="1"/>
  <c r="U45" i="14" s="1"/>
  <c r="P45" i="14"/>
  <c r="J45" i="14"/>
  <c r="D45" i="14"/>
  <c r="S44" i="14"/>
  <c r="T44" i="14" s="1"/>
  <c r="U44" i="14" s="1"/>
  <c r="P44" i="14"/>
  <c r="J44" i="14"/>
  <c r="F44" i="14"/>
  <c r="G44" i="14" s="1"/>
  <c r="D44" i="14" s="1"/>
  <c r="S43" i="14"/>
  <c r="T43" i="14" s="1"/>
  <c r="U43" i="14" s="1"/>
  <c r="P43" i="14"/>
  <c r="J43" i="14"/>
  <c r="S42" i="14"/>
  <c r="T42" i="14" s="1"/>
  <c r="U42" i="14" s="1"/>
  <c r="P42" i="14"/>
  <c r="J42" i="14"/>
  <c r="C42" i="14"/>
  <c r="D42" i="14" s="1"/>
  <c r="S41" i="14"/>
  <c r="T41" i="14" s="1"/>
  <c r="U41" i="14" s="1"/>
  <c r="P41" i="14"/>
  <c r="J41" i="14"/>
  <c r="B41" i="14"/>
  <c r="C41" i="14" s="1"/>
  <c r="S40" i="14"/>
  <c r="T40" i="14" s="1"/>
  <c r="P40" i="14"/>
  <c r="J40" i="14"/>
  <c r="S39" i="14"/>
  <c r="T39" i="14" s="1"/>
  <c r="U39" i="14" s="1"/>
  <c r="P39" i="14"/>
  <c r="S38" i="14"/>
  <c r="T38" i="14" s="1"/>
  <c r="U38" i="14" s="1"/>
  <c r="P38" i="14"/>
  <c r="J38" i="14"/>
  <c r="S37" i="14"/>
  <c r="T37" i="14" s="1"/>
  <c r="U37" i="14" s="1"/>
  <c r="P37" i="14"/>
  <c r="D37" i="14"/>
  <c r="C37" i="14"/>
  <c r="S36" i="14"/>
  <c r="T36" i="14" s="1"/>
  <c r="U36" i="14" s="1"/>
  <c r="P36" i="14"/>
  <c r="G36" i="14"/>
  <c r="D36" i="14"/>
  <c r="C36" i="14"/>
  <c r="S35" i="14"/>
  <c r="T35" i="14" s="1"/>
  <c r="U35" i="14" s="1"/>
  <c r="P35" i="14"/>
  <c r="J35" i="14"/>
  <c r="D35" i="14"/>
  <c r="C35" i="14"/>
  <c r="S34" i="14"/>
  <c r="T34" i="14" s="1"/>
  <c r="U34" i="14" s="1"/>
  <c r="P34" i="14"/>
  <c r="J34" i="14"/>
  <c r="D34" i="14"/>
  <c r="C34" i="14"/>
  <c r="B34" i="14"/>
  <c r="V34" i="14" s="1"/>
  <c r="S33" i="14"/>
  <c r="T33" i="14" s="1"/>
  <c r="U33" i="14" s="1"/>
  <c r="P33" i="14"/>
  <c r="D33" i="14"/>
  <c r="C33" i="14"/>
  <c r="S32" i="14"/>
  <c r="T32" i="14" s="1"/>
  <c r="U32" i="14" s="1"/>
  <c r="P32" i="14"/>
  <c r="J32" i="14"/>
  <c r="F32" i="14"/>
  <c r="G32" i="14" s="1"/>
  <c r="D32" i="14" s="1"/>
  <c r="B32" i="14"/>
  <c r="V32" i="14" s="1"/>
  <c r="S31" i="14"/>
  <c r="T31" i="14" s="1"/>
  <c r="U31" i="14" s="1"/>
  <c r="P31" i="14"/>
  <c r="D31" i="14"/>
  <c r="C31" i="14"/>
  <c r="S30" i="14"/>
  <c r="T30" i="14" s="1"/>
  <c r="U30" i="14" s="1"/>
  <c r="P30" i="14"/>
  <c r="J30" i="14"/>
  <c r="D30" i="14"/>
  <c r="C30" i="14"/>
  <c r="S29" i="14"/>
  <c r="T29" i="14" s="1"/>
  <c r="U29" i="14" s="1"/>
  <c r="P29" i="14"/>
  <c r="D29" i="14"/>
  <c r="C29" i="14"/>
  <c r="S28" i="14"/>
  <c r="T28" i="14" s="1"/>
  <c r="U28" i="14" s="1"/>
  <c r="P28" i="14"/>
  <c r="J28" i="14"/>
  <c r="S27" i="14"/>
  <c r="T27" i="14" s="1"/>
  <c r="U27" i="14" s="1"/>
  <c r="P27" i="14"/>
  <c r="J27" i="14"/>
  <c r="S26" i="14"/>
  <c r="T26" i="14" s="1"/>
  <c r="U26" i="14" s="1"/>
  <c r="P26" i="14"/>
  <c r="D26" i="14"/>
  <c r="C26" i="14"/>
  <c r="B26" i="14"/>
  <c r="V26" i="14" s="1"/>
  <c r="T25" i="14"/>
  <c r="U25" i="14" s="1"/>
  <c r="S25" i="14"/>
  <c r="P25" i="14"/>
  <c r="J25" i="14"/>
  <c r="D25" i="14"/>
  <c r="C25" i="14"/>
  <c r="S24" i="14"/>
  <c r="T24" i="14" s="1"/>
  <c r="U24" i="14" s="1"/>
  <c r="P24" i="14"/>
  <c r="J24" i="14"/>
  <c r="F24" i="14"/>
  <c r="C24" i="14" s="1"/>
  <c r="D24" i="14"/>
  <c r="B24" i="14"/>
  <c r="S23" i="14"/>
  <c r="T23" i="14" s="1"/>
  <c r="U23" i="14" s="1"/>
  <c r="P23" i="14"/>
  <c r="J23" i="14"/>
  <c r="S22" i="14"/>
  <c r="T22" i="14" s="1"/>
  <c r="U22" i="14" s="1"/>
  <c r="P22" i="14"/>
  <c r="J22" i="14"/>
  <c r="D22" i="14"/>
  <c r="C22" i="14"/>
  <c r="B22" i="14"/>
  <c r="V22" i="14" s="1"/>
  <c r="S21" i="14"/>
  <c r="T21" i="14" s="1"/>
  <c r="U21" i="14" s="1"/>
  <c r="P21" i="14"/>
  <c r="D21" i="14"/>
  <c r="C21" i="14"/>
  <c r="B21" i="14"/>
  <c r="V21" i="14" s="1"/>
  <c r="Y20" i="14"/>
  <c r="Z20" i="14" s="1"/>
  <c r="S20" i="14"/>
  <c r="T20" i="14" s="1"/>
  <c r="U20" i="14" s="1"/>
  <c r="P20" i="14"/>
  <c r="J20" i="14"/>
  <c r="D20" i="14"/>
  <c r="C20" i="14"/>
  <c r="B20" i="14"/>
  <c r="V20" i="14" s="1"/>
  <c r="S19" i="14"/>
  <c r="T19" i="14" s="1"/>
  <c r="U19" i="14" s="1"/>
  <c r="P19" i="14"/>
  <c r="J19" i="14"/>
  <c r="D19" i="14"/>
  <c r="C19" i="14"/>
  <c r="B19" i="14"/>
  <c r="T18" i="14"/>
  <c r="U18" i="14" s="1"/>
  <c r="S18" i="14"/>
  <c r="P18" i="14"/>
  <c r="J18" i="14"/>
  <c r="D18" i="14"/>
  <c r="C18" i="14"/>
  <c r="B18" i="14"/>
  <c r="V18" i="14" s="1"/>
  <c r="U17" i="14"/>
  <c r="T17" i="14"/>
  <c r="S17" i="14"/>
  <c r="P17" i="14"/>
  <c r="D17" i="14"/>
  <c r="C17" i="14"/>
  <c r="B17" i="14"/>
  <c r="V17" i="14" s="1"/>
  <c r="S16" i="14"/>
  <c r="T16" i="14" s="1"/>
  <c r="U16" i="14" s="1"/>
  <c r="P16" i="14"/>
  <c r="J16" i="14"/>
  <c r="D16" i="14"/>
  <c r="C16" i="14"/>
  <c r="B16" i="14"/>
  <c r="V16" i="14" s="1"/>
  <c r="S15" i="14"/>
  <c r="T15" i="14" s="1"/>
  <c r="U15" i="14" s="1"/>
  <c r="P15" i="14"/>
  <c r="D15" i="14"/>
  <c r="C15" i="14"/>
  <c r="S14" i="14"/>
  <c r="T14" i="14" s="1"/>
  <c r="U14" i="14" s="1"/>
  <c r="P14" i="14"/>
  <c r="J14" i="14"/>
  <c r="B14" i="14"/>
  <c r="D14" i="14" s="1"/>
  <c r="S13" i="14"/>
  <c r="T13" i="14" s="1"/>
  <c r="U13" i="14" s="1"/>
  <c r="P13" i="14"/>
  <c r="J13" i="14"/>
  <c r="D13" i="14"/>
  <c r="C13" i="14"/>
  <c r="T12" i="14"/>
  <c r="U12" i="14" s="1"/>
  <c r="S12" i="14"/>
  <c r="P12" i="14"/>
  <c r="J12" i="14"/>
  <c r="D12" i="14"/>
  <c r="C12" i="14"/>
  <c r="B12" i="14"/>
  <c r="V12" i="14" s="1"/>
  <c r="U11" i="14"/>
  <c r="T11" i="14"/>
  <c r="S11" i="14"/>
  <c r="P11" i="14"/>
  <c r="J11" i="14"/>
  <c r="S10" i="14"/>
  <c r="T10" i="14" s="1"/>
  <c r="U10" i="14" s="1"/>
  <c r="P10" i="14"/>
  <c r="J10" i="14"/>
  <c r="G10" i="14"/>
  <c r="F10" i="14"/>
  <c r="B10" i="14"/>
  <c r="S9" i="14"/>
  <c r="T9" i="14" s="1"/>
  <c r="U9" i="14" s="1"/>
  <c r="P9" i="14"/>
  <c r="D9" i="14"/>
  <c r="C9" i="14"/>
  <c r="S8" i="14"/>
  <c r="T8" i="14" s="1"/>
  <c r="U8" i="14" s="1"/>
  <c r="P8" i="14"/>
  <c r="J8" i="14"/>
  <c r="D8" i="14"/>
  <c r="C8" i="14"/>
  <c r="B8" i="14"/>
  <c r="V8" i="14" s="1"/>
  <c r="T7" i="14"/>
  <c r="U7" i="14" s="1"/>
  <c r="S7" i="14"/>
  <c r="P7" i="14"/>
  <c r="D7" i="14"/>
  <c r="C7" i="14"/>
  <c r="S6" i="14"/>
  <c r="T6" i="14" s="1"/>
  <c r="P6" i="14"/>
  <c r="J6" i="14"/>
  <c r="T5" i="14"/>
  <c r="U5" i="14" s="1"/>
  <c r="S5" i="14"/>
  <c r="P5" i="14"/>
  <c r="S4" i="14"/>
  <c r="T4" i="14" s="1"/>
  <c r="U4" i="14" s="1"/>
  <c r="P4" i="14"/>
  <c r="J4" i="14"/>
  <c r="D4" i="14"/>
  <c r="D5" i="14" s="1"/>
  <c r="C4" i="14"/>
  <c r="C10" i="14" s="1"/>
  <c r="B4" i="14"/>
  <c r="V4" i="14" s="1"/>
  <c r="S3" i="14"/>
  <c r="T3" i="14" s="1"/>
  <c r="U3" i="14" s="1"/>
  <c r="P3" i="14"/>
  <c r="J3" i="14"/>
  <c r="C3" i="14"/>
  <c r="D3" i="14" s="1"/>
  <c r="B3" i="14"/>
  <c r="S2" i="14"/>
  <c r="T2" i="14" s="1"/>
  <c r="U2" i="14" s="1"/>
  <c r="P2" i="14"/>
  <c r="J2" i="14"/>
  <c r="F2" i="14"/>
  <c r="C2" i="14" s="1"/>
  <c r="B2" i="14"/>
  <c r="B20" i="3"/>
  <c r="V20" i="3" s="1"/>
  <c r="E7" i="3"/>
  <c r="J7" i="3" s="1"/>
  <c r="H16" i="1"/>
  <c r="F21" i="1" s="1"/>
  <c r="H21" i="1" s="1"/>
  <c r="D24" i="6"/>
  <c r="F10" i="3"/>
  <c r="J20" i="3"/>
  <c r="Y20" i="3"/>
  <c r="Z20" i="3" s="1"/>
  <c r="F32" i="3"/>
  <c r="G32" i="3" s="1"/>
  <c r="D32" i="3" s="1"/>
  <c r="D32" i="11" s="1"/>
  <c r="B32" i="3"/>
  <c r="B32" i="11" s="1"/>
  <c r="J19" i="3"/>
  <c r="B19" i="3"/>
  <c r="B19" i="11" s="1"/>
  <c r="J22" i="3"/>
  <c r="B12" i="3"/>
  <c r="B12" i="11" s="1"/>
  <c r="G50" i="3"/>
  <c r="F50" i="3"/>
  <c r="F49" i="3"/>
  <c r="F44" i="3"/>
  <c r="G44" i="3" s="1"/>
  <c r="F43" i="3"/>
  <c r="G43" i="3" s="1"/>
  <c r="G36" i="3"/>
  <c r="F24" i="3"/>
  <c r="G11" i="3"/>
  <c r="F11" i="3"/>
  <c r="G10" i="3"/>
  <c r="G6" i="3"/>
  <c r="E5" i="3"/>
  <c r="J5" i="3" s="1"/>
  <c r="G2" i="3"/>
  <c r="D2" i="3" s="1"/>
  <c r="D2" i="11" s="1"/>
  <c r="F2" i="3"/>
  <c r="C2" i="3" s="1"/>
  <c r="C2" i="11" s="1"/>
  <c r="J40" i="3"/>
  <c r="J39" i="3"/>
  <c r="J37" i="3"/>
  <c r="J36" i="3"/>
  <c r="J35" i="3"/>
  <c r="J34" i="3"/>
  <c r="J33" i="3"/>
  <c r="J32" i="3"/>
  <c r="J31" i="3"/>
  <c r="J30" i="3"/>
  <c r="J29" i="3"/>
  <c r="J26" i="3"/>
  <c r="J21" i="3"/>
  <c r="J18" i="3"/>
  <c r="J17" i="3"/>
  <c r="J16" i="3"/>
  <c r="J15" i="3"/>
  <c r="J14" i="3"/>
  <c r="J13" i="3"/>
  <c r="B14" i="3"/>
  <c r="B14" i="11" s="1"/>
  <c r="B13" i="3"/>
  <c r="B13" i="11" s="1"/>
  <c r="J6" i="3"/>
  <c r="B6" i="3"/>
  <c r="B6" i="11" s="1"/>
  <c r="J12" i="3"/>
  <c r="J11" i="3"/>
  <c r="J8" i="3"/>
  <c r="J9" i="3"/>
  <c r="J10" i="3"/>
  <c r="J4" i="3"/>
  <c r="J3" i="3"/>
  <c r="J23" i="3"/>
  <c r="J24" i="3"/>
  <c r="J25" i="3"/>
  <c r="J27" i="3"/>
  <c r="J28" i="3"/>
  <c r="J38" i="3"/>
  <c r="J41" i="3"/>
  <c r="J42" i="3"/>
  <c r="J43" i="3"/>
  <c r="J44" i="3"/>
  <c r="J45" i="3"/>
  <c r="J46" i="3"/>
  <c r="J48" i="3"/>
  <c r="J49" i="3"/>
  <c r="J50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8" i="11"/>
  <c r="Q49" i="11"/>
  <c r="Q50" i="11"/>
  <c r="Q2" i="11"/>
  <c r="S4" i="11"/>
  <c r="B33" i="2"/>
  <c r="D33" i="3"/>
  <c r="D33" i="11" s="1"/>
  <c r="D16" i="3"/>
  <c r="D16" i="11" s="1"/>
  <c r="C16" i="3"/>
  <c r="C16" i="11" s="1"/>
  <c r="B16" i="3"/>
  <c r="V16" i="3" s="1"/>
  <c r="B2" i="3"/>
  <c r="B2" i="11" s="1"/>
  <c r="B22" i="3"/>
  <c r="C16" i="1"/>
  <c r="B49" i="3"/>
  <c r="B49" i="11" s="1"/>
  <c r="B50" i="3"/>
  <c r="B50" i="11" s="1"/>
  <c r="B24" i="3"/>
  <c r="F16" i="1"/>
  <c r="C17" i="1"/>
  <c r="C58" i="2"/>
  <c r="B40" i="3"/>
  <c r="B40" i="11" s="1"/>
  <c r="B39" i="3"/>
  <c r="B39" i="11" s="1"/>
  <c r="B57" i="8"/>
  <c r="A55" i="10" s="1"/>
  <c r="B56" i="8"/>
  <c r="A54" i="10" s="1"/>
  <c r="BE2" i="8"/>
  <c r="BC1" i="10" s="1"/>
  <c r="BD2" i="8"/>
  <c r="BB1" i="10" s="1"/>
  <c r="P27" i="3"/>
  <c r="B44" i="3"/>
  <c r="B44" i="11" s="1"/>
  <c r="B43" i="3"/>
  <c r="B43" i="11" s="1"/>
  <c r="B10" i="3"/>
  <c r="B10" i="11" s="1"/>
  <c r="E47" i="11" l="1"/>
  <c r="D47" i="14"/>
  <c r="C47" i="14"/>
  <c r="G48" i="14"/>
  <c r="F48" i="14"/>
  <c r="J15" i="14"/>
  <c r="D41" i="14"/>
  <c r="B11" i="14"/>
  <c r="V11" i="14" s="1"/>
  <c r="B6" i="14"/>
  <c r="C6" i="14" s="1"/>
  <c r="F11" i="14"/>
  <c r="C11" i="14" s="1"/>
  <c r="C14" i="14"/>
  <c r="J31" i="14"/>
  <c r="B43" i="14"/>
  <c r="G50" i="14"/>
  <c r="J5" i="14"/>
  <c r="B36" i="14"/>
  <c r="V36" i="14" s="1"/>
  <c r="G49" i="3"/>
  <c r="J9" i="14"/>
  <c r="J29" i="14"/>
  <c r="J37" i="14"/>
  <c r="B33" i="14"/>
  <c r="V33" i="14" s="1"/>
  <c r="E7" i="14"/>
  <c r="J7" i="14" s="1"/>
  <c r="B39" i="14"/>
  <c r="C39" i="14" s="1"/>
  <c r="D39" i="14" s="1"/>
  <c r="G49" i="14"/>
  <c r="F49" i="14"/>
  <c r="B49" i="14"/>
  <c r="C49" i="14" s="1"/>
  <c r="D49" i="14" s="1"/>
  <c r="B48" i="3"/>
  <c r="B48" i="11" s="1"/>
  <c r="F48" i="3"/>
  <c r="G48" i="3"/>
  <c r="C32" i="14"/>
  <c r="C44" i="14"/>
  <c r="B50" i="14"/>
  <c r="C50" i="14" s="1"/>
  <c r="D50" i="14" s="1"/>
  <c r="D10" i="14"/>
  <c r="G43" i="14"/>
  <c r="D43" i="14" s="1"/>
  <c r="C5" i="14"/>
  <c r="F19" i="1"/>
  <c r="H19" i="1" s="1"/>
  <c r="C32" i="3"/>
  <c r="C32" i="11" s="1"/>
  <c r="X1" i="10"/>
  <c r="B5" i="3"/>
  <c r="B5" i="11" s="1"/>
  <c r="Z26" i="8" a="1"/>
  <c r="Z26" i="8" s="1"/>
  <c r="X24" i="10" s="1"/>
  <c r="B3" i="3"/>
  <c r="B3" i="11" s="1"/>
  <c r="D6" i="14" l="1"/>
  <c r="B7" i="14"/>
  <c r="V7" i="14" s="1"/>
  <c r="F24" i="1"/>
  <c r="F27" i="1" s="1"/>
  <c r="J21" i="1" s="1"/>
  <c r="J19" i="1"/>
  <c r="J24" i="1" s="1"/>
  <c r="J27" i="1" s="1"/>
  <c r="C19" i="3" l="1"/>
  <c r="C19" i="11" s="1"/>
  <c r="D19" i="3"/>
  <c r="D19" i="11" s="1"/>
  <c r="B17" i="2" l="1"/>
  <c r="C17" i="2" s="1"/>
  <c r="D45" i="3"/>
  <c r="D45" i="11" s="1"/>
  <c r="C13" i="3"/>
  <c r="C13" i="11" s="1"/>
  <c r="D13" i="3"/>
  <c r="D13" i="11" s="1"/>
  <c r="D11" i="3"/>
  <c r="D11" i="11" s="1"/>
  <c r="C11" i="3"/>
  <c r="C11" i="11" s="1"/>
  <c r="C12" i="3"/>
  <c r="C12" i="11" s="1"/>
  <c r="D12" i="3"/>
  <c r="D12" i="11" s="1"/>
  <c r="C15" i="3"/>
  <c r="C15" i="11" s="1"/>
  <c r="D15" i="3"/>
  <c r="D15" i="11" s="1"/>
  <c r="B9" i="3"/>
  <c r="V9" i="3" s="1"/>
  <c r="D44" i="3"/>
  <c r="D44" i="11" s="1"/>
  <c r="D43" i="3"/>
  <c r="D43" i="11" s="1"/>
  <c r="C21" i="3"/>
  <c r="C21" i="11" s="1"/>
  <c r="D21" i="3"/>
  <c r="D21" i="11" s="1"/>
  <c r="B21" i="3"/>
  <c r="V21" i="3" s="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2" i="3"/>
  <c r="D22" i="11" s="1"/>
  <c r="C22" i="3"/>
  <c r="C22" i="11" s="1"/>
  <c r="V22" i="3"/>
  <c r="C24" i="3"/>
  <c r="C24" i="11" s="1"/>
  <c r="D24" i="3"/>
  <c r="D24" i="11" s="1"/>
  <c r="C25" i="3"/>
  <c r="C25" i="11" s="1"/>
  <c r="D25" i="3"/>
  <c r="D25" i="11" s="1"/>
  <c r="B25" i="3"/>
  <c r="D36" i="3"/>
  <c r="D36" i="11" s="1"/>
  <c r="C36" i="3"/>
  <c r="C36" i="11" s="1"/>
  <c r="D17" i="3"/>
  <c r="D17" i="11" s="1"/>
  <c r="C17" i="3"/>
  <c r="C17" i="11" s="1"/>
  <c r="D9" i="3"/>
  <c r="D9" i="11" s="1"/>
  <c r="C9" i="3"/>
  <c r="C9" i="11" s="1"/>
  <c r="D8" i="3"/>
  <c r="D8" i="11" s="1"/>
  <c r="C8" i="3"/>
  <c r="C8" i="11" s="1"/>
  <c r="D35" i="3"/>
  <c r="D35" i="11" s="1"/>
  <c r="C35" i="3"/>
  <c r="C35" i="11" s="1"/>
  <c r="D34" i="3"/>
  <c r="D34" i="11" s="1"/>
  <c r="C34" i="3"/>
  <c r="C34" i="11" s="1"/>
  <c r="C33" i="3"/>
  <c r="C33" i="11" s="1"/>
  <c r="D29" i="3"/>
  <c r="D29" i="11" s="1"/>
  <c r="C29" i="3"/>
  <c r="C29" i="11" s="1"/>
  <c r="D31" i="3"/>
  <c r="D31" i="11" s="1"/>
  <c r="C31" i="3"/>
  <c r="C31" i="11" s="1"/>
  <c r="D30" i="3"/>
  <c r="D30" i="11" s="1"/>
  <c r="C30" i="3"/>
  <c r="C30" i="11" s="1"/>
  <c r="D26" i="3"/>
  <c r="D26" i="11" s="1"/>
  <c r="C26" i="3"/>
  <c r="C26" i="11" s="1"/>
  <c r="D4" i="3"/>
  <c r="C4" i="3"/>
  <c r="D7" i="3"/>
  <c r="D7" i="11" s="1"/>
  <c r="C7" i="3"/>
  <c r="C7" i="11" s="1"/>
  <c r="D18" i="3"/>
  <c r="D18" i="11" s="1"/>
  <c r="C18" i="3"/>
  <c r="C18" i="11" s="1"/>
  <c r="D37" i="3"/>
  <c r="D37" i="11" s="1"/>
  <c r="C37" i="3"/>
  <c r="C37" i="11" s="1"/>
  <c r="B37" i="3"/>
  <c r="B18" i="3"/>
  <c r="V18" i="3" s="1"/>
  <c r="B7" i="3"/>
  <c r="B4" i="3"/>
  <c r="V4" i="3" s="1"/>
  <c r="B26" i="3"/>
  <c r="V26" i="3" s="1"/>
  <c r="B30" i="3"/>
  <c r="V30" i="3" s="1"/>
  <c r="B31" i="3"/>
  <c r="V31" i="3" s="1"/>
  <c r="V32" i="3"/>
  <c r="B29" i="3"/>
  <c r="V29" i="3" s="1"/>
  <c r="B33" i="3"/>
  <c r="V33" i="3" s="1"/>
  <c r="B34" i="3"/>
  <c r="B35" i="3"/>
  <c r="V35" i="3" s="1"/>
  <c r="B8" i="3"/>
  <c r="V8" i="3" s="1"/>
  <c r="B17" i="3"/>
  <c r="V17" i="3" s="1"/>
  <c r="B36" i="3"/>
  <c r="B15" i="3"/>
  <c r="B11" i="3"/>
  <c r="B11" i="11" s="1"/>
  <c r="V12" i="3"/>
  <c r="C40" i="3"/>
  <c r="C40" i="11" s="1"/>
  <c r="C42" i="3"/>
  <c r="C42" i="11" s="1"/>
  <c r="C48" i="3"/>
  <c r="C48" i="11" s="1"/>
  <c r="C49" i="3"/>
  <c r="C49" i="11" s="1"/>
  <c r="C50" i="3"/>
  <c r="C50" i="11" s="1"/>
  <c r="C39" i="3"/>
  <c r="C39" i="11" s="1"/>
  <c r="C6" i="3"/>
  <c r="C6" i="11" s="1"/>
  <c r="D6" i="3"/>
  <c r="D6" i="11" s="1"/>
  <c r="D46" i="3"/>
  <c r="C46" i="3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F50" i="11"/>
  <c r="G50" i="11"/>
  <c r="H50" i="11"/>
  <c r="I50" i="11"/>
  <c r="J50" i="11"/>
  <c r="L50" i="11"/>
  <c r="M50" i="11"/>
  <c r="G1" i="11"/>
  <c r="H1" i="11"/>
  <c r="I1" i="11"/>
  <c r="J1" i="11"/>
  <c r="K1" i="11"/>
  <c r="L1" i="11"/>
  <c r="M1" i="11"/>
  <c r="N1" i="11"/>
  <c r="O1" i="11"/>
  <c r="F1" i="11"/>
  <c r="S24" i="3"/>
  <c r="T24" i="3" s="1"/>
  <c r="U24" i="3" s="1"/>
  <c r="P24" i="3"/>
  <c r="B55" i="2"/>
  <c r="B10" i="7"/>
  <c r="S48" i="3"/>
  <c r="T48" i="3" s="1"/>
  <c r="S49" i="3"/>
  <c r="T49" i="3" s="1"/>
  <c r="S50" i="3"/>
  <c r="T50" i="3" s="1"/>
  <c r="P48" i="3"/>
  <c r="K48" i="11" s="1"/>
  <c r="P49" i="3"/>
  <c r="K49" i="11" s="1"/>
  <c r="P50" i="3"/>
  <c r="K50" i="11" s="1"/>
  <c r="P21" i="3"/>
  <c r="S21" i="3"/>
  <c r="T21" i="3" s="1"/>
  <c r="U21" i="3" s="1"/>
  <c r="P37" i="3"/>
  <c r="S37" i="3"/>
  <c r="T37" i="3" s="1"/>
  <c r="U37" i="3" s="1"/>
  <c r="P15" i="3"/>
  <c r="S15" i="3"/>
  <c r="P18" i="3"/>
  <c r="S18" i="3"/>
  <c r="T18" i="3" s="1"/>
  <c r="U18" i="3" s="1"/>
  <c r="P19" i="3"/>
  <c r="S19" i="3"/>
  <c r="T19" i="3" s="1"/>
  <c r="U19" i="3" s="1"/>
  <c r="P20" i="3"/>
  <c r="S20" i="3"/>
  <c r="T20" i="3" s="1"/>
  <c r="U20" i="3" s="1"/>
  <c r="P7" i="3"/>
  <c r="S7" i="3"/>
  <c r="P4" i="3"/>
  <c r="S4" i="3"/>
  <c r="T4" i="3" s="1"/>
  <c r="U4" i="3" s="1"/>
  <c r="P5" i="3"/>
  <c r="S5" i="3"/>
  <c r="T5" i="3" s="1"/>
  <c r="U5" i="3" s="1"/>
  <c r="P16" i="3"/>
  <c r="S16" i="3"/>
  <c r="T16" i="3" s="1"/>
  <c r="U16" i="3" s="1"/>
  <c r="P2" i="3"/>
  <c r="S2" i="3"/>
  <c r="P22" i="3"/>
  <c r="S22" i="3"/>
  <c r="T22" i="3" s="1"/>
  <c r="U22" i="3" s="1"/>
  <c r="P23" i="3"/>
  <c r="S23" i="3"/>
  <c r="T23" i="3" s="1"/>
  <c r="U23" i="3" s="1"/>
  <c r="P25" i="3"/>
  <c r="S25" i="3"/>
  <c r="T25" i="3" s="1"/>
  <c r="U25" i="3" s="1"/>
  <c r="P26" i="3"/>
  <c r="S26" i="3"/>
  <c r="P30" i="3"/>
  <c r="S30" i="3"/>
  <c r="T30" i="3" s="1"/>
  <c r="U30" i="3" s="1"/>
  <c r="P31" i="3"/>
  <c r="S31" i="3"/>
  <c r="T31" i="3" s="1"/>
  <c r="U31" i="3" s="1"/>
  <c r="P32" i="3"/>
  <c r="S32" i="3"/>
  <c r="T32" i="3" s="1"/>
  <c r="U32" i="3" s="1"/>
  <c r="P29" i="3"/>
  <c r="S29" i="3"/>
  <c r="P33" i="3"/>
  <c r="S33" i="3"/>
  <c r="T33" i="3" s="1"/>
  <c r="P34" i="3"/>
  <c r="S34" i="3"/>
  <c r="T34" i="3" s="1"/>
  <c r="U34" i="3" s="1"/>
  <c r="P35" i="3"/>
  <c r="S35" i="3"/>
  <c r="T35" i="3" s="1"/>
  <c r="U35" i="3" s="1"/>
  <c r="P43" i="3"/>
  <c r="S43" i="3"/>
  <c r="P44" i="3"/>
  <c r="S44" i="3"/>
  <c r="T44" i="3" s="1"/>
  <c r="U44" i="3" s="1"/>
  <c r="P8" i="3"/>
  <c r="S8" i="3"/>
  <c r="T8" i="3" s="1"/>
  <c r="U8" i="3" s="1"/>
  <c r="P9" i="3"/>
  <c r="S9" i="3"/>
  <c r="T9" i="3" s="1"/>
  <c r="U9" i="3" s="1"/>
  <c r="P12" i="3"/>
  <c r="S12" i="3"/>
  <c r="P11" i="3"/>
  <c r="S11" i="3"/>
  <c r="T11" i="3" s="1"/>
  <c r="U11" i="3" s="1"/>
  <c r="P17" i="3"/>
  <c r="S17" i="3"/>
  <c r="T17" i="3" s="1"/>
  <c r="U17" i="3" s="1"/>
  <c r="P13" i="3"/>
  <c r="S13" i="3"/>
  <c r="T13" i="3" s="1"/>
  <c r="U13" i="3" s="1"/>
  <c r="P10" i="3"/>
  <c r="S10" i="3"/>
  <c r="C14" i="3"/>
  <c r="C14" i="11" s="1"/>
  <c r="D14" i="3"/>
  <c r="D14" i="11" s="1"/>
  <c r="P14" i="3"/>
  <c r="S14" i="3"/>
  <c r="T14" i="3" s="1"/>
  <c r="U14" i="3" s="1"/>
  <c r="S27" i="3"/>
  <c r="T27" i="3" s="1"/>
  <c r="U27" i="3" s="1"/>
  <c r="P45" i="3"/>
  <c r="S45" i="3"/>
  <c r="T45" i="3" s="1"/>
  <c r="U45" i="3" s="1"/>
  <c r="P36" i="3"/>
  <c r="S36" i="3"/>
  <c r="P28" i="3"/>
  <c r="S28" i="3"/>
  <c r="T28" i="3" s="1"/>
  <c r="U28" i="3" s="1"/>
  <c r="P46" i="3"/>
  <c r="S46" i="3"/>
  <c r="T46" i="3" s="1"/>
  <c r="U46" i="3" s="1"/>
  <c r="B41" i="3"/>
  <c r="P41" i="3"/>
  <c r="S41" i="3"/>
  <c r="T41" i="3" s="1"/>
  <c r="U41" i="3" s="1"/>
  <c r="P6" i="3"/>
  <c r="S6" i="3"/>
  <c r="P38" i="3"/>
  <c r="S38" i="3"/>
  <c r="T38" i="3" s="1"/>
  <c r="U38" i="3" s="1"/>
  <c r="P39" i="3"/>
  <c r="S39" i="3"/>
  <c r="T39" i="3" s="1"/>
  <c r="U39" i="3" s="1"/>
  <c r="P40" i="3"/>
  <c r="S40" i="3"/>
  <c r="T40" i="3" s="1"/>
  <c r="P42" i="3"/>
  <c r="S42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C5" i="3" l="1"/>
  <c r="C5" i="11" s="1"/>
  <c r="C4" i="11"/>
  <c r="D5" i="3"/>
  <c r="D5" i="11" s="1"/>
  <c r="D4" i="11"/>
  <c r="C41" i="3"/>
  <c r="C41" i="11" s="1"/>
  <c r="B41" i="11"/>
  <c r="V15" i="3"/>
  <c r="B15" i="11"/>
  <c r="E15" i="11" s="1"/>
  <c r="G2" i="13"/>
  <c r="F2" i="13"/>
  <c r="Z7" i="8" a="1"/>
  <c r="Z7" i="8" s="1"/>
  <c r="X5" i="10" s="1"/>
  <c r="E22" i="11"/>
  <c r="K23" i="11"/>
  <c r="E21" i="11"/>
  <c r="O50" i="11"/>
  <c r="U50" i="3"/>
  <c r="O22" i="11"/>
  <c r="U33" i="3"/>
  <c r="O49" i="11"/>
  <c r="U49" i="3"/>
  <c r="D39" i="3"/>
  <c r="D39" i="11" s="1"/>
  <c r="O48" i="11"/>
  <c r="U48" i="3"/>
  <c r="D40" i="3"/>
  <c r="D40" i="11" s="1"/>
  <c r="C57" i="8"/>
  <c r="A57" i="8" s="1"/>
  <c r="C56" i="8"/>
  <c r="A56" i="8" s="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K21" i="11"/>
  <c r="K22" i="11"/>
  <c r="K16" i="11"/>
  <c r="O23" i="11"/>
  <c r="N21" i="11"/>
  <c r="K32" i="11"/>
  <c r="K34" i="11"/>
  <c r="O31" i="11"/>
  <c r="N29" i="11"/>
  <c r="N25" i="11"/>
  <c r="O19" i="11"/>
  <c r="N17" i="1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O44" i="11"/>
  <c r="K39" i="11"/>
  <c r="K4" i="11"/>
  <c r="O30" i="11"/>
  <c r="O18" i="11"/>
  <c r="N45" i="11"/>
  <c r="K38" i="11"/>
  <c r="K20" i="11"/>
  <c r="K13" i="11"/>
  <c r="K11" i="11"/>
  <c r="K9" i="11"/>
  <c r="K7" i="11"/>
  <c r="K5" i="11"/>
  <c r="K28" i="11"/>
  <c r="K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E36" i="11"/>
  <c r="E28" i="11"/>
  <c r="D10" i="3"/>
  <c r="D10" i="11" s="1"/>
  <c r="C10" i="3"/>
  <c r="C10" i="11" s="1"/>
  <c r="C44" i="3"/>
  <c r="C44" i="11" s="1"/>
  <c r="C43" i="3"/>
  <c r="C43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4" i="3"/>
  <c r="V36" i="3"/>
  <c r="V37" i="3"/>
  <c r="T15" i="3"/>
  <c r="T29" i="3"/>
  <c r="T42" i="3"/>
  <c r="T26" i="3"/>
  <c r="O24" i="11" s="1"/>
  <c r="V7" i="3"/>
  <c r="T12" i="3"/>
  <c r="U12" i="3" s="1"/>
  <c r="T36" i="3"/>
  <c r="O34" i="11" s="1"/>
  <c r="T2" i="3"/>
  <c r="O39" i="11" s="1"/>
  <c r="V11" i="3"/>
  <c r="T6" i="3"/>
  <c r="O41" i="11" s="1"/>
  <c r="T43" i="3"/>
  <c r="T7" i="3"/>
  <c r="N44" i="11"/>
  <c r="N43" i="11"/>
  <c r="D48" i="3"/>
  <c r="D48" i="11" s="1"/>
  <c r="D42" i="3"/>
  <c r="D42" i="11" s="1"/>
  <c r="N49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T10" i="3"/>
  <c r="D49" i="3"/>
  <c r="D49" i="11" s="1"/>
  <c r="N50" i="11"/>
  <c r="N48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50" i="3"/>
  <c r="D50" i="11" s="1"/>
  <c r="C54" i="2"/>
  <c r="BB3" i="8"/>
  <c r="BB1" i="8" s="1"/>
  <c r="C55" i="2"/>
  <c r="C4" i="8"/>
  <c r="A4" i="8" s="1"/>
  <c r="Z4" i="8" s="1" a="1"/>
  <c r="Z4" i="8" s="1"/>
  <c r="X2" i="10" s="1"/>
  <c r="C48" i="2"/>
  <c r="E39" i="11" l="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5" i="11"/>
  <c r="E38" i="11"/>
  <c r="E37" i="11"/>
  <c r="O9" i="11"/>
  <c r="O8" i="11"/>
  <c r="U7" i="3"/>
  <c r="O3" i="11"/>
  <c r="U2" i="3"/>
  <c r="O17" i="11"/>
  <c r="U26" i="3"/>
  <c r="E50" i="11"/>
  <c r="E49" i="11"/>
  <c r="E48" i="11"/>
  <c r="O25" i="11"/>
  <c r="U43" i="3"/>
  <c r="O37" i="11"/>
  <c r="U36" i="3"/>
  <c r="O45" i="11"/>
  <c r="U42" i="3"/>
  <c r="O4" i="11"/>
  <c r="U15" i="3"/>
  <c r="O33" i="11"/>
  <c r="U10" i="3"/>
  <c r="O21" i="11"/>
  <c r="U29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O29" i="11"/>
  <c r="E8" i="11"/>
  <c r="E6" i="11"/>
  <c r="E32" i="11"/>
  <c r="O27" i="11"/>
  <c r="O13" i="11"/>
  <c r="E11" i="11"/>
  <c r="E16" i="11"/>
  <c r="O12" i="11"/>
  <c r="E17" i="11"/>
  <c r="E29" i="11"/>
  <c r="E34" i="11"/>
  <c r="O6" i="11"/>
  <c r="E31" i="11"/>
  <c r="E45" i="11"/>
  <c r="O15" i="11"/>
  <c r="O7" i="11"/>
  <c r="O10" i="11"/>
  <c r="E42" i="11"/>
  <c r="O2" i="11"/>
  <c r="O11" i="11"/>
  <c r="O26" i="11"/>
  <c r="O14" i="11"/>
  <c r="O5" i="11"/>
  <c r="E33" i="11"/>
  <c r="O16" i="11"/>
  <c r="O36" i="11"/>
  <c r="O42" i="11"/>
  <c r="E41" i="11"/>
  <c r="O32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E3" i="11" l="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E12" i="11" l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<sst xmlns="http://schemas.openxmlformats.org/spreadsheetml/2006/main" count="693" uniqueCount="253">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</sst>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"/>
    <numFmt numFmtId="166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8" dT="2022-07-11T22:02:30.08" personId="{8C1B3605-3BBC-4A56-9DEA-CD9622C706EB}" id="{3A5A5ACA-AB2A-48F2-965E-C0F7F32044A5}">
    <text>add later - and get rid of THETA?</text>
  </threadedComment>
  <threadedComment ref="U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8" dT="2022-07-11T22:02:30.08" personId="{8C1B3605-3BBC-4A56-9DEA-CD9622C706EB}" id="{66FC5505-D8B6-45BF-B4E7-4873685A6265}">
    <text>add later - and get rid of THETA?</text>
  </threadedComment>
  <threadedComment ref="U40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50"/>
  <sheetViews>
    <sheetView topLeftCell="A35" workbookViewId="0">
      <selection activeCell="B46" sqref="B46:Q47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63</v>
      </c>
      <c r="B1" t="s">
        <v>1</v>
      </c>
      <c r="C1" t="s">
        <v>64</v>
      </c>
      <c r="D1" t="s">
        <v>65</v>
      </c>
      <c r="E1" t="s">
        <v>178</v>
      </c>
      <c r="F1" t="str">
        <f>PARS!K1</f>
        <v>compstat</v>
      </c>
      <c r="G1" t="str">
        <f>PARS!L1</f>
        <v>toestimate</v>
      </c>
      <c r="H1" t="str">
        <f>PARS!M1</f>
        <v xml:space="preserve">tofitwithin </v>
      </c>
      <c r="I1" t="str">
        <f>PARS!N1</f>
        <v>tocalibrateoutright</v>
      </c>
      <c r="J1" t="str">
        <f>PARS!O1</f>
        <v>ignored</v>
      </c>
      <c r="K1" t="str">
        <f>PARS!P1</f>
        <v>check</v>
      </c>
      <c r="L1" t="str">
        <f>PARS!Q1</f>
        <v>reasonablecalibration</v>
      </c>
      <c r="M1" t="str">
        <f>PARS!R1</f>
        <v>roughcalibrationok</v>
      </c>
      <c r="N1" t="str">
        <f>PARS!S1</f>
        <v>toestimateR</v>
      </c>
      <c r="O1" t="str">
        <f>PARS!T1</f>
        <v>parcount</v>
      </c>
      <c r="P1" t="s">
        <v>226</v>
      </c>
      <c r="Q1" t="s">
        <v>227</v>
      </c>
    </row>
    <row r="2" spans="1:19" x14ac:dyDescent="0.35">
      <c r="A2" t="s">
        <v>78</v>
      </c>
      <c r="B2">
        <f>PARS!B2</f>
        <v>21.03734690643789</v>
      </c>
      <c r="C2">
        <f>PARS!C2</f>
        <v>21.03734690643789</v>
      </c>
      <c r="D2">
        <f>PARS!D2</f>
        <v>21.03734690643789</v>
      </c>
      <c r="E2" t="b">
        <f t="shared" ref="E2:E50" si="0">AND(D2&gt;=B2,B2&gt;=C2,D2&gt;=C2)</f>
        <v>1</v>
      </c>
      <c r="F2">
        <f>PARS!K2</f>
        <v>0</v>
      </c>
      <c r="G2">
        <f>PARS!L2</f>
        <v>0</v>
      </c>
      <c r="H2">
        <f>PARS!M2</f>
        <v>0</v>
      </c>
      <c r="I2">
        <f>PARS!N2</f>
        <v>1</v>
      </c>
      <c r="J2">
        <f>PARS!O2</f>
        <v>0</v>
      </c>
      <c r="K2">
        <f>PARS!P2</f>
        <v>1</v>
      </c>
      <c r="L2">
        <f>PARS!Q2</f>
        <v>0</v>
      </c>
      <c r="M2">
        <f>PARS!R2</f>
        <v>0</v>
      </c>
      <c r="N2">
        <f>PARS!S2</f>
        <v>0</v>
      </c>
      <c r="O2">
        <f>PARS!T2</f>
        <v>1</v>
      </c>
      <c r="P2">
        <v>0.45026571891530132</v>
      </c>
      <c r="Q2">
        <f ca="1">RAND()</f>
        <v>0.71838265423462921</v>
      </c>
    </row>
    <row r="3" spans="1:19" x14ac:dyDescent="0.35">
      <c r="A3" t="s">
        <v>111</v>
      </c>
      <c r="B3">
        <f>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PARS!K3</f>
        <v>0</v>
      </c>
      <c r="G3">
        <f>PARS!L3</f>
        <v>0</v>
      </c>
      <c r="H3">
        <f>PARS!M3</f>
        <v>0</v>
      </c>
      <c r="I3">
        <f>PARS!N3</f>
        <v>1</v>
      </c>
      <c r="J3">
        <f>PARS!O3</f>
        <v>0</v>
      </c>
      <c r="K3">
        <f>PARS!P3</f>
        <v>1</v>
      </c>
      <c r="L3">
        <f>PARS!Q3</f>
        <v>0</v>
      </c>
      <c r="M3">
        <f>PARS!R3</f>
        <v>0</v>
      </c>
      <c r="N3">
        <f>PARS!S3</f>
        <v>0</v>
      </c>
      <c r="O3">
        <f>PARS!T3</f>
        <v>1</v>
      </c>
      <c r="P3">
        <v>0.64258992231765177</v>
      </c>
      <c r="Q3">
        <f t="shared" ref="Q3:Q50" ca="1" si="1">RAND()</f>
        <v>0.6546478188385636</v>
      </c>
      <c r="R3" t="s">
        <v>191</v>
      </c>
    </row>
    <row r="4" spans="1:19" x14ac:dyDescent="0.35">
      <c r="A4" t="s">
        <v>75</v>
      </c>
      <c r="B4">
        <v>-0.46101241336700499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PARS!K4</f>
        <v>0</v>
      </c>
      <c r="G4">
        <f>PARS!L4</f>
        <v>1</v>
      </c>
      <c r="H4">
        <f>PARS!M4</f>
        <v>0</v>
      </c>
      <c r="I4">
        <f>PARS!N4</f>
        <v>0</v>
      </c>
      <c r="J4">
        <f>PARS!O4</f>
        <v>0</v>
      </c>
      <c r="K4">
        <f>PARS!P4</f>
        <v>1</v>
      </c>
      <c r="L4">
        <f>PARS!Q4</f>
        <v>0</v>
      </c>
      <c r="M4">
        <f>PARS!R4</f>
        <v>1</v>
      </c>
      <c r="N4">
        <f>PARS!S4</f>
        <v>1</v>
      </c>
      <c r="O4">
        <f>PARS!T4</f>
        <v>1</v>
      </c>
      <c r="P4">
        <v>0.2109069498418551</v>
      </c>
      <c r="Q4">
        <f t="shared" ca="1" si="1"/>
        <v>4.0308907414920991E-3</v>
      </c>
      <c r="R4">
        <v>0.6</v>
      </c>
      <c r="S4">
        <f ca="1">RAND()</f>
        <v>0.59066745041969715</v>
      </c>
    </row>
    <row r="5" spans="1:19" x14ac:dyDescent="0.35">
      <c r="A5" t="s">
        <v>76</v>
      </c>
      <c r="B5">
        <f>PARS!B5</f>
        <v>-0.22314355131420971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PARS!K5</f>
        <v>0</v>
      </c>
      <c r="G5">
        <f>PARS!L5</f>
        <v>0</v>
      </c>
      <c r="H5">
        <f>PARS!M5</f>
        <v>0</v>
      </c>
      <c r="I5">
        <f>PARS!N5</f>
        <v>0</v>
      </c>
      <c r="J5">
        <f>PARS!O5</f>
        <v>1</v>
      </c>
      <c r="K5">
        <f>PARS!P5</f>
        <v>1</v>
      </c>
      <c r="L5">
        <f>PARS!Q5</f>
        <v>0</v>
      </c>
      <c r="M5">
        <f>PARS!R5</f>
        <v>0</v>
      </c>
      <c r="N5">
        <f>PARS!S5</f>
        <v>0</v>
      </c>
      <c r="O5">
        <f>PARS!T5</f>
        <v>0</v>
      </c>
      <c r="P5">
        <v>0.87848651193353577</v>
      </c>
      <c r="Q5">
        <f t="shared" ca="1" si="1"/>
        <v>0.65230475902304785</v>
      </c>
    </row>
    <row r="6" spans="1:19" x14ac:dyDescent="0.35">
      <c r="A6" t="s">
        <v>106</v>
      </c>
      <c r="B6">
        <f>PARS!B6</f>
        <v>0.20836072497837904</v>
      </c>
      <c r="C6">
        <f>PARS!C6</f>
        <v>0.20836072497837904</v>
      </c>
      <c r="D6">
        <f>PARS!D6</f>
        <v>0.20836072497837904</v>
      </c>
      <c r="E6" t="b">
        <f t="shared" si="0"/>
        <v>1</v>
      </c>
      <c r="F6">
        <f>PARS!K6</f>
        <v>0</v>
      </c>
      <c r="G6">
        <f>PARS!L6</f>
        <v>0</v>
      </c>
      <c r="H6">
        <f>PARS!M6</f>
        <v>1</v>
      </c>
      <c r="I6">
        <f>PARS!N6</f>
        <v>0</v>
      </c>
      <c r="J6">
        <f>PARS!O6</f>
        <v>0</v>
      </c>
      <c r="K6">
        <f>PARS!P6</f>
        <v>1</v>
      </c>
      <c r="L6">
        <f>PARS!Q6</f>
        <v>0</v>
      </c>
      <c r="M6">
        <f>PARS!R6</f>
        <v>0</v>
      </c>
      <c r="N6">
        <f>PARS!S6</f>
        <v>0</v>
      </c>
      <c r="O6">
        <f>PARS!T6</f>
        <v>1</v>
      </c>
      <c r="P6">
        <v>0.91265842292054944</v>
      </c>
      <c r="Q6">
        <f t="shared" ca="1" si="1"/>
        <v>6.2518384480594325E-3</v>
      </c>
      <c r="R6" t="s">
        <v>209</v>
      </c>
    </row>
    <row r="7" spans="1:19" x14ac:dyDescent="0.35">
      <c r="A7" t="s">
        <v>74</v>
      </c>
      <c r="B7">
        <v>-1.00655521417567</v>
      </c>
      <c r="C7">
        <f>PARS!C7</f>
        <v>-2.3025850929940455</v>
      </c>
      <c r="D7">
        <f>PARS!D7</f>
        <v>-0.916290731874155</v>
      </c>
      <c r="E7" t="b">
        <f t="shared" si="0"/>
        <v>1</v>
      </c>
      <c r="F7">
        <f>PARS!K7</f>
        <v>0</v>
      </c>
      <c r="G7">
        <f>PARS!L7</f>
        <v>1</v>
      </c>
      <c r="H7">
        <f>PARS!M7</f>
        <v>0</v>
      </c>
      <c r="I7">
        <f>PARS!N7</f>
        <v>0</v>
      </c>
      <c r="J7">
        <f>PARS!O7</f>
        <v>0</v>
      </c>
      <c r="K7">
        <f>PARS!P7</f>
        <v>1</v>
      </c>
      <c r="L7">
        <f>PARS!Q7</f>
        <v>0</v>
      </c>
      <c r="M7">
        <f>PARS!R7</f>
        <v>1</v>
      </c>
      <c r="N7">
        <f>PARS!S7</f>
        <v>1</v>
      </c>
      <c r="O7">
        <f>PARS!T7</f>
        <v>1</v>
      </c>
      <c r="P7">
        <v>0.91249787974659524</v>
      </c>
      <c r="Q7">
        <f t="shared" ca="1" si="1"/>
        <v>0.38594493019433607</v>
      </c>
      <c r="R7">
        <v>0.5</v>
      </c>
    </row>
    <row r="8" spans="1:19" x14ac:dyDescent="0.35">
      <c r="A8" t="s">
        <v>92</v>
      </c>
      <c r="B8">
        <v>0.57312619333459902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PARS!K8</f>
        <v>1</v>
      </c>
      <c r="G8">
        <f>PARS!L8</f>
        <v>1</v>
      </c>
      <c r="H8">
        <f>PARS!M8</f>
        <v>0</v>
      </c>
      <c r="I8">
        <f>PARS!N8</f>
        <v>0</v>
      </c>
      <c r="J8">
        <f>PARS!O8</f>
        <v>0</v>
      </c>
      <c r="K8">
        <f>PARS!P8</f>
        <v>1</v>
      </c>
      <c r="L8">
        <f>PARS!Q8</f>
        <v>0</v>
      </c>
      <c r="M8">
        <f>PARS!R8</f>
        <v>0</v>
      </c>
      <c r="N8">
        <f>PARS!S8</f>
        <v>1</v>
      </c>
      <c r="O8">
        <f>PARS!T8</f>
        <v>1</v>
      </c>
      <c r="P8">
        <v>3.3046308219545684E-2</v>
      </c>
      <c r="Q8">
        <f t="shared" ca="1" si="1"/>
        <v>9.3639988287353981E-3</v>
      </c>
    </row>
    <row r="9" spans="1:19" x14ac:dyDescent="0.35">
      <c r="A9" t="s">
        <v>93</v>
      </c>
      <c r="B9">
        <v>1.72155169240169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PARS!K9</f>
        <v>0</v>
      </c>
      <c r="G9">
        <f>PARS!L9</f>
        <v>1</v>
      </c>
      <c r="H9">
        <f>PARS!M9</f>
        <v>0</v>
      </c>
      <c r="I9">
        <f>PARS!N9</f>
        <v>0</v>
      </c>
      <c r="J9">
        <f>PARS!O9</f>
        <v>0</v>
      </c>
      <c r="K9">
        <f>PARS!P9</f>
        <v>1</v>
      </c>
      <c r="L9">
        <f>PARS!Q9</f>
        <v>0</v>
      </c>
      <c r="M9">
        <f>PARS!R9</f>
        <v>1</v>
      </c>
      <c r="N9">
        <f>PARS!S9</f>
        <v>1</v>
      </c>
      <c r="O9">
        <f>PARS!T9</f>
        <v>1</v>
      </c>
      <c r="P9">
        <v>0.97768082688193647</v>
      </c>
      <c r="Q9">
        <f t="shared" ca="1" si="1"/>
        <v>6.9936407827764668E-2</v>
      </c>
    </row>
    <row r="10" spans="1:19" x14ac:dyDescent="0.35">
      <c r="A10" t="s">
        <v>98</v>
      </c>
      <c r="B10">
        <f>PARS!B10</f>
        <v>0</v>
      </c>
      <c r="C10">
        <f>PARS!C10</f>
        <v>-0.51082562376599072</v>
      </c>
      <c r="D10">
        <f>PARS!D10</f>
        <v>0.18232155679395459</v>
      </c>
      <c r="E10" t="b">
        <f t="shared" si="0"/>
        <v>1</v>
      </c>
      <c r="F10">
        <f>PARS!K10</f>
        <v>0</v>
      </c>
      <c r="G10">
        <f>PARS!L10</f>
        <v>0</v>
      </c>
      <c r="H10">
        <f>PARS!M10</f>
        <v>0</v>
      </c>
      <c r="I10">
        <f>PARS!N10</f>
        <v>0</v>
      </c>
      <c r="J10">
        <f>PARS!O10</f>
        <v>1</v>
      </c>
      <c r="K10">
        <f>PARS!P10</f>
        <v>1</v>
      </c>
      <c r="L10">
        <f>PARS!Q10</f>
        <v>0</v>
      </c>
      <c r="M10">
        <f>PARS!R10</f>
        <v>0</v>
      </c>
      <c r="N10">
        <f>PARS!S10</f>
        <v>0</v>
      </c>
      <c r="O10">
        <f>PARS!T10</f>
        <v>0</v>
      </c>
      <c r="P10">
        <v>0.74086429990454716</v>
      </c>
      <c r="Q10">
        <f t="shared" ca="1" si="1"/>
        <v>0.57124047126090083</v>
      </c>
    </row>
    <row r="11" spans="1:19" x14ac:dyDescent="0.35">
      <c r="A11" t="s">
        <v>95</v>
      </c>
      <c r="B11">
        <f>PARS!B11</f>
        <v>-1.8703217532696195</v>
      </c>
      <c r="C11">
        <f>PARS!C11</f>
        <v>-2.093465304583829</v>
      </c>
      <c r="D11">
        <f>PARS!D11</f>
        <v>-1.1771745727096741</v>
      </c>
      <c r="E11" t="b">
        <f t="shared" si="0"/>
        <v>1</v>
      </c>
      <c r="F11">
        <f>PARS!K11</f>
        <v>0</v>
      </c>
      <c r="G11">
        <f>PARS!L11</f>
        <v>1</v>
      </c>
      <c r="H11">
        <f>PARS!M11</f>
        <v>0</v>
      </c>
      <c r="I11">
        <f>PARS!N11</f>
        <v>0</v>
      </c>
      <c r="J11">
        <f>PARS!O11</f>
        <v>0</v>
      </c>
      <c r="K11">
        <f>PARS!P11</f>
        <v>1</v>
      </c>
      <c r="L11">
        <f>PARS!Q11</f>
        <v>1</v>
      </c>
      <c r="M11">
        <f>PARS!R11</f>
        <v>1</v>
      </c>
      <c r="N11">
        <f>PARS!S11</f>
        <v>0</v>
      </c>
      <c r="O11">
        <f>PARS!T11</f>
        <v>1</v>
      </c>
      <c r="P11">
        <v>0.86037898330286977</v>
      </c>
      <c r="Q11">
        <f t="shared" ca="1" si="1"/>
        <v>0.72892013975083614</v>
      </c>
    </row>
    <row r="12" spans="1:19" x14ac:dyDescent="0.35">
      <c r="A12" t="s">
        <v>94</v>
      </c>
      <c r="B12">
        <f>PARS!B12</f>
        <v>0.66388228523152282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PARS!K12</f>
        <v>0</v>
      </c>
      <c r="G12">
        <f>PARS!L12</f>
        <v>1</v>
      </c>
      <c r="H12">
        <f>PARS!M12</f>
        <v>0</v>
      </c>
      <c r="I12">
        <f>PARS!N12</f>
        <v>0</v>
      </c>
      <c r="J12">
        <f>PARS!O12</f>
        <v>0</v>
      </c>
      <c r="K12">
        <f>PARS!P12</f>
        <v>1</v>
      </c>
      <c r="L12">
        <f>PARS!Q12</f>
        <v>1</v>
      </c>
      <c r="M12">
        <f>PARS!R12</f>
        <v>1</v>
      </c>
      <c r="N12">
        <f>PARS!S12</f>
        <v>0</v>
      </c>
      <c r="O12">
        <f>PARS!T12</f>
        <v>1</v>
      </c>
      <c r="P12">
        <v>0.41521169452629747</v>
      </c>
      <c r="Q12">
        <f t="shared" ca="1" si="1"/>
        <v>9.998368600246843E-2</v>
      </c>
    </row>
    <row r="13" spans="1:19" x14ac:dyDescent="0.35">
      <c r="A13" t="s">
        <v>97</v>
      </c>
      <c r="B13">
        <f>PARS!B13</f>
        <v>-8.9025505804146685E-2</v>
      </c>
      <c r="C13">
        <f>PARS!C13</f>
        <v>0.62810999999999995</v>
      </c>
      <c r="D13">
        <f>PARS!D13</f>
        <v>1.16649</v>
      </c>
      <c r="E13" t="b">
        <f t="shared" si="0"/>
        <v>0</v>
      </c>
      <c r="F13">
        <f>PARS!K13</f>
        <v>0</v>
      </c>
      <c r="G13">
        <f>PARS!L13</f>
        <v>1</v>
      </c>
      <c r="H13">
        <f>PARS!M13</f>
        <v>0</v>
      </c>
      <c r="I13">
        <f>PARS!N13</f>
        <v>0</v>
      </c>
      <c r="J13">
        <f>PARS!O13</f>
        <v>0</v>
      </c>
      <c r="K13">
        <f>PARS!P13</f>
        <v>1</v>
      </c>
      <c r="L13">
        <f>PARS!Q13</f>
        <v>1</v>
      </c>
      <c r="M13">
        <f>PARS!R13</f>
        <v>1</v>
      </c>
      <c r="N13">
        <f>PARS!S13</f>
        <v>0</v>
      </c>
      <c r="O13">
        <f>PARS!T13</f>
        <v>1</v>
      </c>
      <c r="P13">
        <v>0.46557314041903575</v>
      </c>
      <c r="Q13">
        <f t="shared" ca="1" si="1"/>
        <v>0.81984136160506393</v>
      </c>
    </row>
    <row r="14" spans="1:19" x14ac:dyDescent="0.35">
      <c r="A14" t="s">
        <v>99</v>
      </c>
      <c r="B14">
        <f>PARS!B14</f>
        <v>0.25702382969694959</v>
      </c>
      <c r="C14">
        <f>PARS!C14</f>
        <v>0.17991668078786471</v>
      </c>
      <c r="D14">
        <f>PARS!D14</f>
        <v>0.33413097860603447</v>
      </c>
      <c r="E14" t="b">
        <f t="shared" si="0"/>
        <v>1</v>
      </c>
      <c r="F14">
        <f>PARS!K14</f>
        <v>0</v>
      </c>
      <c r="G14">
        <f>PARS!L14</f>
        <v>1</v>
      </c>
      <c r="H14">
        <f>PARS!M14</f>
        <v>0</v>
      </c>
      <c r="I14">
        <f>PARS!N14</f>
        <v>0</v>
      </c>
      <c r="J14">
        <f>PARS!O14</f>
        <v>0</v>
      </c>
      <c r="K14">
        <f>PARS!P14</f>
        <v>1</v>
      </c>
      <c r="L14">
        <f>PARS!Q14</f>
        <v>1</v>
      </c>
      <c r="M14">
        <f>PARS!R14</f>
        <v>1</v>
      </c>
      <c r="N14">
        <f>PARS!S14</f>
        <v>0</v>
      </c>
      <c r="O14">
        <f>PARS!T14</f>
        <v>1</v>
      </c>
      <c r="P14">
        <v>0.61372102254729277</v>
      </c>
      <c r="Q14">
        <f t="shared" ca="1" si="1"/>
        <v>0.67448089731416927</v>
      </c>
    </row>
    <row r="15" spans="1:19" x14ac:dyDescent="0.35">
      <c r="A15" t="s">
        <v>70</v>
      </c>
      <c r="B15">
        <f>PARS!B15</f>
        <v>-2.3633295407393207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0</v>
      </c>
      <c r="F15">
        <f>PARS!K15</f>
        <v>0</v>
      </c>
      <c r="G15">
        <f>PARS!L15</f>
        <v>1</v>
      </c>
      <c r="H15">
        <f>PARS!M15</f>
        <v>0</v>
      </c>
      <c r="I15">
        <f>PARS!N15</f>
        <v>0</v>
      </c>
      <c r="J15">
        <f>PARS!O15</f>
        <v>0</v>
      </c>
      <c r="K15">
        <f>PARS!P15</f>
        <v>1</v>
      </c>
      <c r="L15">
        <f>PARS!Q15</f>
        <v>1</v>
      </c>
      <c r="M15">
        <f>PARS!R15</f>
        <v>1</v>
      </c>
      <c r="N15">
        <f>PARS!S15</f>
        <v>0</v>
      </c>
      <c r="O15">
        <f>PARS!T15</f>
        <v>1</v>
      </c>
      <c r="P15">
        <v>3.2897363898112042E-2</v>
      </c>
      <c r="Q15">
        <f t="shared" ca="1" si="1"/>
        <v>0.84574034432000844</v>
      </c>
    </row>
    <row r="16" spans="1:19" x14ac:dyDescent="0.35">
      <c r="A16" t="s">
        <v>77</v>
      </c>
      <c r="B16">
        <v>-1.7221055246725101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PARS!K16</f>
        <v>0</v>
      </c>
      <c r="G16">
        <f>PARS!L16</f>
        <v>1</v>
      </c>
      <c r="H16">
        <f>PARS!M16</f>
        <v>0</v>
      </c>
      <c r="I16">
        <f>PARS!N16</f>
        <v>0</v>
      </c>
      <c r="J16">
        <f>PARS!O16</f>
        <v>0</v>
      </c>
      <c r="K16">
        <f>PARS!P16</f>
        <v>1</v>
      </c>
      <c r="L16">
        <f>PARS!Q16</f>
        <v>0</v>
      </c>
      <c r="M16">
        <f>PARS!R16</f>
        <v>1</v>
      </c>
      <c r="N16">
        <f>PARS!S16</f>
        <v>1</v>
      </c>
      <c r="O16">
        <f>PARS!T16</f>
        <v>1</v>
      </c>
      <c r="P16">
        <v>0.15850360539381858</v>
      </c>
      <c r="Q16">
        <f t="shared" ca="1" si="1"/>
        <v>0.97131950373342946</v>
      </c>
    </row>
    <row r="17" spans="1:17" x14ac:dyDescent="0.35">
      <c r="A17" t="s">
        <v>96</v>
      </c>
      <c r="B17">
        <v>-0.47621225479163498</v>
      </c>
      <c r="C17">
        <f>PARS!C17</f>
        <v>-1.2039728043259361</v>
      </c>
      <c r="D17">
        <f>PARS!D17</f>
        <v>-0.43078291609245423</v>
      </c>
      <c r="E17" t="b">
        <f t="shared" si="0"/>
        <v>1</v>
      </c>
      <c r="F17">
        <f>PARS!K17</f>
        <v>1</v>
      </c>
      <c r="G17">
        <f>PARS!L17</f>
        <v>1</v>
      </c>
      <c r="H17">
        <f>PARS!M17</f>
        <v>0</v>
      </c>
      <c r="I17">
        <f>PARS!N17</f>
        <v>0</v>
      </c>
      <c r="J17">
        <f>PARS!O17</f>
        <v>0</v>
      </c>
      <c r="K17">
        <f>PARS!P17</f>
        <v>1</v>
      </c>
      <c r="L17">
        <f>PARS!Q17</f>
        <v>0</v>
      </c>
      <c r="M17">
        <f>PARS!R17</f>
        <v>0</v>
      </c>
      <c r="N17">
        <f>PARS!S17</f>
        <v>1</v>
      </c>
      <c r="O17">
        <f>PARS!T17</f>
        <v>1</v>
      </c>
      <c r="P17">
        <v>4.0815182308573172E-2</v>
      </c>
      <c r="Q17">
        <f t="shared" ca="1" si="1"/>
        <v>7.1112287569376154E-2</v>
      </c>
    </row>
    <row r="18" spans="1:17" x14ac:dyDescent="0.35">
      <c r="A18" t="s">
        <v>71</v>
      </c>
      <c r="B18">
        <v>2.2757111368012901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PARS!K18</f>
        <v>1</v>
      </c>
      <c r="G18">
        <f>PARS!L18</f>
        <v>1</v>
      </c>
      <c r="H18">
        <f>PARS!M18</f>
        <v>0</v>
      </c>
      <c r="I18">
        <f>PARS!N18</f>
        <v>0</v>
      </c>
      <c r="J18">
        <f>PARS!O18</f>
        <v>0</v>
      </c>
      <c r="K18">
        <f>PARS!P18</f>
        <v>1</v>
      </c>
      <c r="L18">
        <f>PARS!Q18</f>
        <v>0</v>
      </c>
      <c r="M18">
        <f>PARS!R18</f>
        <v>0</v>
      </c>
      <c r="N18">
        <f>PARS!S18</f>
        <v>1</v>
      </c>
      <c r="O18">
        <f>PARS!T18</f>
        <v>1</v>
      </c>
      <c r="P18">
        <v>0.79134419092871022</v>
      </c>
      <c r="Q18">
        <f t="shared" ca="1" si="1"/>
        <v>0.7103555581277029</v>
      </c>
    </row>
    <row r="19" spans="1:17" x14ac:dyDescent="0.35">
      <c r="A19" s="6" t="s">
        <v>72</v>
      </c>
      <c r="B19">
        <f>PARS!B19</f>
        <v>2000</v>
      </c>
      <c r="C19">
        <f>PARS!C19</f>
        <v>2.9957322735539909</v>
      </c>
      <c r="D19">
        <f>PARS!D19</f>
        <v>2.9957322735539909</v>
      </c>
      <c r="E19" t="b">
        <f t="shared" si="0"/>
        <v>0</v>
      </c>
      <c r="F19">
        <f>PARS!K19</f>
        <v>1</v>
      </c>
      <c r="G19">
        <f>PARS!L19</f>
        <v>0</v>
      </c>
      <c r="H19">
        <f>PARS!M19</f>
        <v>0</v>
      </c>
      <c r="I19">
        <f>PARS!N19</f>
        <v>1</v>
      </c>
      <c r="J19">
        <f>PARS!O19</f>
        <v>0</v>
      </c>
      <c r="K19">
        <f>PARS!P19</f>
        <v>1</v>
      </c>
      <c r="L19">
        <f>PARS!Q19</f>
        <v>0</v>
      </c>
      <c r="M19">
        <f>PARS!R19</f>
        <v>0</v>
      </c>
      <c r="N19">
        <f>PARS!S19</f>
        <v>0</v>
      </c>
      <c r="O19">
        <f>PARS!T19</f>
        <v>1</v>
      </c>
      <c r="P19">
        <v>0.44473108790054128</v>
      </c>
      <c r="Q19">
        <f t="shared" ca="1" si="1"/>
        <v>7.9091640005553576E-2</v>
      </c>
    </row>
    <row r="20" spans="1:17" x14ac:dyDescent="0.35">
      <c r="A20" t="s">
        <v>73</v>
      </c>
      <c r="B20">
        <v>0.405465108108164</v>
      </c>
      <c r="C20">
        <f>PARS!C20</f>
        <v>0</v>
      </c>
      <c r="D20">
        <f>PARS!D20</f>
        <v>405.46510810816426</v>
      </c>
      <c r="E20" t="b">
        <f t="shared" si="0"/>
        <v>1</v>
      </c>
      <c r="F20">
        <f>PARS!K20</f>
        <v>1</v>
      </c>
      <c r="G20">
        <f>PARS!L20</f>
        <v>1</v>
      </c>
      <c r="H20">
        <f>PARS!M20</f>
        <v>0</v>
      </c>
      <c r="I20">
        <f>PARS!N20</f>
        <v>0</v>
      </c>
      <c r="J20">
        <f>PARS!O20</f>
        <v>0</v>
      </c>
      <c r="K20">
        <f>PARS!P20</f>
        <v>1</v>
      </c>
      <c r="L20">
        <f>PARS!Q20</f>
        <v>0</v>
      </c>
      <c r="M20">
        <f>PARS!R20</f>
        <v>0</v>
      </c>
      <c r="N20">
        <f>PARS!S20</f>
        <v>1</v>
      </c>
      <c r="O20">
        <f>PARS!T20</f>
        <v>1</v>
      </c>
      <c r="P20">
        <v>0.3174370251684232</v>
      </c>
      <c r="Q20">
        <f t="shared" ca="1" si="1"/>
        <v>0.87938866867028365</v>
      </c>
    </row>
    <row r="21" spans="1:17" x14ac:dyDescent="0.35">
      <c r="A21" t="s">
        <v>68</v>
      </c>
      <c r="B21">
        <v>0.58116521652964404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PARS!K21</f>
        <v>1</v>
      </c>
      <c r="G21">
        <f>PARS!L21</f>
        <v>1</v>
      </c>
      <c r="H21">
        <f>PARS!M21</f>
        <v>0</v>
      </c>
      <c r="I21">
        <f>PARS!N21</f>
        <v>0</v>
      </c>
      <c r="J21">
        <f>PARS!O21</f>
        <v>0</v>
      </c>
      <c r="K21">
        <f>PARS!P21</f>
        <v>1</v>
      </c>
      <c r="L21">
        <f>PARS!Q21</f>
        <v>0</v>
      </c>
      <c r="M21">
        <f>PARS!R21</f>
        <v>0</v>
      </c>
      <c r="N21">
        <f>PARS!S21</f>
        <v>1</v>
      </c>
      <c r="O21">
        <f>PARS!T21</f>
        <v>1</v>
      </c>
      <c r="P21">
        <v>0.17040591722738896</v>
      </c>
      <c r="Q21">
        <f t="shared" ca="1" si="1"/>
        <v>0.76407686773875072</v>
      </c>
    </row>
    <row r="22" spans="1:17" x14ac:dyDescent="0.35">
      <c r="A22" t="s">
        <v>79</v>
      </c>
      <c r="B22">
        <v>1.5727815896719699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PARS!K22</f>
        <v>0</v>
      </c>
      <c r="G22">
        <f>PARS!L22</f>
        <v>1</v>
      </c>
      <c r="H22">
        <f>PARS!M22</f>
        <v>0</v>
      </c>
      <c r="I22">
        <f>PARS!N22</f>
        <v>0</v>
      </c>
      <c r="J22">
        <f>PARS!O22</f>
        <v>0</v>
      </c>
      <c r="K22">
        <f>PARS!P22</f>
        <v>1</v>
      </c>
      <c r="L22">
        <f>PARS!Q22</f>
        <v>0</v>
      </c>
      <c r="M22">
        <f>PARS!R22</f>
        <v>0</v>
      </c>
      <c r="N22">
        <f>PARS!S22</f>
        <v>1</v>
      </c>
      <c r="O22">
        <f>PARS!T22</f>
        <v>1</v>
      </c>
      <c r="P22">
        <v>0.70575014646886558</v>
      </c>
      <c r="Q22">
        <f t="shared" ca="1" si="1"/>
        <v>0.75948115845773656</v>
      </c>
    </row>
    <row r="23" spans="1:17" x14ac:dyDescent="0.35">
      <c r="A23" t="s">
        <v>80</v>
      </c>
      <c r="B23">
        <f>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PARS!K23</f>
        <v>0</v>
      </c>
      <c r="G23">
        <f>PARS!L23</f>
        <v>0</v>
      </c>
      <c r="H23">
        <f>PARS!M23</f>
        <v>0</v>
      </c>
      <c r="I23">
        <f>PARS!N23</f>
        <v>0</v>
      </c>
      <c r="J23">
        <f>PARS!O23</f>
        <v>1</v>
      </c>
      <c r="K23">
        <f>PARS!P23</f>
        <v>1</v>
      </c>
      <c r="L23">
        <f>PARS!Q23</f>
        <v>0</v>
      </c>
      <c r="M23">
        <f>PARS!R23</f>
        <v>0</v>
      </c>
      <c r="N23">
        <f>PARS!S23</f>
        <v>0</v>
      </c>
      <c r="O23">
        <f>PARS!T23</f>
        <v>0</v>
      </c>
      <c r="P23">
        <v>0.42139635307234813</v>
      </c>
      <c r="Q23">
        <f t="shared" ca="1" si="1"/>
        <v>0.57566873190594492</v>
      </c>
    </row>
    <row r="24" spans="1:17" x14ac:dyDescent="0.35">
      <c r="A24" t="s">
        <v>190</v>
      </c>
      <c r="B24">
        <v>-0.127143713834416</v>
      </c>
      <c r="C24">
        <f>PARS!C24</f>
        <v>-0.15</v>
      </c>
      <c r="D24">
        <f>PARS!D24</f>
        <v>0.05</v>
      </c>
      <c r="E24" t="b">
        <f t="shared" si="0"/>
        <v>1</v>
      </c>
      <c r="F24">
        <f>PARS!K24</f>
        <v>0</v>
      </c>
      <c r="G24">
        <f>PARS!L24</f>
        <v>1</v>
      </c>
      <c r="H24">
        <f>PARS!M24</f>
        <v>0</v>
      </c>
      <c r="I24">
        <f>PARS!N24</f>
        <v>0</v>
      </c>
      <c r="J24">
        <f>PARS!O24</f>
        <v>0</v>
      </c>
      <c r="K24">
        <f>PARS!P24</f>
        <v>1</v>
      </c>
      <c r="L24">
        <f>PARS!Q24</f>
        <v>0</v>
      </c>
      <c r="M24">
        <f>PARS!R24</f>
        <v>0</v>
      </c>
      <c r="N24">
        <f>PARS!S24</f>
        <v>1</v>
      </c>
      <c r="O24">
        <f>PARS!T24</f>
        <v>1</v>
      </c>
      <c r="P24">
        <v>0.29415573760612745</v>
      </c>
      <c r="Q24">
        <f t="shared" ca="1" si="1"/>
        <v>0.1524632571725264</v>
      </c>
    </row>
    <row r="25" spans="1:17" x14ac:dyDescent="0.35">
      <c r="A25" t="s">
        <v>81</v>
      </c>
      <c r="B25">
        <v>0.44372505300140302</v>
      </c>
      <c r="C25">
        <f>PARS!C25</f>
        <v>0</v>
      </c>
      <c r="D25">
        <f>PARS!D25</f>
        <v>0.5</v>
      </c>
      <c r="E25" t="b">
        <f t="shared" si="0"/>
        <v>1</v>
      </c>
      <c r="F25">
        <f>PARS!K25</f>
        <v>0</v>
      </c>
      <c r="G25">
        <f>PARS!L25</f>
        <v>1</v>
      </c>
      <c r="H25">
        <f>PARS!M25</f>
        <v>0</v>
      </c>
      <c r="I25">
        <f>PARS!N25</f>
        <v>0</v>
      </c>
      <c r="J25">
        <f>PARS!O25</f>
        <v>0</v>
      </c>
      <c r="K25">
        <f>PARS!P25</f>
        <v>1</v>
      </c>
      <c r="L25">
        <f>PARS!Q25</f>
        <v>0</v>
      </c>
      <c r="M25">
        <f>PARS!R25</f>
        <v>0</v>
      </c>
      <c r="N25">
        <f>PARS!S25</f>
        <v>1</v>
      </c>
      <c r="O25">
        <f>PARS!T25</f>
        <v>1</v>
      </c>
      <c r="P25">
        <v>0.39589873077261617</v>
      </c>
      <c r="Q25">
        <f t="shared" ca="1" si="1"/>
        <v>0.78130121722027446</v>
      </c>
    </row>
    <row r="26" spans="1:17" x14ac:dyDescent="0.35">
      <c r="A26" t="s">
        <v>82</v>
      </c>
      <c r="B26">
        <v>-0.356674943938732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PARS!K26</f>
        <v>1</v>
      </c>
      <c r="G26">
        <f>PARS!L26</f>
        <v>1</v>
      </c>
      <c r="H26">
        <f>PARS!M26</f>
        <v>0</v>
      </c>
      <c r="I26">
        <f>PARS!N26</f>
        <v>0</v>
      </c>
      <c r="J26">
        <f>PARS!O26</f>
        <v>0</v>
      </c>
      <c r="K26">
        <f>PARS!P26</f>
        <v>1</v>
      </c>
      <c r="L26">
        <f>PARS!Q26</f>
        <v>0</v>
      </c>
      <c r="M26">
        <f>PARS!R26</f>
        <v>0</v>
      </c>
      <c r="N26">
        <f>PARS!S26</f>
        <v>1</v>
      </c>
      <c r="O26">
        <f>PARS!T26</f>
        <v>1</v>
      </c>
      <c r="P26">
        <v>0.85407752402478287</v>
      </c>
      <c r="Q26">
        <f t="shared" ca="1" si="1"/>
        <v>0.22328260629480745</v>
      </c>
    </row>
    <row r="27" spans="1:17" x14ac:dyDescent="0.35">
      <c r="A27" t="s">
        <v>100</v>
      </c>
      <c r="B27">
        <f>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PARS!K27</f>
        <v>0</v>
      </c>
      <c r="G27">
        <f>PARS!L27</f>
        <v>0</v>
      </c>
      <c r="H27">
        <f>PARS!M27</f>
        <v>0</v>
      </c>
      <c r="I27">
        <f>PARS!N27</f>
        <v>0</v>
      </c>
      <c r="J27">
        <f>PARS!O27</f>
        <v>1</v>
      </c>
      <c r="K27">
        <f>PARS!P27</f>
        <v>1</v>
      </c>
      <c r="L27">
        <f>PARS!Q27</f>
        <v>0</v>
      </c>
      <c r="M27">
        <f>PARS!R27</f>
        <v>0</v>
      </c>
      <c r="N27">
        <f>PARS!S27</f>
        <v>0</v>
      </c>
      <c r="O27">
        <f>PARS!T27</f>
        <v>0</v>
      </c>
      <c r="P27">
        <v>0.95518315060389447</v>
      </c>
      <c r="Q27">
        <f t="shared" ca="1" si="1"/>
        <v>0.46281723156089771</v>
      </c>
    </row>
    <row r="28" spans="1:17" x14ac:dyDescent="0.35">
      <c r="A28" t="s">
        <v>103</v>
      </c>
      <c r="B28"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PARS!K28</f>
        <v>0</v>
      </c>
      <c r="G28">
        <f>PARS!L28</f>
        <v>1</v>
      </c>
      <c r="H28">
        <f>PARS!M28</f>
        <v>0</v>
      </c>
      <c r="I28">
        <f>PARS!N28</f>
        <v>0</v>
      </c>
      <c r="J28">
        <f>PARS!O28</f>
        <v>0</v>
      </c>
      <c r="K28">
        <f>PARS!P28</f>
        <v>1</v>
      </c>
      <c r="L28">
        <f>PARS!Q28</f>
        <v>0</v>
      </c>
      <c r="M28">
        <f>PARS!R28</f>
        <v>0</v>
      </c>
      <c r="N28">
        <f>PARS!S28</f>
        <v>1</v>
      </c>
      <c r="O28">
        <f>PARS!T28</f>
        <v>1</v>
      </c>
      <c r="P28">
        <v>0.13397480163273179</v>
      </c>
      <c r="Q28">
        <f t="shared" ca="1" si="1"/>
        <v>0.64077566954345455</v>
      </c>
    </row>
    <row r="29" spans="1:17" x14ac:dyDescent="0.35">
      <c r="A29" t="s">
        <v>86</v>
      </c>
      <c r="B29">
        <v>0.15865911498930299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PARS!K29</f>
        <v>1</v>
      </c>
      <c r="G29">
        <f>PARS!L29</f>
        <v>1</v>
      </c>
      <c r="H29">
        <f>PARS!M29</f>
        <v>0</v>
      </c>
      <c r="I29">
        <f>PARS!N29</f>
        <v>0</v>
      </c>
      <c r="J29">
        <f>PARS!O29</f>
        <v>0</v>
      </c>
      <c r="K29">
        <f>PARS!P29</f>
        <v>1</v>
      </c>
      <c r="L29">
        <f>PARS!Q29</f>
        <v>0</v>
      </c>
      <c r="M29">
        <f>PARS!R29</f>
        <v>0</v>
      </c>
      <c r="N29">
        <f>PARS!S29</f>
        <v>1</v>
      </c>
      <c r="O29">
        <f>PARS!T29</f>
        <v>1</v>
      </c>
      <c r="P29">
        <v>6.4860324881191644E-2</v>
      </c>
      <c r="Q29">
        <f t="shared" ca="1" si="1"/>
        <v>0.61930641692718746</v>
      </c>
    </row>
    <row r="30" spans="1:17" x14ac:dyDescent="0.35">
      <c r="A30" t="s">
        <v>83</v>
      </c>
      <c r="B30">
        <v>0.64466835400265698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PARS!K30</f>
        <v>1</v>
      </c>
      <c r="G30">
        <f>PARS!L30</f>
        <v>1</v>
      </c>
      <c r="H30">
        <f>PARS!M30</f>
        <v>0</v>
      </c>
      <c r="I30">
        <f>PARS!N30</f>
        <v>0</v>
      </c>
      <c r="J30">
        <f>PARS!O30</f>
        <v>0</v>
      </c>
      <c r="K30">
        <f>PARS!P30</f>
        <v>1</v>
      </c>
      <c r="L30">
        <f>PARS!Q30</f>
        <v>0</v>
      </c>
      <c r="M30">
        <f>PARS!R30</f>
        <v>1</v>
      </c>
      <c r="N30">
        <f>PARS!S30</f>
        <v>1</v>
      </c>
      <c r="O30">
        <f>PARS!T30</f>
        <v>1</v>
      </c>
      <c r="P30">
        <v>0.39311826378521897</v>
      </c>
      <c r="Q30">
        <f t="shared" ca="1" si="1"/>
        <v>0.28021083742593911</v>
      </c>
    </row>
    <row r="31" spans="1:17" x14ac:dyDescent="0.35">
      <c r="A31" t="s">
        <v>84</v>
      </c>
      <c r="B31">
        <v>-1.3933629538640899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PARS!K31</f>
        <v>0</v>
      </c>
      <c r="G31">
        <f>PARS!L31</f>
        <v>1</v>
      </c>
      <c r="H31">
        <f>PARS!M31</f>
        <v>0</v>
      </c>
      <c r="I31">
        <f>PARS!N31</f>
        <v>0</v>
      </c>
      <c r="J31">
        <f>PARS!O31</f>
        <v>0</v>
      </c>
      <c r="K31">
        <f>PARS!P31</f>
        <v>1</v>
      </c>
      <c r="L31">
        <f>PARS!Q31</f>
        <v>0</v>
      </c>
      <c r="M31">
        <f>PARS!R31</f>
        <v>0</v>
      </c>
      <c r="N31">
        <f>PARS!S31</f>
        <v>1</v>
      </c>
      <c r="O31">
        <f>PARS!T31</f>
        <v>1</v>
      </c>
      <c r="P31">
        <v>0.14659968919594335</v>
      </c>
      <c r="Q31">
        <f t="shared" ca="1" si="1"/>
        <v>0.96926020052805872</v>
      </c>
    </row>
    <row r="32" spans="1:17" x14ac:dyDescent="0.35">
      <c r="A32" t="s">
        <v>85</v>
      </c>
      <c r="B32">
        <f>PARS!B32</f>
        <v>0.70559799999999995</v>
      </c>
      <c r="C32">
        <f>PARS!C32</f>
        <v>0.70559799999999995</v>
      </c>
      <c r="D32">
        <f>PARS!D32</f>
        <v>0.70559799999999995</v>
      </c>
      <c r="E32" t="b">
        <f t="shared" si="0"/>
        <v>1</v>
      </c>
      <c r="F32">
        <f>PARS!K32</f>
        <v>1</v>
      </c>
      <c r="G32">
        <f>PARS!L32</f>
        <v>0</v>
      </c>
      <c r="H32">
        <f>PARS!M32</f>
        <v>0</v>
      </c>
      <c r="I32">
        <f>PARS!N32</f>
        <v>1</v>
      </c>
      <c r="J32">
        <f>PARS!O32</f>
        <v>0</v>
      </c>
      <c r="K32">
        <f>PARS!P32</f>
        <v>1</v>
      </c>
      <c r="L32">
        <f>PARS!Q32</f>
        <v>0</v>
      </c>
      <c r="M32">
        <f>PARS!R32</f>
        <v>0</v>
      </c>
      <c r="N32">
        <f>PARS!S32</f>
        <v>0</v>
      </c>
      <c r="O32">
        <f>PARS!T32</f>
        <v>1</v>
      </c>
      <c r="P32">
        <v>0.51457617192938376</v>
      </c>
      <c r="Q32">
        <f t="shared" ca="1" si="1"/>
        <v>0.45096992937635827</v>
      </c>
    </row>
    <row r="33" spans="1:17" x14ac:dyDescent="0.35">
      <c r="A33" t="s">
        <v>87</v>
      </c>
      <c r="B33">
        <v>0.52035580519809899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PARS!K33</f>
        <v>1</v>
      </c>
      <c r="G33">
        <f>PARS!L33</f>
        <v>1</v>
      </c>
      <c r="H33">
        <f>PARS!M33</f>
        <v>0</v>
      </c>
      <c r="I33">
        <f>PARS!N33</f>
        <v>0</v>
      </c>
      <c r="J33">
        <f>PARS!O33</f>
        <v>0</v>
      </c>
      <c r="K33">
        <f>PARS!P33</f>
        <v>1</v>
      </c>
      <c r="L33">
        <f>PARS!Q33</f>
        <v>0</v>
      </c>
      <c r="M33">
        <f>PARS!R33</f>
        <v>0</v>
      </c>
      <c r="N33">
        <f>PARS!S33</f>
        <v>1</v>
      </c>
      <c r="O33">
        <f>PARS!T33</f>
        <v>1</v>
      </c>
      <c r="P33">
        <v>0.73560584996787559</v>
      </c>
      <c r="Q33">
        <f t="shared" ca="1" si="1"/>
        <v>0.8468279415590223</v>
      </c>
    </row>
    <row r="34" spans="1:17" x14ac:dyDescent="0.35">
      <c r="A34" t="s">
        <v>88</v>
      </c>
      <c r="B34">
        <v>-0.139740018170423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PARS!K34</f>
        <v>1</v>
      </c>
      <c r="G34">
        <f>PARS!L34</f>
        <v>1</v>
      </c>
      <c r="H34">
        <f>PARS!M34</f>
        <v>0</v>
      </c>
      <c r="I34">
        <f>PARS!N34</f>
        <v>0</v>
      </c>
      <c r="J34">
        <f>PARS!O34</f>
        <v>0</v>
      </c>
      <c r="K34">
        <f>PARS!P34</f>
        <v>1</v>
      </c>
      <c r="L34">
        <f>PARS!Q34</f>
        <v>0</v>
      </c>
      <c r="M34">
        <f>PARS!R34</f>
        <v>0</v>
      </c>
      <c r="N34">
        <f>PARS!S34</f>
        <v>1</v>
      </c>
      <c r="O34">
        <f>PARS!T34</f>
        <v>1</v>
      </c>
      <c r="P34">
        <v>0.4314723347972258</v>
      </c>
      <c r="Q34">
        <f t="shared" ca="1" si="1"/>
        <v>0.93972362875030768</v>
      </c>
    </row>
    <row r="35" spans="1:17" x14ac:dyDescent="0.35">
      <c r="A35" t="s">
        <v>89</v>
      </c>
      <c r="B35">
        <v>2.0588207871097302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PARS!K35</f>
        <v>1</v>
      </c>
      <c r="G35">
        <f>PARS!L35</f>
        <v>1</v>
      </c>
      <c r="H35">
        <f>PARS!M35</f>
        <v>0</v>
      </c>
      <c r="I35">
        <f>PARS!N35</f>
        <v>0</v>
      </c>
      <c r="J35">
        <f>PARS!O35</f>
        <v>0</v>
      </c>
      <c r="K35">
        <f>PARS!P35</f>
        <v>1</v>
      </c>
      <c r="L35">
        <f>PARS!Q35</f>
        <v>0</v>
      </c>
      <c r="M35">
        <f>PARS!R35</f>
        <v>0</v>
      </c>
      <c r="N35">
        <f>PARS!S35</f>
        <v>1</v>
      </c>
      <c r="O35">
        <f>PARS!T35</f>
        <v>1</v>
      </c>
      <c r="P35">
        <v>0.95444575195163173</v>
      </c>
      <c r="Q35">
        <f t="shared" ca="1" si="1"/>
        <v>0.53382881717428898</v>
      </c>
    </row>
    <row r="36" spans="1:17" x14ac:dyDescent="0.35">
      <c r="A36" t="s">
        <v>102</v>
      </c>
      <c r="B36">
        <v>2.03594486757585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PARS!K36</f>
        <v>1</v>
      </c>
      <c r="G36">
        <f>PARS!L36</f>
        <v>1</v>
      </c>
      <c r="H36">
        <f>PARS!M36</f>
        <v>0</v>
      </c>
      <c r="I36">
        <f>PARS!N36</f>
        <v>0</v>
      </c>
      <c r="J36">
        <f>PARS!O36</f>
        <v>0</v>
      </c>
      <c r="K36">
        <f>PARS!P36</f>
        <v>1</v>
      </c>
      <c r="L36">
        <f>PARS!Q36</f>
        <v>0</v>
      </c>
      <c r="M36">
        <f>PARS!R36</f>
        <v>0</v>
      </c>
      <c r="N36">
        <f>PARS!S36</f>
        <v>1</v>
      </c>
      <c r="O36">
        <f>PARS!T36</f>
        <v>1</v>
      </c>
      <c r="P36">
        <v>0.15027616064651761</v>
      </c>
      <c r="Q36">
        <f t="shared" ca="1" si="1"/>
        <v>0.55504178645313584</v>
      </c>
    </row>
    <row r="37" spans="1:17" x14ac:dyDescent="0.35">
      <c r="A37" s="5" t="s">
        <v>69</v>
      </c>
      <c r="B37">
        <v>-8.4489994325880006E-3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PARS!K37</f>
        <v>1</v>
      </c>
      <c r="G37">
        <f>PARS!L37</f>
        <v>1</v>
      </c>
      <c r="H37">
        <f>PARS!M37</f>
        <v>0</v>
      </c>
      <c r="I37">
        <f>PARS!N37</f>
        <v>0</v>
      </c>
      <c r="J37">
        <f>PARS!O37</f>
        <v>0</v>
      </c>
      <c r="K37">
        <f>PARS!P37</f>
        <v>1</v>
      </c>
      <c r="L37">
        <f>PARS!Q37</f>
        <v>0</v>
      </c>
      <c r="M37">
        <f>PARS!R37</f>
        <v>0</v>
      </c>
      <c r="N37">
        <f>PARS!S37</f>
        <v>1</v>
      </c>
      <c r="O37">
        <f>PARS!T37</f>
        <v>1</v>
      </c>
      <c r="P37">
        <v>0.24114897377650391</v>
      </c>
      <c r="Q37">
        <f t="shared" ca="1" si="1"/>
        <v>0.25597213645763606</v>
      </c>
    </row>
    <row r="38" spans="1:17" x14ac:dyDescent="0.35">
      <c r="A38" s="3" t="s">
        <v>107</v>
      </c>
      <c r="B38">
        <f>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PARS!K38</f>
        <v>0</v>
      </c>
      <c r="G38">
        <f>PARS!L38</f>
        <v>0</v>
      </c>
      <c r="H38">
        <f>PARS!M38</f>
        <v>0</v>
      </c>
      <c r="I38">
        <f>PARS!N38</f>
        <v>1</v>
      </c>
      <c r="J38">
        <f>PARS!O38</f>
        <v>0</v>
      </c>
      <c r="K38">
        <f>PARS!P38</f>
        <v>1</v>
      </c>
      <c r="L38">
        <f>PARS!Q38</f>
        <v>0</v>
      </c>
      <c r="M38">
        <f>PARS!R38</f>
        <v>0</v>
      </c>
      <c r="N38">
        <f>PARS!S38</f>
        <v>0</v>
      </c>
      <c r="O38">
        <f>PARS!T38</f>
        <v>1</v>
      </c>
      <c r="P38">
        <v>0.5751532464632032</v>
      </c>
      <c r="Q38">
        <f t="shared" ca="1" si="1"/>
        <v>0.20102240070543187</v>
      </c>
    </row>
    <row r="39" spans="1:17" x14ac:dyDescent="0.35">
      <c r="A39" t="s">
        <v>108</v>
      </c>
      <c r="B39">
        <f>PARS!B39</f>
        <v>1.8560469999999998</v>
      </c>
      <c r="C39">
        <f>PARS!C39</f>
        <v>1.8560469999999998</v>
      </c>
      <c r="D39">
        <f>PARS!D39</f>
        <v>1.8560469999999998</v>
      </c>
      <c r="E39" t="b">
        <f t="shared" si="0"/>
        <v>1</v>
      </c>
      <c r="F39">
        <f>PARS!K39</f>
        <v>0</v>
      </c>
      <c r="G39">
        <f>PARS!L39</f>
        <v>0</v>
      </c>
      <c r="H39">
        <f>PARS!M39</f>
        <v>1</v>
      </c>
      <c r="I39">
        <f>PARS!N39</f>
        <v>0</v>
      </c>
      <c r="J39">
        <f>PARS!O39</f>
        <v>0</v>
      </c>
      <c r="K39">
        <f>PARS!P39</f>
        <v>1</v>
      </c>
      <c r="L39">
        <f>PARS!Q39</f>
        <v>0</v>
      </c>
      <c r="M39">
        <f>PARS!R39</f>
        <v>0</v>
      </c>
      <c r="N39">
        <f>PARS!S39</f>
        <v>0</v>
      </c>
      <c r="O39">
        <f>PARS!T39</f>
        <v>1</v>
      </c>
      <c r="P39">
        <v>0.83052896155391343</v>
      </c>
      <c r="Q39">
        <f t="shared" ca="1" si="1"/>
        <v>0.73879337553666125</v>
      </c>
    </row>
    <row r="40" spans="1:17" x14ac:dyDescent="0.35">
      <c r="A40" t="s">
        <v>109</v>
      </c>
      <c r="B40">
        <f>PARS!B40</f>
        <v>7.2171439999999989E-2</v>
      </c>
      <c r="C40">
        <f>PARS!C40</f>
        <v>7.2171439999999989E-2</v>
      </c>
      <c r="D40">
        <f>PARS!D40</f>
        <v>7.2171439999999989E-2</v>
      </c>
      <c r="E40" t="b">
        <f t="shared" si="0"/>
        <v>1</v>
      </c>
      <c r="F40">
        <f>PARS!K40</f>
        <v>0</v>
      </c>
      <c r="G40">
        <f>PARS!L40</f>
        <v>0</v>
      </c>
      <c r="H40">
        <f>PARS!M40</f>
        <v>1</v>
      </c>
      <c r="I40">
        <f>PARS!N40</f>
        <v>0</v>
      </c>
      <c r="J40">
        <f>PARS!O40</f>
        <v>0</v>
      </c>
      <c r="K40">
        <f>PARS!P40</f>
        <v>1</v>
      </c>
      <c r="L40">
        <f>PARS!Q40</f>
        <v>0</v>
      </c>
      <c r="M40">
        <f>PARS!R40</f>
        <v>0</v>
      </c>
      <c r="N40">
        <f>PARS!S40</f>
        <v>0</v>
      </c>
      <c r="O40">
        <f>PARS!T40</f>
        <v>1</v>
      </c>
      <c r="P40">
        <v>0.57179882711031738</v>
      </c>
      <c r="Q40">
        <f t="shared" ca="1" si="1"/>
        <v>0.6055939148851196</v>
      </c>
    </row>
    <row r="41" spans="1:17" x14ac:dyDescent="0.35">
      <c r="A41" t="s">
        <v>105</v>
      </c>
      <c r="B41">
        <f>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PARS!K41</f>
        <v>0</v>
      </c>
      <c r="G41">
        <f>PARS!L41</f>
        <v>0</v>
      </c>
      <c r="H41">
        <f>PARS!M41</f>
        <v>0</v>
      </c>
      <c r="I41">
        <f>PARS!N41</f>
        <v>1</v>
      </c>
      <c r="J41">
        <f>PARS!O41</f>
        <v>0</v>
      </c>
      <c r="K41">
        <f>PARS!P41</f>
        <v>1</v>
      </c>
      <c r="L41">
        <f>PARS!Q41</f>
        <v>0</v>
      </c>
      <c r="M41">
        <f>PARS!R41</f>
        <v>0</v>
      </c>
      <c r="N41">
        <f>PARS!S41</f>
        <v>0</v>
      </c>
      <c r="O41">
        <f>PARS!T41</f>
        <v>1</v>
      </c>
      <c r="P41">
        <v>9.6052509766449634E-2</v>
      </c>
      <c r="Q41">
        <f t="shared" ca="1" si="1"/>
        <v>0.57584528376472977</v>
      </c>
    </row>
    <row r="42" spans="1:17" s="3" customFormat="1" x14ac:dyDescent="0.35">
      <c r="A42" t="s">
        <v>110</v>
      </c>
      <c r="B42">
        <f>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PARS!K42</f>
        <v>0</v>
      </c>
      <c r="G42">
        <f>PARS!L42</f>
        <v>0</v>
      </c>
      <c r="H42">
        <f>PARS!M42</f>
        <v>0</v>
      </c>
      <c r="I42">
        <f>PARS!N42</f>
        <v>0</v>
      </c>
      <c r="J42">
        <f>PARS!O42</f>
        <v>1</v>
      </c>
      <c r="K42">
        <f>PARS!P42</f>
        <v>1</v>
      </c>
      <c r="L42">
        <f>PARS!Q42</f>
        <v>0</v>
      </c>
      <c r="M42">
        <f>PARS!R42</f>
        <v>0</v>
      </c>
      <c r="N42">
        <f>PARS!S42</f>
        <v>0</v>
      </c>
      <c r="O42">
        <f>PARS!T42</f>
        <v>0</v>
      </c>
      <c r="P42">
        <v>0.45865485006919537</v>
      </c>
      <c r="Q42">
        <f t="shared" ca="1" si="1"/>
        <v>0.54069817721278968</v>
      </c>
    </row>
    <row r="43" spans="1:17" x14ac:dyDescent="0.35">
      <c r="A43" t="s">
        <v>90</v>
      </c>
      <c r="B43">
        <f>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PARS!K43</f>
        <v>0</v>
      </c>
      <c r="G43">
        <f>PARS!L43</f>
        <v>0</v>
      </c>
      <c r="H43">
        <f>PARS!M43</f>
        <v>0</v>
      </c>
      <c r="I43">
        <f>PARS!N43</f>
        <v>0</v>
      </c>
      <c r="J43">
        <f>PARS!O43</f>
        <v>1</v>
      </c>
      <c r="K43">
        <f>PARS!P43</f>
        <v>1</v>
      </c>
      <c r="L43">
        <f>PARS!Q43</f>
        <v>0</v>
      </c>
      <c r="M43">
        <f>PARS!R43</f>
        <v>0</v>
      </c>
      <c r="N43">
        <f>PARS!S43</f>
        <v>0</v>
      </c>
      <c r="O43">
        <f>PARS!T43</f>
        <v>0</v>
      </c>
      <c r="P43">
        <v>0.9123383309457741</v>
      </c>
      <c r="Q43">
        <f t="shared" ca="1" si="1"/>
        <v>0.59457379277817102</v>
      </c>
    </row>
    <row r="44" spans="1:17" x14ac:dyDescent="0.35">
      <c r="A44" t="s">
        <v>91</v>
      </c>
      <c r="B44">
        <f>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PARS!K44</f>
        <v>0</v>
      </c>
      <c r="G44">
        <f>PARS!L44</f>
        <v>0</v>
      </c>
      <c r="H44">
        <f>PARS!M44</f>
        <v>0</v>
      </c>
      <c r="I44">
        <f>PARS!N44</f>
        <v>0</v>
      </c>
      <c r="J44">
        <f>PARS!O44</f>
        <v>1</v>
      </c>
      <c r="K44">
        <f>PARS!P44</f>
        <v>1</v>
      </c>
      <c r="L44">
        <f>PARS!Q44</f>
        <v>0</v>
      </c>
      <c r="M44">
        <f>PARS!R44</f>
        <v>0</v>
      </c>
      <c r="N44">
        <f>PARS!S44</f>
        <v>0</v>
      </c>
      <c r="O44">
        <f>PARS!T44</f>
        <v>0</v>
      </c>
      <c r="P44">
        <v>1.6941175439559863E-3</v>
      </c>
      <c r="Q44">
        <f t="shared" ca="1" si="1"/>
        <v>0.32841458857307759</v>
      </c>
    </row>
    <row r="45" spans="1:17" x14ac:dyDescent="0.35">
      <c r="A45" t="s">
        <v>101</v>
      </c>
      <c r="B45">
        <f>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PARS!K45</f>
        <v>0</v>
      </c>
      <c r="G45">
        <f>PARS!L45</f>
        <v>0</v>
      </c>
      <c r="H45">
        <f>PARS!M45</f>
        <v>0</v>
      </c>
      <c r="I45">
        <f>PARS!N45</f>
        <v>0</v>
      </c>
      <c r="J45">
        <f>PARS!O45</f>
        <v>1</v>
      </c>
      <c r="K45">
        <f>PARS!P45</f>
        <v>1</v>
      </c>
      <c r="L45">
        <f>PARS!Q45</f>
        <v>0</v>
      </c>
      <c r="M45">
        <f>PARS!R45</f>
        <v>0</v>
      </c>
      <c r="N45">
        <f>PARS!S45</f>
        <v>0</v>
      </c>
      <c r="O45">
        <f>PARS!T45</f>
        <v>0</v>
      </c>
      <c r="P45">
        <v>0.2115941042882471</v>
      </c>
      <c r="Q45">
        <f t="shared" ca="1" si="1"/>
        <v>0.27596632728574133</v>
      </c>
    </row>
    <row r="46" spans="1:17" x14ac:dyDescent="0.35">
      <c r="A46" t="s">
        <v>104</v>
      </c>
      <c r="B46">
        <f>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PARS!K46</f>
        <v>0</v>
      </c>
      <c r="G46">
        <f>PARS!L46</f>
        <v>0</v>
      </c>
      <c r="H46">
        <f>PARS!M46</f>
        <v>0</v>
      </c>
      <c r="I46">
        <f>PARS!N46</f>
        <v>0</v>
      </c>
      <c r="J46">
        <f>PARS!O46</f>
        <v>1</v>
      </c>
      <c r="K46">
        <f>PARS!P46</f>
        <v>1</v>
      </c>
      <c r="L46">
        <f>PARS!Q46</f>
        <v>0</v>
      </c>
      <c r="M46">
        <f>PARS!R46</f>
        <v>0</v>
      </c>
      <c r="N46">
        <f>PARS!S46</f>
        <v>0</v>
      </c>
      <c r="O46">
        <f>PARS!T46</f>
        <v>0</v>
      </c>
      <c r="P46">
        <v>0.72975034123159543</v>
      </c>
      <c r="Q46">
        <f t="shared" ca="1" si="1"/>
        <v>0.90634078456378531</v>
      </c>
    </row>
    <row r="47" spans="1:17" x14ac:dyDescent="0.35">
      <c r="A47" t="s">
        <v>252</v>
      </c>
      <c r="B47">
        <f>PARS!B47</f>
        <v>3.5</v>
      </c>
      <c r="C47">
        <f>PARS!C47</f>
        <v>3.5</v>
      </c>
      <c r="D47">
        <f>PARS!D47</f>
        <v>3.5</v>
      </c>
      <c r="E47" t="b">
        <f t="shared" ref="E47" si="2">AND(D47&gt;=B47,B47&gt;=C47,D47&gt;=C47)</f>
        <v>1</v>
      </c>
      <c r="F47">
        <f>PARS!K47</f>
        <v>0</v>
      </c>
      <c r="G47">
        <f>PARS!L47</f>
        <v>0</v>
      </c>
      <c r="H47">
        <f>PARS!M47</f>
        <v>0</v>
      </c>
      <c r="I47">
        <f>PARS!N47</f>
        <v>0</v>
      </c>
      <c r="J47">
        <f>PARS!O47</f>
        <v>0</v>
      </c>
      <c r="K47">
        <f>PARS!P47</f>
        <v>0</v>
      </c>
      <c r="L47">
        <f>PARS!Q47</f>
        <v>0</v>
      </c>
      <c r="M47">
        <f>PARS!R47</f>
        <v>0</v>
      </c>
      <c r="N47">
        <f>PARS!S47</f>
        <v>0</v>
      </c>
      <c r="O47">
        <f>PARS!T47</f>
        <v>0</v>
      </c>
      <c r="P47">
        <v>1.7297503412316</v>
      </c>
      <c r="Q47">
        <f t="shared" ca="1" si="1"/>
        <v>0.69354211169149371</v>
      </c>
    </row>
    <row r="48" spans="1:17" x14ac:dyDescent="0.35">
      <c r="A48" t="s">
        <v>179</v>
      </c>
      <c r="B48">
        <f>PARS!B48</f>
        <v>1.0696163149411613</v>
      </c>
      <c r="C48">
        <f>PARS!C48</f>
        <v>1.0696163149411613</v>
      </c>
      <c r="D48">
        <f>PARS!D48</f>
        <v>1.0696163149411613</v>
      </c>
      <c r="E48" t="b">
        <f t="shared" si="0"/>
        <v>1</v>
      </c>
      <c r="F48">
        <f>PARS!K48</f>
        <v>0</v>
      </c>
      <c r="G48">
        <f>PARS!L48</f>
        <v>0</v>
      </c>
      <c r="H48">
        <f>PARS!M48</f>
        <v>0</v>
      </c>
      <c r="I48">
        <f>PARS!N48</f>
        <v>0</v>
      </c>
      <c r="J48">
        <f>PARS!O48</f>
        <v>1</v>
      </c>
      <c r="K48">
        <f>PARS!P48</f>
        <v>1</v>
      </c>
      <c r="L48">
        <f>PARS!Q48</f>
        <v>0</v>
      </c>
      <c r="M48">
        <f>PARS!R48</f>
        <v>0</v>
      </c>
      <c r="N48">
        <f>PARS!S48</f>
        <v>0</v>
      </c>
      <c r="O48">
        <f>PARS!T48</f>
        <v>0</v>
      </c>
      <c r="P48">
        <v>0.80782005028098203</v>
      </c>
      <c r="Q48">
        <f t="shared" ca="1" si="1"/>
        <v>0.35290222503377955</v>
      </c>
    </row>
    <row r="49" spans="1:17" x14ac:dyDescent="0.35">
      <c r="A49" t="s">
        <v>180</v>
      </c>
      <c r="B49">
        <f>PARS!B49</f>
        <v>0.99381918034015848</v>
      </c>
      <c r="C49">
        <f>PARS!C49</f>
        <v>0.99381918034015848</v>
      </c>
      <c r="D49">
        <f>PARS!D49</f>
        <v>0.99381918034015848</v>
      </c>
      <c r="E49" t="b">
        <f t="shared" si="0"/>
        <v>1</v>
      </c>
      <c r="F49">
        <f>PARS!K49</f>
        <v>0</v>
      </c>
      <c r="G49">
        <f>PARS!L49</f>
        <v>0</v>
      </c>
      <c r="H49">
        <f>PARS!M49</f>
        <v>0</v>
      </c>
      <c r="I49">
        <f>PARS!N49</f>
        <v>0</v>
      </c>
      <c r="J49">
        <f>PARS!O49</f>
        <v>1</v>
      </c>
      <c r="K49">
        <f>PARS!P49</f>
        <v>1</v>
      </c>
      <c r="L49">
        <f>PARS!Q49</f>
        <v>0</v>
      </c>
      <c r="M49">
        <f>PARS!R49</f>
        <v>0</v>
      </c>
      <c r="N49">
        <f>PARS!S49</f>
        <v>0</v>
      </c>
      <c r="O49">
        <f>PARS!T49</f>
        <v>0</v>
      </c>
      <c r="P49">
        <v>7.2670121740322058E-2</v>
      </c>
      <c r="Q49">
        <f t="shared" ca="1" si="1"/>
        <v>0.80945677398141924</v>
      </c>
    </row>
    <row r="50" spans="1:17" x14ac:dyDescent="0.35">
      <c r="A50" t="s">
        <v>181</v>
      </c>
      <c r="B50">
        <f>PARS!B50</f>
        <v>0.9618468890261952</v>
      </c>
      <c r="C50">
        <f>PARS!C50</f>
        <v>0.9618468890261952</v>
      </c>
      <c r="D50">
        <f>PARS!D50</f>
        <v>0.9618468890261952</v>
      </c>
      <c r="E50" t="b">
        <f t="shared" si="0"/>
        <v>1</v>
      </c>
      <c r="F50">
        <f>PARS!K50</f>
        <v>0</v>
      </c>
      <c r="G50">
        <f>PARS!L50</f>
        <v>0</v>
      </c>
      <c r="H50">
        <f>PARS!M50</f>
        <v>0</v>
      </c>
      <c r="I50">
        <f>PARS!N50</f>
        <v>0</v>
      </c>
      <c r="J50">
        <f>PARS!O50</f>
        <v>1</v>
      </c>
      <c r="K50">
        <f>PARS!P50</f>
        <v>1</v>
      </c>
      <c r="L50">
        <f>PARS!Q50</f>
        <v>0</v>
      </c>
      <c r="M50">
        <f>PARS!R50</f>
        <v>0</v>
      </c>
      <c r="N50">
        <f>PARS!S50</f>
        <v>0</v>
      </c>
      <c r="O50">
        <f>PARS!T50</f>
        <v>0</v>
      </c>
      <c r="P50">
        <v>0.14486889267994729</v>
      </c>
      <c r="Q50">
        <f t="shared" ca="1" si="1"/>
        <v>0.43087107932205759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0"/>
  <sheetViews>
    <sheetView topLeftCell="A15" zoomScale="57" zoomScaleNormal="43" workbookViewId="0">
      <selection activeCell="E33" sqref="E33:E34"/>
    </sheetView>
  </sheetViews>
  <sheetFormatPr defaultRowHeight="14.5" x14ac:dyDescent="0.35"/>
  <cols>
    <col min="2" max="2" width="21.90625" bestFit="1" customWidth="1"/>
    <col min="3" max="3" width="6.36328125" customWidth="1"/>
    <col min="4" max="4" width="21.90625" bestFit="1" customWidth="1"/>
    <col min="5" max="5" width="25.453125" style="17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21.03734690643789</v>
      </c>
      <c r="C2">
        <f>F2</f>
        <v>21.03734690643789</v>
      </c>
      <c r="D2">
        <f>G2</f>
        <v>21.03734690643789</v>
      </c>
      <c r="E2" s="17">
        <v>21.03734690643789</v>
      </c>
      <c r="F2">
        <f>E2</f>
        <v>21.03734690643789</v>
      </c>
      <c r="G2">
        <f>E2</f>
        <v>21.03734690643789</v>
      </c>
      <c r="H2">
        <v>999</v>
      </c>
      <c r="I2">
        <v>0</v>
      </c>
      <c r="J2">
        <f>1</f>
        <v>1</v>
      </c>
      <c r="N2">
        <v>1</v>
      </c>
      <c r="P2">
        <f t="shared" ref="P2:P50" si="0">SUM(L2:O2)</f>
        <v>1</v>
      </c>
      <c r="S2">
        <f t="shared" ref="S2:S50" si="1">L2-Q2</f>
        <v>0</v>
      </c>
      <c r="T2">
        <f t="shared" ref="T2:T50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-0.22314355131420971</v>
      </c>
      <c r="C4" s="7">
        <f>LN(F4)</f>
        <v>-0.51082562376599072</v>
      </c>
      <c r="D4" s="7">
        <f>LN(G4)</f>
        <v>0.18232155679395459</v>
      </c>
      <c r="E4" s="17">
        <v>0.8</v>
      </c>
      <c r="F4">
        <v>0.6</v>
      </c>
      <c r="G4">
        <v>1.2</v>
      </c>
      <c r="H4">
        <v>1</v>
      </c>
      <c r="I4">
        <v>1</v>
      </c>
      <c r="J4">
        <f>1/E4</f>
        <v>1.25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</v>
      </c>
    </row>
    <row r="5" spans="1:22" x14ac:dyDescent="0.35">
      <c r="A5" t="s">
        <v>76</v>
      </c>
      <c r="B5" s="7">
        <f>LN(E5)</f>
        <v>-0.22314355131420971</v>
      </c>
      <c r="C5">
        <f>C4</f>
        <v>-0.51082562376599072</v>
      </c>
      <c r="D5">
        <f>D4</f>
        <v>0.18232155679395459</v>
      </c>
      <c r="E5" s="17">
        <f>E4</f>
        <v>0.8</v>
      </c>
      <c r="F5">
        <v>0.6</v>
      </c>
      <c r="G5">
        <v>1.2</v>
      </c>
      <c r="H5">
        <v>1</v>
      </c>
      <c r="I5">
        <v>1</v>
      </c>
      <c r="J5">
        <f>1/E5</f>
        <v>1.25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106</v>
      </c>
      <c r="B6">
        <f>LOG(E6)</f>
        <v>0.20836072497837904</v>
      </c>
      <c r="C6">
        <f>B6</f>
        <v>0.20836072497837904</v>
      </c>
      <c r="D6">
        <f>B6</f>
        <v>0.20836072497837904</v>
      </c>
      <c r="E6" s="17">
        <v>1.6156999999999999</v>
      </c>
      <c r="F6">
        <v>1.5904813099999999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74</v>
      </c>
      <c r="B7">
        <f t="shared" ref="B7:D9" si="3">LN(E7)</f>
        <v>-1.4323382996212974</v>
      </c>
      <c r="C7">
        <f t="shared" si="3"/>
        <v>-2.3025850929940455</v>
      </c>
      <c r="D7">
        <f t="shared" si="3"/>
        <v>-0.916290731874155</v>
      </c>
      <c r="E7" s="17">
        <f>0.191/0.8</f>
        <v>0.23874999999999999</v>
      </c>
      <c r="F7">
        <v>0.1</v>
      </c>
      <c r="G7">
        <v>0.4</v>
      </c>
      <c r="H7">
        <v>1.1000000000000001</v>
      </c>
      <c r="I7">
        <v>1.1000000000000001</v>
      </c>
      <c r="J7">
        <f>1/E7</f>
        <v>4.1884816753926701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0.23874999999999999</v>
      </c>
    </row>
    <row r="8" spans="1:22" x14ac:dyDescent="0.35">
      <c r="A8" t="s">
        <v>92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 s="17">
        <v>1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1</v>
      </c>
    </row>
    <row r="9" spans="1:22" x14ac:dyDescent="0.35">
      <c r="A9" t="s">
        <v>93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 s="17">
        <v>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0.25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</v>
      </c>
    </row>
    <row r="10" spans="1:22" x14ac:dyDescent="0.35">
      <c r="A10" t="s">
        <v>98</v>
      </c>
      <c r="B10">
        <f>LN(E10)</f>
        <v>0</v>
      </c>
      <c r="C10">
        <f>C4</f>
        <v>-0.51082562376599072</v>
      </c>
      <c r="D10">
        <f>D4</f>
        <v>0.18232155679395459</v>
      </c>
      <c r="E10" s="17">
        <v>1</v>
      </c>
      <c r="F10">
        <f>F4</f>
        <v>0.6</v>
      </c>
      <c r="G10">
        <f>G4</f>
        <v>1.2</v>
      </c>
      <c r="H10">
        <v>1.1000000000000001</v>
      </c>
      <c r="I10">
        <v>1.1000000000000001</v>
      </c>
      <c r="J10">
        <f t="shared" si="5"/>
        <v>1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95</v>
      </c>
      <c r="B11">
        <f>LN(E11)</f>
        <v>-1.8703217532696195</v>
      </c>
      <c r="C11">
        <f>LN(F11)</f>
        <v>-2.093465304583829</v>
      </c>
      <c r="D11">
        <f>LN(G11)</f>
        <v>-1.1771745727096741</v>
      </c>
      <c r="E11" s="17">
        <v>0.15407408</v>
      </c>
      <c r="F11">
        <f>E11*0.8</f>
        <v>0.12325926400000001</v>
      </c>
      <c r="G11">
        <f>E11*2</f>
        <v>0.30814816</v>
      </c>
      <c r="H11">
        <v>1.2</v>
      </c>
      <c r="I11">
        <v>1.1499999999999999</v>
      </c>
      <c r="J11">
        <f t="shared" si="5"/>
        <v>6.4903843657544478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0.15407408</v>
      </c>
    </row>
    <row r="12" spans="1:22" x14ac:dyDescent="0.35">
      <c r="A12" t="s">
        <v>94</v>
      </c>
      <c r="B12">
        <f>-LN(1/E12 -1)</f>
        <v>0.66388228523152282</v>
      </c>
      <c r="C12">
        <f>-LN(1/F12 -1)</f>
        <v>-0.40790273033909435</v>
      </c>
      <c r="D12">
        <f>-LN(1/G12 -1)</f>
        <v>1.0551933911457412</v>
      </c>
      <c r="E12" s="17">
        <v>0.66013195000000002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4.4571670099049943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0.66013195000000002</v>
      </c>
    </row>
    <row r="13" spans="1:22" x14ac:dyDescent="0.35">
      <c r="A13" t="s">
        <v>97</v>
      </c>
      <c r="B13">
        <f>LN(E13)</f>
        <v>-8.9025505804146685E-2</v>
      </c>
      <c r="C13">
        <f>F13</f>
        <v>0.62810999999999995</v>
      </c>
      <c r="D13">
        <f>G13</f>
        <v>1.16649</v>
      </c>
      <c r="E13" s="17"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99</v>
      </c>
      <c r="B14">
        <f>LN(E14)</f>
        <v>0.25702382969694959</v>
      </c>
      <c r="C14">
        <f>B14*0.7</f>
        <v>0.17991668078786471</v>
      </c>
      <c r="D14">
        <f>B14*1.3</f>
        <v>0.33413097860603447</v>
      </c>
      <c r="E14" s="17">
        <v>1.29307594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0.77334978485486316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70</v>
      </c>
      <c r="B15">
        <f>LN(E15)</f>
        <v>-2.3633295407393207</v>
      </c>
      <c r="C15">
        <f>LN(F15)</f>
        <v>-2.5836226227271579</v>
      </c>
      <c r="D15">
        <f>LN(G15)</f>
        <v>-2.5836226227271579</v>
      </c>
      <c r="E15" s="17">
        <v>9.4106369999999995E-2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10.626273226775192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9.4106369999999981E-2</v>
      </c>
    </row>
    <row r="16" spans="1:22" x14ac:dyDescent="0.35">
      <c r="A16" t="s">
        <v>77</v>
      </c>
      <c r="B16">
        <f>LN(-E16)</f>
        <v>-1.4146938356415886</v>
      </c>
      <c r="C16">
        <f>LN(-G16)</f>
        <v>-2.3025850929940455</v>
      </c>
      <c r="D16">
        <f>LN(-F16)</f>
        <v>-1.1647520911726548</v>
      </c>
      <c r="E16" s="17">
        <v>-0.24299999999999999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-4.1152263374485596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-0.24299999999999999</v>
      </c>
    </row>
    <row r="17" spans="1:26" x14ac:dyDescent="0.35">
      <c r="A17" t="s">
        <v>96</v>
      </c>
      <c r="B17">
        <f t="shared" ref="B17:D18" si="6">LN(E17)</f>
        <v>-0.41551544396166579</v>
      </c>
      <c r="C17">
        <f t="shared" si="6"/>
        <v>-1.2039728043259361</v>
      </c>
      <c r="D17">
        <f t="shared" si="6"/>
        <v>-0.43078291609245423</v>
      </c>
      <c r="E17" s="17">
        <v>0.66</v>
      </c>
      <c r="F17">
        <v>0.3</v>
      </c>
      <c r="G17">
        <v>0.65</v>
      </c>
      <c r="H17">
        <v>4.0999999999999996</v>
      </c>
      <c r="I17">
        <v>4.0999999999999996</v>
      </c>
      <c r="J17">
        <f t="shared" si="5"/>
        <v>1.5151515151515151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0.66</v>
      </c>
    </row>
    <row r="18" spans="1:26" x14ac:dyDescent="0.35">
      <c r="A18" t="s">
        <v>71</v>
      </c>
      <c r="B18">
        <f t="shared" si="6"/>
        <v>1.9878743481543455</v>
      </c>
      <c r="C18">
        <f t="shared" si="6"/>
        <v>1.6094379124341003</v>
      </c>
      <c r="D18">
        <f t="shared" si="6"/>
        <v>2.341805806147327</v>
      </c>
      <c r="E18" s="17">
        <v>7.3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0.13698630136986301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7.3000000000000007</v>
      </c>
    </row>
    <row r="19" spans="1:26" x14ac:dyDescent="0.35">
      <c r="A19" s="6" t="s">
        <v>72</v>
      </c>
      <c r="B19">
        <f>E19</f>
        <v>2000</v>
      </c>
      <c r="C19">
        <f>LN(F19/100)</f>
        <v>2.9957322735539909</v>
      </c>
      <c r="D19">
        <f>LN(G19/100)</f>
        <v>2.9957322735539909</v>
      </c>
      <c r="E19" s="17">
        <v>2000</v>
      </c>
      <c r="F19">
        <v>2000</v>
      </c>
      <c r="G19">
        <v>2000</v>
      </c>
      <c r="H19">
        <v>999.5</v>
      </c>
      <c r="I19">
        <v>4.0999999999999996</v>
      </c>
      <c r="J19">
        <f>1</f>
        <v>1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</row>
    <row r="20" spans="1:26" x14ac:dyDescent="0.35">
      <c r="A20" t="s">
        <v>73</v>
      </c>
      <c r="B20">
        <f>-LN(1/E20 -1)*1000</f>
        <v>24.401210673453068</v>
      </c>
      <c r="C20">
        <f t="shared" ref="C20:D20" si="7">-LN(1/F20 -1)*1000</f>
        <v>0</v>
      </c>
      <c r="D20">
        <f t="shared" si="7"/>
        <v>405.46510810816426</v>
      </c>
      <c r="E20" s="17">
        <v>0.50609999999999999</v>
      </c>
      <c r="F20">
        <v>0.5</v>
      </c>
      <c r="G20">
        <v>0.6</v>
      </c>
      <c r="H20">
        <v>4.0999999999999996</v>
      </c>
      <c r="I20">
        <v>4.0999999999999996</v>
      </c>
      <c r="J20">
        <f>1000/(E20*(1-E20))</f>
        <v>4000.5954486265737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1/(1+EXP(-B20/1000))</f>
        <v>0.50609999999999999</v>
      </c>
      <c r="W20" t="s">
        <v>247</v>
      </c>
      <c r="Y20">
        <f>0.02020068</f>
        <v>2.0200679999999999E-2</v>
      </c>
      <c r="Z20" s="16">
        <f>1/(1+EXP(-Y20))</f>
        <v>0.50504999827283203</v>
      </c>
    </row>
    <row r="21" spans="1:26" x14ac:dyDescent="0.35">
      <c r="A21" t="s">
        <v>68</v>
      </c>
      <c r="B21">
        <f>LN(E21/10)</f>
        <v>0.42526773540434409</v>
      </c>
      <c r="C21">
        <f>LN(F21/10)</f>
        <v>0.37156355643248301</v>
      </c>
      <c r="D21">
        <f>LN(G21/10)</f>
        <v>0.61518563909023349</v>
      </c>
      <c r="E21" s="17">
        <v>15.3</v>
      </c>
      <c r="F21">
        <v>14.5</v>
      </c>
      <c r="G21">
        <v>18.5</v>
      </c>
      <c r="H21">
        <v>4</v>
      </c>
      <c r="I21">
        <v>4</v>
      </c>
      <c r="J21">
        <f t="shared" si="5"/>
        <v>6.535947712418301E-2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15.3</v>
      </c>
    </row>
    <row r="22" spans="1:26" x14ac:dyDescent="0.35">
      <c r="A22" t="s">
        <v>79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 s="17"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6" x14ac:dyDescent="0.35">
      <c r="A23" t="s">
        <v>80</v>
      </c>
      <c r="B23">
        <v>0</v>
      </c>
      <c r="C23">
        <v>0</v>
      </c>
      <c r="D23">
        <v>0</v>
      </c>
      <c r="E23" s="17"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6" x14ac:dyDescent="0.35">
      <c r="A24" t="s">
        <v>190</v>
      </c>
      <c r="B24">
        <f t="shared" ref="B24:D25" si="8">E24</f>
        <v>-1.6E-2</v>
      </c>
      <c r="C24">
        <f t="shared" si="8"/>
        <v>-0.15</v>
      </c>
      <c r="D24">
        <f t="shared" si="8"/>
        <v>0.05</v>
      </c>
      <c r="E24" s="17">
        <v>-1.6E-2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6" x14ac:dyDescent="0.35">
      <c r="A25" t="s">
        <v>81</v>
      </c>
      <c r="B25">
        <f t="shared" si="8"/>
        <v>0.17499999999999999</v>
      </c>
      <c r="C25">
        <f t="shared" si="8"/>
        <v>0</v>
      </c>
      <c r="D25">
        <f t="shared" si="8"/>
        <v>0.5</v>
      </c>
      <c r="E25" s="17">
        <v>0.17499999999999999</v>
      </c>
      <c r="F25">
        <v>0</v>
      </c>
      <c r="G25">
        <v>0.5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6" x14ac:dyDescent="0.35">
      <c r="A26" t="s">
        <v>82</v>
      </c>
      <c r="B26">
        <f>LN(E26)</f>
        <v>-0.51082562376599072</v>
      </c>
      <c r="C26">
        <f>LN(F26)</f>
        <v>-0.35667494393873245</v>
      </c>
      <c r="D26">
        <f>LN(G26)</f>
        <v>1.0986122886681098</v>
      </c>
      <c r="E26" s="17">
        <v>0.6</v>
      </c>
      <c r="F26">
        <v>0.7</v>
      </c>
      <c r="G26">
        <v>3</v>
      </c>
      <c r="H26">
        <v>4.0549999999999997</v>
      </c>
      <c r="I26">
        <v>4</v>
      </c>
      <c r="J26">
        <f t="shared" ref="J26" si="9">1/E26</f>
        <v>1.6666666666666667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0.6</v>
      </c>
    </row>
    <row r="27" spans="1:26" x14ac:dyDescent="0.35">
      <c r="A27" t="s">
        <v>100</v>
      </c>
      <c r="B27">
        <v>0</v>
      </c>
      <c r="C27">
        <v>0</v>
      </c>
      <c r="D27">
        <v>0</v>
      </c>
      <c r="E27" s="17"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6" x14ac:dyDescent="0.35">
      <c r="A28" t="s">
        <v>103</v>
      </c>
      <c r="B28">
        <v>4.2000000000000003E-2</v>
      </c>
      <c r="C28">
        <v>4.2000000000000003E-2</v>
      </c>
      <c r="D28">
        <v>4.2000000000000003E-2</v>
      </c>
      <c r="E28" s="17">
        <v>4.2000000000000003E-2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6" x14ac:dyDescent="0.35">
      <c r="A29" t="s">
        <v>86</v>
      </c>
      <c r="B29">
        <f t="shared" ref="B29:D30" si="10">LN(E29)</f>
        <v>0.87546873735389985</v>
      </c>
      <c r="C29">
        <f t="shared" si="10"/>
        <v>0</v>
      </c>
      <c r="D29">
        <f t="shared" si="10"/>
        <v>2.3025850929940459</v>
      </c>
      <c r="E29" s="17">
        <v>2.4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1">1/E29</f>
        <v>0.41666666666666669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2.4</v>
      </c>
    </row>
    <row r="30" spans="1:26" x14ac:dyDescent="0.35">
      <c r="A30" t="s">
        <v>83</v>
      </c>
      <c r="B30">
        <f t="shared" si="10"/>
        <v>0.91629073187415511</v>
      </c>
      <c r="C30">
        <f t="shared" si="10"/>
        <v>0.58778666490211906</v>
      </c>
      <c r="D30">
        <f t="shared" si="10"/>
        <v>1.3862943611198906</v>
      </c>
      <c r="E30" s="17"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1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6" x14ac:dyDescent="0.35">
      <c r="A31" t="s">
        <v>84</v>
      </c>
      <c r="B31">
        <f t="shared" ref="B31:D31" si="12">-LN(1/E31 -1)</f>
        <v>-0.99462257514406194</v>
      </c>
      <c r="C31">
        <f t="shared" si="12"/>
        <v>-2.1972245773362196</v>
      </c>
      <c r="D31">
        <f t="shared" si="12"/>
        <v>6.9067547786484651</v>
      </c>
      <c r="E31" s="17">
        <v>0.27</v>
      </c>
      <c r="F31">
        <v>0.1</v>
      </c>
      <c r="G31">
        <v>0.999</v>
      </c>
      <c r="H31">
        <v>5.01</v>
      </c>
      <c r="I31">
        <v>5.03</v>
      </c>
      <c r="J31">
        <f>1/(E31*(1-E31))</f>
        <v>5.0735667174023336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0.27</v>
      </c>
    </row>
    <row r="32" spans="1:26" x14ac:dyDescent="0.35">
      <c r="A32" t="s">
        <v>85</v>
      </c>
      <c r="B32">
        <f>E32</f>
        <v>0.70559799999999995</v>
      </c>
      <c r="C32">
        <f>F32</f>
        <v>0.70559799999999995</v>
      </c>
      <c r="D32">
        <f>G32</f>
        <v>0.70559799999999995</v>
      </c>
      <c r="E32" s="17">
        <v>0.70559799999999995</v>
      </c>
      <c r="F32">
        <f>E32</f>
        <v>0.70559799999999995</v>
      </c>
      <c r="G32">
        <f>F32</f>
        <v>0.70559799999999995</v>
      </c>
      <c r="H32">
        <v>999.5</v>
      </c>
      <c r="I32">
        <v>5.04</v>
      </c>
      <c r="J32">
        <f>1/(E32*(1-E32))</f>
        <v>4.8139536321221215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0.66942775013665978</v>
      </c>
    </row>
    <row r="33" spans="1:22" x14ac:dyDescent="0.35">
      <c r="A33" t="s">
        <v>87</v>
      </c>
      <c r="B33">
        <f t="shared" ref="B33:D36" si="13">LN(E33)</f>
        <v>-0.3285040669720361</v>
      </c>
      <c r="C33">
        <f t="shared" si="13"/>
        <v>-2.3025850929940455</v>
      </c>
      <c r="D33">
        <f t="shared" si="13"/>
        <v>0.69314718055994529</v>
      </c>
      <c r="E33" s="17">
        <v>0.72</v>
      </c>
      <c r="F33">
        <v>0.1</v>
      </c>
      <c r="G33">
        <v>2</v>
      </c>
      <c r="H33">
        <v>6</v>
      </c>
      <c r="I33">
        <v>6</v>
      </c>
      <c r="J33">
        <f t="shared" ref="J33:J36" si="14">1/E33</f>
        <v>1.3888888888888888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0.72</v>
      </c>
    </row>
    <row r="34" spans="1:22" x14ac:dyDescent="0.35">
      <c r="A34" t="s">
        <v>88</v>
      </c>
      <c r="B34">
        <f t="shared" si="13"/>
        <v>-0.2744368457017603</v>
      </c>
      <c r="C34">
        <f t="shared" si="13"/>
        <v>-0.71334988787746489</v>
      </c>
      <c r="D34">
        <f t="shared" si="13"/>
        <v>-9.4310679471241415E-2</v>
      </c>
      <c r="E34" s="17">
        <v>0.76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4"/>
        <v>1.3157894736842106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0.76</v>
      </c>
    </row>
    <row r="35" spans="1:22" x14ac:dyDescent="0.35">
      <c r="A35" t="s">
        <v>89</v>
      </c>
      <c r="B35">
        <f t="shared" si="13"/>
        <v>2.145931282948669</v>
      </c>
      <c r="C35">
        <f t="shared" si="13"/>
        <v>-6.9077552789821368</v>
      </c>
      <c r="D35">
        <f t="shared" si="13"/>
        <v>2.9957322735539909</v>
      </c>
      <c r="E35" s="17">
        <v>8.5500000000000007</v>
      </c>
      <c r="F35">
        <v>1E-3</v>
      </c>
      <c r="G35">
        <v>20</v>
      </c>
      <c r="H35">
        <v>6.02</v>
      </c>
      <c r="I35">
        <v>6</v>
      </c>
      <c r="J35">
        <f t="shared" si="14"/>
        <v>0.11695906432748537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8.5500000000000007</v>
      </c>
    </row>
    <row r="36" spans="1:22" x14ac:dyDescent="0.35">
      <c r="A36" t="s">
        <v>102</v>
      </c>
      <c r="B36">
        <f t="shared" si="13"/>
        <v>1.5040773967762742</v>
      </c>
      <c r="C36">
        <f t="shared" si="13"/>
        <v>-6.9077552789821368</v>
      </c>
      <c r="D36">
        <f t="shared" si="13"/>
        <v>3.1010977891993172</v>
      </c>
      <c r="E36" s="17">
        <v>4.5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4"/>
        <v>0.22222222222222221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4.5</v>
      </c>
    </row>
    <row r="37" spans="1:22" x14ac:dyDescent="0.35">
      <c r="A37" s="5" t="s">
        <v>69</v>
      </c>
      <c r="B37">
        <f>-LN(1/E37 -1)</f>
        <v>0.14304340786103839</v>
      </c>
      <c r="C37">
        <f>-LN(1/F37 -1)</f>
        <v>-4.0005334613699206E-2</v>
      </c>
      <c r="D37">
        <f>-LN(1/G37 -1)</f>
        <v>0.84729786038720356</v>
      </c>
      <c r="E37" s="17">
        <v>0.53569999999999995</v>
      </c>
      <c r="F37">
        <v>0.49</v>
      </c>
      <c r="G37">
        <v>0.7</v>
      </c>
      <c r="H37">
        <v>87</v>
      </c>
      <c r="I37">
        <v>87</v>
      </c>
      <c r="J37">
        <f>1/(E37*(1-E37))</f>
        <v>4.0204963294677736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0.53569999999999995</v>
      </c>
    </row>
    <row r="38" spans="1:22" x14ac:dyDescent="0.35">
      <c r="A38" s="3" t="s">
        <v>107</v>
      </c>
      <c r="B38" s="3">
        <v>1</v>
      </c>
      <c r="C38" s="3">
        <v>1</v>
      </c>
      <c r="D38" s="3">
        <v>1</v>
      </c>
      <c r="E38" s="17"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108</v>
      </c>
      <c r="B39">
        <f>E39</f>
        <v>1.8560469999999998</v>
      </c>
      <c r="C39">
        <f>B39</f>
        <v>1.8560469999999998</v>
      </c>
      <c r="D39">
        <f>C39</f>
        <v>1.8560469999999998</v>
      </c>
      <c r="E39" s="17">
        <f>18.56047/10</f>
        <v>1.8560469999999998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5">1/E39</f>
        <v>0.53877945978738695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109</v>
      </c>
      <c r="B40">
        <f>E40</f>
        <v>7.2171439999999989E-2</v>
      </c>
      <c r="C40">
        <f>B40</f>
        <v>7.2171439999999989E-2</v>
      </c>
      <c r="D40">
        <f>C40</f>
        <v>7.2171439999999989E-2</v>
      </c>
      <c r="E40" s="17">
        <f>721.7144/10000</f>
        <v>7.2171439999999989E-2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5"/>
        <v>13.855896459873881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105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 s="17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110</v>
      </c>
      <c r="B42">
        <v>1</v>
      </c>
      <c r="C42">
        <f>B42</f>
        <v>1</v>
      </c>
      <c r="D42">
        <f>C42</f>
        <v>1</v>
      </c>
      <c r="E42" s="17"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50" si="16">T42</f>
        <v>0</v>
      </c>
      <c r="V42"/>
    </row>
    <row r="43" spans="1:22" x14ac:dyDescent="0.35">
      <c r="A43" t="s">
        <v>90</v>
      </c>
      <c r="B43">
        <f t="shared" ref="B43:D44" si="17">E43</f>
        <v>0.1449</v>
      </c>
      <c r="C43">
        <f t="shared" si="17"/>
        <v>0.1449</v>
      </c>
      <c r="D43" s="3">
        <f t="shared" si="17"/>
        <v>0.1449</v>
      </c>
      <c r="E43" s="17"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6"/>
        <v>0</v>
      </c>
    </row>
    <row r="44" spans="1:22" x14ac:dyDescent="0.35">
      <c r="A44" t="s">
        <v>91</v>
      </c>
      <c r="B44">
        <f t="shared" si="17"/>
        <v>0.1449</v>
      </c>
      <c r="C44">
        <f t="shared" si="17"/>
        <v>0.1449</v>
      </c>
      <c r="D44" s="3">
        <f t="shared" si="17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6"/>
        <v>0</v>
      </c>
    </row>
    <row r="45" spans="1:22" x14ac:dyDescent="0.35">
      <c r="A45" t="s">
        <v>101</v>
      </c>
      <c r="B45">
        <v>0</v>
      </c>
      <c r="C45">
        <v>0</v>
      </c>
      <c r="D45">
        <f>G45</f>
        <v>0</v>
      </c>
      <c r="E45" s="17"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6"/>
        <v>0</v>
      </c>
    </row>
    <row r="46" spans="1:22" x14ac:dyDescent="0.35">
      <c r="A46" t="s">
        <v>104</v>
      </c>
      <c r="B46">
        <v>0</v>
      </c>
      <c r="C46">
        <f>B46</f>
        <v>0</v>
      </c>
      <c r="D46">
        <f>B46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6"/>
        <v>0</v>
      </c>
    </row>
    <row r="47" spans="1:22" x14ac:dyDescent="0.35">
      <c r="A47" t="s">
        <v>252</v>
      </c>
      <c r="B47" s="17">
        <f>E47</f>
        <v>3.5</v>
      </c>
      <c r="C47" s="17">
        <f>B47</f>
        <v>3.5</v>
      </c>
      <c r="D47" s="17">
        <f>B47</f>
        <v>3.5</v>
      </c>
      <c r="E47" s="17">
        <v>3.5</v>
      </c>
      <c r="F47" s="17">
        <f>E47</f>
        <v>3.5</v>
      </c>
      <c r="G47" s="17">
        <f>E47</f>
        <v>3.5</v>
      </c>
    </row>
    <row r="48" spans="1:22" x14ac:dyDescent="0.35">
      <c r="A48" t="s">
        <v>179</v>
      </c>
      <c r="B48">
        <f>E48</f>
        <v>1.0696163149411613</v>
      </c>
      <c r="C48">
        <f>B48</f>
        <v>1.0696163149411613</v>
      </c>
      <c r="D48">
        <f>C48</f>
        <v>1.0696163149411613</v>
      </c>
      <c r="E48" s="17">
        <f>EXP(0.0673)</f>
        <v>1.0696163149411613</v>
      </c>
      <c r="F48">
        <f>E48</f>
        <v>1.0696163149411613</v>
      </c>
      <c r="G48">
        <f>E48</f>
        <v>1.0696163149411613</v>
      </c>
      <c r="J48">
        <f>1</f>
        <v>1</v>
      </c>
      <c r="O48">
        <v>1</v>
      </c>
      <c r="P48">
        <f t="shared" si="0"/>
        <v>1</v>
      </c>
      <c r="S48">
        <f t="shared" si="1"/>
        <v>0</v>
      </c>
      <c r="T48">
        <f t="shared" si="2"/>
        <v>0</v>
      </c>
      <c r="U48">
        <f t="shared" si="16"/>
        <v>0</v>
      </c>
    </row>
    <row r="49" spans="1:21" x14ac:dyDescent="0.35">
      <c r="A49" t="s">
        <v>180</v>
      </c>
      <c r="B49">
        <f>E49</f>
        <v>0.99381918034015848</v>
      </c>
      <c r="C49">
        <f>B49</f>
        <v>0.99381918034015848</v>
      </c>
      <c r="D49">
        <f>C49</f>
        <v>0.99381918034015848</v>
      </c>
      <c r="E49" s="17">
        <f>EXP(-0.0062)</f>
        <v>0.99381918034015848</v>
      </c>
      <c r="F49">
        <f>E49</f>
        <v>0.99381918034015848</v>
      </c>
      <c r="G49">
        <f>E49</f>
        <v>0.99381918034015848</v>
      </c>
      <c r="J49">
        <f>1</f>
        <v>1</v>
      </c>
      <c r="O49">
        <v>1</v>
      </c>
      <c r="P49">
        <f t="shared" si="0"/>
        <v>1</v>
      </c>
      <c r="S49">
        <f t="shared" si="1"/>
        <v>0</v>
      </c>
      <c r="T49">
        <f t="shared" si="2"/>
        <v>0</v>
      </c>
      <c r="U49">
        <f t="shared" si="16"/>
        <v>0</v>
      </c>
    </row>
    <row r="50" spans="1:21" x14ac:dyDescent="0.35">
      <c r="A50" t="s">
        <v>181</v>
      </c>
      <c r="B50">
        <f>E50</f>
        <v>0.9618468890261952</v>
      </c>
      <c r="C50">
        <f>B50</f>
        <v>0.9618468890261952</v>
      </c>
      <c r="D50">
        <f>C50</f>
        <v>0.9618468890261952</v>
      </c>
      <c r="E50" s="17">
        <f>EXP(-0.0389)</f>
        <v>0.9618468890261952</v>
      </c>
      <c r="F50">
        <f>E50</f>
        <v>0.9618468890261952</v>
      </c>
      <c r="G50">
        <f>E50</f>
        <v>0.9618468890261952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6"/>
        <v>0</v>
      </c>
    </row>
  </sheetData>
  <autoFilter ref="A1:V50" xr:uid="{D6333A1E-4CCC-47DA-98C3-E7945B8628B8}">
    <sortState xmlns:xlrd2="http://schemas.microsoft.com/office/spreadsheetml/2017/richdata2" ref="A2:V50">
      <sortCondition ref="I1:I50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3"/>
  <sheetViews>
    <sheetView topLeftCell="A16" zoomScale="57" zoomScaleNormal="43" workbookViewId="0">
      <selection activeCell="G47" sqref="B47:G47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7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21.03734690643789</v>
      </c>
      <c r="C2">
        <f>F2</f>
        <v>21.03734690643789</v>
      </c>
      <c r="D2">
        <f>G2</f>
        <v>21.03734690643789</v>
      </c>
      <c r="E2" s="17">
        <f>PARS!E2</f>
        <v>21.03734690643789</v>
      </c>
      <c r="F2">
        <f>E2</f>
        <v>21.03734690643789</v>
      </c>
      <c r="G2">
        <f>E2</f>
        <v>21.03734690643789</v>
      </c>
      <c r="H2">
        <v>999</v>
      </c>
      <c r="I2">
        <v>0</v>
      </c>
      <c r="J2">
        <f>1</f>
        <v>1</v>
      </c>
      <c r="N2">
        <v>1</v>
      </c>
      <c r="P2">
        <f t="shared" ref="P2:P50" si="0">SUM(L2:O2)</f>
        <v>1</v>
      </c>
      <c r="S2">
        <f t="shared" ref="S2:S50" si="1">L2-Q2</f>
        <v>0</v>
      </c>
      <c r="T2">
        <f t="shared" ref="T2:T50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-0.22314355131420971</v>
      </c>
      <c r="C4" s="7">
        <f>LN(F4)</f>
        <v>-0.51082562376599072</v>
      </c>
      <c r="D4" s="7">
        <f>LN(G4)</f>
        <v>0.18232155679395459</v>
      </c>
      <c r="E4" s="17">
        <f>PARS!E4</f>
        <v>0.8</v>
      </c>
      <c r="F4">
        <v>0.6</v>
      </c>
      <c r="G4">
        <v>1.2</v>
      </c>
      <c r="H4">
        <v>1</v>
      </c>
      <c r="I4">
        <v>1</v>
      </c>
      <c r="J4">
        <f>1/E4</f>
        <v>1.25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</v>
      </c>
    </row>
    <row r="5" spans="1:22" x14ac:dyDescent="0.35">
      <c r="A5" t="s">
        <v>76</v>
      </c>
      <c r="B5" s="7">
        <f>LN(E5)</f>
        <v>-0.22314355131420971</v>
      </c>
      <c r="C5">
        <f>C4</f>
        <v>-0.51082562376599072</v>
      </c>
      <c r="D5">
        <f>D4</f>
        <v>0.18232155679395459</v>
      </c>
      <c r="E5" s="17">
        <f>PARS!E5</f>
        <v>0.8</v>
      </c>
      <c r="F5">
        <v>0.6</v>
      </c>
      <c r="G5">
        <v>1.2</v>
      </c>
      <c r="H5">
        <v>1</v>
      </c>
      <c r="I5">
        <v>1</v>
      </c>
      <c r="J5">
        <f>1/E5</f>
        <v>1.25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106</v>
      </c>
      <c r="B6">
        <f>LOG(E6)</f>
        <v>0.20836072497837904</v>
      </c>
      <c r="C6">
        <f>B6</f>
        <v>0.20836072497837904</v>
      </c>
      <c r="D6">
        <f>B6</f>
        <v>0.20836072497837904</v>
      </c>
      <c r="E6" s="17">
        <f>PARS!E6</f>
        <v>1.6156999999999999</v>
      </c>
      <c r="F6">
        <v>1.5904813099999999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74</v>
      </c>
      <c r="B7">
        <f t="shared" ref="B7:D9" si="3">LN(E7)</f>
        <v>-1.4323382996212974</v>
      </c>
      <c r="C7">
        <f t="shared" si="3"/>
        <v>-2.3025850929940455</v>
      </c>
      <c r="D7">
        <f t="shared" si="3"/>
        <v>-0.916290731874155</v>
      </c>
      <c r="E7" s="17">
        <f>PARS!E7</f>
        <v>0.23874999999999999</v>
      </c>
      <c r="F7">
        <v>0.1</v>
      </c>
      <c r="G7">
        <v>0.4</v>
      </c>
      <c r="H7">
        <v>1.1000000000000001</v>
      </c>
      <c r="I7">
        <v>1.1000000000000001</v>
      </c>
      <c r="J7">
        <f>1/E7</f>
        <v>4.1884816753926701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0.23874999999999999</v>
      </c>
    </row>
    <row r="8" spans="1:22" x14ac:dyDescent="0.35">
      <c r="A8" t="s">
        <v>92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 s="17">
        <f>PARS!E8</f>
        <v>1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1</v>
      </c>
    </row>
    <row r="9" spans="1:22" x14ac:dyDescent="0.35">
      <c r="A9" t="s">
        <v>93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 s="17">
        <f>PARS!E9</f>
        <v>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0.25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</v>
      </c>
    </row>
    <row r="10" spans="1:22" x14ac:dyDescent="0.35">
      <c r="A10" t="s">
        <v>98</v>
      </c>
      <c r="B10">
        <f>LN(E10)</f>
        <v>0</v>
      </c>
      <c r="C10">
        <f>C4</f>
        <v>-0.51082562376599072</v>
      </c>
      <c r="D10">
        <f>D4</f>
        <v>0.18232155679395459</v>
      </c>
      <c r="E10" s="17">
        <f>PARS!E10</f>
        <v>1</v>
      </c>
      <c r="F10">
        <f>F4</f>
        <v>0.6</v>
      </c>
      <c r="G10">
        <f>G4</f>
        <v>1.2</v>
      </c>
      <c r="H10">
        <v>1.1000000000000001</v>
      </c>
      <c r="I10">
        <v>1.1000000000000001</v>
      </c>
      <c r="J10">
        <f t="shared" si="5"/>
        <v>1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95</v>
      </c>
      <c r="B11">
        <f>LN(E11)</f>
        <v>-1.8703217532696195</v>
      </c>
      <c r="C11">
        <f>LN(F11)</f>
        <v>-2.093465304583829</v>
      </c>
      <c r="D11">
        <f>LN(G11)</f>
        <v>-1.1771745727096741</v>
      </c>
      <c r="E11" s="17">
        <f>PARS!E11</f>
        <v>0.15407408</v>
      </c>
      <c r="F11">
        <f>E11*0.8</f>
        <v>0.12325926400000001</v>
      </c>
      <c r="G11">
        <f>E11*2</f>
        <v>0.30814816</v>
      </c>
      <c r="H11">
        <v>1.2</v>
      </c>
      <c r="I11">
        <v>1.1499999999999999</v>
      </c>
      <c r="J11">
        <f t="shared" si="5"/>
        <v>6.4903843657544478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0.15407408</v>
      </c>
    </row>
    <row r="12" spans="1:22" x14ac:dyDescent="0.35">
      <c r="A12" t="s">
        <v>94</v>
      </c>
      <c r="B12">
        <f>-LN(1/E12 -1)</f>
        <v>0.66388228523152282</v>
      </c>
      <c r="C12">
        <f>-LN(1/F12 -1)</f>
        <v>-0.40790273033909435</v>
      </c>
      <c r="D12">
        <f>-LN(1/G12 -1)</f>
        <v>1.0551933911457412</v>
      </c>
      <c r="E12" s="17">
        <f>PARS!E12</f>
        <v>0.66013195000000002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4.4571670099049943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0.66013195000000002</v>
      </c>
    </row>
    <row r="13" spans="1:22" x14ac:dyDescent="0.35">
      <c r="A13" t="s">
        <v>97</v>
      </c>
      <c r="B13">
        <f>LN(E13)</f>
        <v>-8.9025505804146685E-2</v>
      </c>
      <c r="C13">
        <f>F13</f>
        <v>0.62810999999999995</v>
      </c>
      <c r="D13">
        <f>G13</f>
        <v>1.16649</v>
      </c>
      <c r="E13" s="17">
        <f>PARS!E13</f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99</v>
      </c>
      <c r="B14">
        <f>LN(E14)</f>
        <v>0.25702382969694959</v>
      </c>
      <c r="C14">
        <f>B14*0.7</f>
        <v>0.17991668078786471</v>
      </c>
      <c r="D14">
        <f>B14*1.3</f>
        <v>0.33413097860603447</v>
      </c>
      <c r="E14" s="17">
        <f>PARS!E14</f>
        <v>1.29307594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0.77334978485486316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70</v>
      </c>
      <c r="B15">
        <f>LN(E15)</f>
        <v>-2.3633295407393207</v>
      </c>
      <c r="C15">
        <f>LN(F15)</f>
        <v>-2.5836226227271579</v>
      </c>
      <c r="D15">
        <f>LN(G15)</f>
        <v>-2.5836226227271579</v>
      </c>
      <c r="E15" s="17">
        <f>PARS!E15</f>
        <v>9.4106369999999995E-2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10.626273226775192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9.4106369999999981E-2</v>
      </c>
    </row>
    <row r="16" spans="1:22" x14ac:dyDescent="0.35">
      <c r="A16" t="s">
        <v>77</v>
      </c>
      <c r="B16">
        <f>LN(-E16)</f>
        <v>-1.4146938356415886</v>
      </c>
      <c r="C16">
        <f>LN(-G16)</f>
        <v>-2.3025850929940455</v>
      </c>
      <c r="D16">
        <f>LN(-F16)</f>
        <v>-1.1647520911726548</v>
      </c>
      <c r="E16" s="17">
        <f>PARS!E16</f>
        <v>-0.24299999999999999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-4.1152263374485596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-0.24299999999999999</v>
      </c>
    </row>
    <row r="17" spans="1:26" x14ac:dyDescent="0.35">
      <c r="A17" t="s">
        <v>96</v>
      </c>
      <c r="B17">
        <f t="shared" ref="B17:D18" si="6">LN(E17)</f>
        <v>-0.41551544396166579</v>
      </c>
      <c r="C17">
        <f t="shared" si="6"/>
        <v>-1.2039728043259361</v>
      </c>
      <c r="D17">
        <f t="shared" si="6"/>
        <v>-0.43078291609245423</v>
      </c>
      <c r="E17" s="17">
        <f>PARS!E17</f>
        <v>0.66</v>
      </c>
      <c r="F17">
        <v>0.3</v>
      </c>
      <c r="G17">
        <v>0.65</v>
      </c>
      <c r="H17">
        <v>4.0999999999999996</v>
      </c>
      <c r="I17">
        <v>4.0999999999999996</v>
      </c>
      <c r="J17">
        <f t="shared" si="5"/>
        <v>1.5151515151515151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0.66</v>
      </c>
    </row>
    <row r="18" spans="1:26" x14ac:dyDescent="0.35">
      <c r="A18" t="s">
        <v>71</v>
      </c>
      <c r="B18">
        <f t="shared" si="6"/>
        <v>1.9878743481543455</v>
      </c>
      <c r="C18">
        <f t="shared" si="6"/>
        <v>1.6094379124341003</v>
      </c>
      <c r="D18">
        <f t="shared" si="6"/>
        <v>2.341805806147327</v>
      </c>
      <c r="E18" s="17">
        <f>PARS!E18</f>
        <v>7.3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0.13698630136986301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7.3000000000000007</v>
      </c>
    </row>
    <row r="19" spans="1:26" x14ac:dyDescent="0.35">
      <c r="A19" s="6" t="s">
        <v>72</v>
      </c>
      <c r="B19">
        <f>E19</f>
        <v>2000</v>
      </c>
      <c r="C19">
        <f>LN(F19/100)</f>
        <v>2.9957322735539909</v>
      </c>
      <c r="D19">
        <f>LN(G19/100)</f>
        <v>2.9957322735539909</v>
      </c>
      <c r="E19" s="17">
        <f>PARS!E19</f>
        <v>2000</v>
      </c>
      <c r="F19">
        <v>2000</v>
      </c>
      <c r="G19">
        <v>2000</v>
      </c>
      <c r="H19">
        <v>999.5</v>
      </c>
      <c r="I19">
        <v>4.0999999999999996</v>
      </c>
      <c r="J19">
        <f>1</f>
        <v>1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</row>
    <row r="20" spans="1:26" x14ac:dyDescent="0.35">
      <c r="A20" t="s">
        <v>73</v>
      </c>
      <c r="B20">
        <f>-LN(1/E20 -1)*1000</f>
        <v>24.401210673453068</v>
      </c>
      <c r="C20">
        <f>-LN(1/F20 -1)</f>
        <v>0</v>
      </c>
      <c r="D20">
        <f>-LN(1/G20 -1)</f>
        <v>0.40546510810816427</v>
      </c>
      <c r="E20" s="17">
        <f>PARS!E20</f>
        <v>0.50609999999999999</v>
      </c>
      <c r="F20">
        <v>0.5</v>
      </c>
      <c r="G20">
        <v>0.6</v>
      </c>
      <c r="H20">
        <v>4.0999999999999996</v>
      </c>
      <c r="I20">
        <v>4.0999999999999996</v>
      </c>
      <c r="J20">
        <f>1000/(E20*(1-E20))</f>
        <v>4000.5954486265737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1/(1+EXP(-B20/1000))</f>
        <v>0.50609999999999999</v>
      </c>
      <c r="W20" t="s">
        <v>247</v>
      </c>
      <c r="Y20">
        <f>0.02020068</f>
        <v>2.0200679999999999E-2</v>
      </c>
      <c r="Z20" s="16">
        <f>1/(1+EXP(-Y20))</f>
        <v>0.50504999827283203</v>
      </c>
    </row>
    <row r="21" spans="1:26" x14ac:dyDescent="0.35">
      <c r="A21" t="s">
        <v>68</v>
      </c>
      <c r="B21">
        <f>LN(E21/10)</f>
        <v>0.42526773540434409</v>
      </c>
      <c r="C21">
        <f>LN(F21/10)</f>
        <v>0.37156355643248301</v>
      </c>
      <c r="D21">
        <f>LN(G21/10)</f>
        <v>0.61518563909023349</v>
      </c>
      <c r="E21" s="17">
        <f>PARS!E21</f>
        <v>15.3</v>
      </c>
      <c r="F21">
        <v>14.5</v>
      </c>
      <c r="G21">
        <v>18.5</v>
      </c>
      <c r="H21">
        <v>4</v>
      </c>
      <c r="I21">
        <v>4</v>
      </c>
      <c r="J21">
        <f t="shared" si="5"/>
        <v>6.535947712418301E-2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15.3</v>
      </c>
    </row>
    <row r="22" spans="1:26" x14ac:dyDescent="0.35">
      <c r="A22" t="s">
        <v>79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 s="17">
        <f>PARS!E22</f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6" x14ac:dyDescent="0.35">
      <c r="A23" t="s">
        <v>80</v>
      </c>
      <c r="B23">
        <v>0</v>
      </c>
      <c r="C23">
        <v>0</v>
      </c>
      <c r="D23">
        <v>0</v>
      </c>
      <c r="E23" s="17">
        <f>PARS!E23</f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6" x14ac:dyDescent="0.35">
      <c r="A24" t="s">
        <v>190</v>
      </c>
      <c r="B24">
        <f t="shared" ref="B24:D25" si="7">E24</f>
        <v>-1.6E-2</v>
      </c>
      <c r="C24">
        <f t="shared" si="7"/>
        <v>-0.15</v>
      </c>
      <c r="D24">
        <f t="shared" si="7"/>
        <v>0.05</v>
      </c>
      <c r="E24" s="17">
        <f>PARS!E24</f>
        <v>-1.6E-2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6" x14ac:dyDescent="0.35">
      <c r="A25" t="s">
        <v>81</v>
      </c>
      <c r="B25">
        <f t="shared" si="7"/>
        <v>0.17499999999999999</v>
      </c>
      <c r="C25">
        <f t="shared" si="7"/>
        <v>0</v>
      </c>
      <c r="D25">
        <f t="shared" si="7"/>
        <v>0.5</v>
      </c>
      <c r="E25" s="17">
        <f>PARS!E25</f>
        <v>0.17499999999999999</v>
      </c>
      <c r="F25">
        <v>0</v>
      </c>
      <c r="G25">
        <v>0.5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6" x14ac:dyDescent="0.35">
      <c r="A26" t="s">
        <v>82</v>
      </c>
      <c r="B26">
        <f>LN(E26)</f>
        <v>-0.51082562376599072</v>
      </c>
      <c r="C26">
        <f>LN(F26)</f>
        <v>-0.35667494393873245</v>
      </c>
      <c r="D26">
        <f>LN(G26)</f>
        <v>1.0986122886681098</v>
      </c>
      <c r="E26" s="17">
        <f>PARS!E26</f>
        <v>0.6</v>
      </c>
      <c r="F26">
        <v>0.7</v>
      </c>
      <c r="G26">
        <v>3</v>
      </c>
      <c r="H26">
        <v>4.0549999999999997</v>
      </c>
      <c r="I26">
        <v>4</v>
      </c>
      <c r="J26">
        <f t="shared" ref="J26" si="8">1/E26</f>
        <v>1.6666666666666667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0.6</v>
      </c>
    </row>
    <row r="27" spans="1:26" x14ac:dyDescent="0.35">
      <c r="A27" t="s">
        <v>100</v>
      </c>
      <c r="B27">
        <v>0</v>
      </c>
      <c r="C27">
        <v>0</v>
      </c>
      <c r="D27">
        <v>0</v>
      </c>
      <c r="E27" s="17">
        <f>PARS!E27</f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6" x14ac:dyDescent="0.35">
      <c r="A28" t="s">
        <v>103</v>
      </c>
      <c r="B28">
        <v>4.2000000000000003E-2</v>
      </c>
      <c r="C28">
        <v>4.2000000000000003E-2</v>
      </c>
      <c r="D28">
        <v>4.2000000000000003E-2</v>
      </c>
      <c r="E28" s="17">
        <f>PARS!E28</f>
        <v>4.2000000000000003E-2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6" x14ac:dyDescent="0.35">
      <c r="A29" t="s">
        <v>86</v>
      </c>
      <c r="B29">
        <f t="shared" ref="B29:D30" si="9">LN(E29)</f>
        <v>0.87546873735389985</v>
      </c>
      <c r="C29">
        <f t="shared" si="9"/>
        <v>0</v>
      </c>
      <c r="D29">
        <f t="shared" si="9"/>
        <v>2.3025850929940459</v>
      </c>
      <c r="E29" s="17">
        <f>PARS!E29</f>
        <v>2.4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0">1/E29</f>
        <v>0.41666666666666669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2.4</v>
      </c>
    </row>
    <row r="30" spans="1:26" x14ac:dyDescent="0.35">
      <c r="A30" t="s">
        <v>83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 s="17">
        <f>PARS!E30</f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0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6" x14ac:dyDescent="0.35">
      <c r="A31" t="s">
        <v>84</v>
      </c>
      <c r="B31">
        <f t="shared" ref="B31:D31" si="11">-LN(1/E31 -1)</f>
        <v>-0.99462257514406194</v>
      </c>
      <c r="C31">
        <f t="shared" si="11"/>
        <v>-2.1972245773362196</v>
      </c>
      <c r="D31">
        <f t="shared" si="11"/>
        <v>6.9067547786484651</v>
      </c>
      <c r="E31" s="17">
        <f>PARS!E31</f>
        <v>0.27</v>
      </c>
      <c r="F31">
        <v>0.1</v>
      </c>
      <c r="G31">
        <v>0.999</v>
      </c>
      <c r="H31">
        <v>5.01</v>
      </c>
      <c r="I31">
        <v>5.03</v>
      </c>
      <c r="J31">
        <f>1/(E31*(1-E31))</f>
        <v>5.0735667174023336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0.27</v>
      </c>
    </row>
    <row r="32" spans="1:26" x14ac:dyDescent="0.35">
      <c r="A32" t="s">
        <v>85</v>
      </c>
      <c r="B32">
        <f>E32</f>
        <v>0.70559799999999995</v>
      </c>
      <c r="C32">
        <f>F32</f>
        <v>0.70559799999999995</v>
      </c>
      <c r="D32">
        <f>G32</f>
        <v>0.70559799999999995</v>
      </c>
      <c r="E32" s="17">
        <f>PARS!E32</f>
        <v>0.70559799999999995</v>
      </c>
      <c r="F32">
        <f>E32</f>
        <v>0.70559799999999995</v>
      </c>
      <c r="G32">
        <f>F32</f>
        <v>0.70559799999999995</v>
      </c>
      <c r="H32">
        <v>999.5</v>
      </c>
      <c r="I32">
        <v>5.04</v>
      </c>
      <c r="J32">
        <f>1/(E32*(1-E32))</f>
        <v>4.8139536321221215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0.66942775013665978</v>
      </c>
    </row>
    <row r="33" spans="1:22" x14ac:dyDescent="0.35">
      <c r="A33" t="s">
        <v>87</v>
      </c>
      <c r="B33">
        <f t="shared" ref="B33:D36" si="12">LN(E33)</f>
        <v>-0.3285040669720361</v>
      </c>
      <c r="C33">
        <f t="shared" si="12"/>
        <v>-2.3025850929940455</v>
      </c>
      <c r="D33">
        <f t="shared" si="12"/>
        <v>0.69314718055994529</v>
      </c>
      <c r="E33" s="17">
        <f>PARS!E33</f>
        <v>0.72</v>
      </c>
      <c r="F33">
        <v>0.1</v>
      </c>
      <c r="G33">
        <v>2</v>
      </c>
      <c r="H33">
        <v>6</v>
      </c>
      <c r="I33">
        <v>6</v>
      </c>
      <c r="J33">
        <f t="shared" ref="J33:J36" si="13">1/E33</f>
        <v>1.3888888888888888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0.72</v>
      </c>
    </row>
    <row r="34" spans="1:22" x14ac:dyDescent="0.35">
      <c r="A34" t="s">
        <v>88</v>
      </c>
      <c r="B34">
        <f t="shared" si="12"/>
        <v>-0.2744368457017603</v>
      </c>
      <c r="C34">
        <f t="shared" si="12"/>
        <v>-0.71334988787746489</v>
      </c>
      <c r="D34">
        <f t="shared" si="12"/>
        <v>-9.4310679471241415E-2</v>
      </c>
      <c r="E34" s="17">
        <f>PARS!E34</f>
        <v>0.76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3"/>
        <v>1.3157894736842106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0.76</v>
      </c>
    </row>
    <row r="35" spans="1:22" x14ac:dyDescent="0.35">
      <c r="A35" t="s">
        <v>89</v>
      </c>
      <c r="B35">
        <f t="shared" si="12"/>
        <v>2.145931282948669</v>
      </c>
      <c r="C35">
        <f t="shared" si="12"/>
        <v>-6.9077552789821368</v>
      </c>
      <c r="D35">
        <f t="shared" si="12"/>
        <v>2.9957322735539909</v>
      </c>
      <c r="E35" s="17">
        <f>PARS!E35</f>
        <v>8.5500000000000007</v>
      </c>
      <c r="F35">
        <v>1E-3</v>
      </c>
      <c r="G35">
        <v>20</v>
      </c>
      <c r="H35">
        <v>6.02</v>
      </c>
      <c r="I35">
        <v>6</v>
      </c>
      <c r="J35">
        <f t="shared" si="13"/>
        <v>0.11695906432748537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8.5500000000000007</v>
      </c>
    </row>
    <row r="36" spans="1:22" x14ac:dyDescent="0.35">
      <c r="A36" t="s">
        <v>102</v>
      </c>
      <c r="B36">
        <f t="shared" si="12"/>
        <v>1.5040773967762742</v>
      </c>
      <c r="C36">
        <f t="shared" si="12"/>
        <v>-6.9077552789821368</v>
      </c>
      <c r="D36">
        <f t="shared" si="12"/>
        <v>3.1010977891993172</v>
      </c>
      <c r="E36" s="17">
        <f>PARS!E36</f>
        <v>4.5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3"/>
        <v>0.22222222222222221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4.5</v>
      </c>
    </row>
    <row r="37" spans="1:22" x14ac:dyDescent="0.35">
      <c r="A37" s="5" t="s">
        <v>69</v>
      </c>
      <c r="B37">
        <f>-LN(1/E37 -1)</f>
        <v>0.14304340786103839</v>
      </c>
      <c r="C37">
        <f>-LN(1/F37 -1)</f>
        <v>-4.0005334613699206E-2</v>
      </c>
      <c r="D37">
        <f>-LN(1/G37 -1)</f>
        <v>0.84729786038720356</v>
      </c>
      <c r="E37" s="17">
        <f>PARS!E37</f>
        <v>0.53569999999999995</v>
      </c>
      <c r="F37">
        <v>0.49</v>
      </c>
      <c r="G37">
        <v>0.7</v>
      </c>
      <c r="H37">
        <v>87</v>
      </c>
      <c r="I37">
        <v>87</v>
      </c>
      <c r="J37">
        <f>1/(E37*(1-E37))</f>
        <v>4.0204963294677736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0.53569999999999995</v>
      </c>
    </row>
    <row r="38" spans="1:22" x14ac:dyDescent="0.35">
      <c r="A38" s="3" t="s">
        <v>107</v>
      </c>
      <c r="B38" s="3">
        <v>1</v>
      </c>
      <c r="C38" s="3">
        <v>1</v>
      </c>
      <c r="D38" s="3">
        <v>1</v>
      </c>
      <c r="E38" s="17">
        <f>PARS!E38</f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108</v>
      </c>
      <c r="B39">
        <f>E39</f>
        <v>1.8560469999999998</v>
      </c>
      <c r="C39">
        <f>B39</f>
        <v>1.8560469999999998</v>
      </c>
      <c r="D39">
        <f>C39</f>
        <v>1.8560469999999998</v>
      </c>
      <c r="E39" s="17">
        <f>PARS!E39</f>
        <v>1.8560469999999998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4">1/E39</f>
        <v>0.53877945978738695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109</v>
      </c>
      <c r="B40">
        <f>E40</f>
        <v>7.2171439999999989E-2</v>
      </c>
      <c r="C40">
        <f>B40</f>
        <v>7.2171439999999989E-2</v>
      </c>
      <c r="D40">
        <f>C40</f>
        <v>7.2171439999999989E-2</v>
      </c>
      <c r="E40" s="17">
        <f>PARS!E40</f>
        <v>7.2171439999999989E-2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4"/>
        <v>13.855896459873881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105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 s="17">
        <f>PARS!E41</f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110</v>
      </c>
      <c r="B42">
        <v>1</v>
      </c>
      <c r="C42">
        <f>B42</f>
        <v>1</v>
      </c>
      <c r="D42">
        <f>C42</f>
        <v>1</v>
      </c>
      <c r="E42" s="17">
        <f>PARS!E42</f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50" si="15">T42</f>
        <v>0</v>
      </c>
      <c r="V42"/>
    </row>
    <row r="43" spans="1:22" x14ac:dyDescent="0.35">
      <c r="A43" t="s">
        <v>90</v>
      </c>
      <c r="B43">
        <f t="shared" ref="B43:D44" si="16">E43</f>
        <v>0.1449</v>
      </c>
      <c r="C43">
        <f t="shared" si="16"/>
        <v>0.1449</v>
      </c>
      <c r="D43" s="3">
        <f t="shared" si="16"/>
        <v>0.1449</v>
      </c>
      <c r="E43" s="17">
        <f>PARS!E43</f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5"/>
        <v>0</v>
      </c>
    </row>
    <row r="44" spans="1:22" x14ac:dyDescent="0.35">
      <c r="A44" t="s">
        <v>91</v>
      </c>
      <c r="B44">
        <f t="shared" si="16"/>
        <v>0.1449</v>
      </c>
      <c r="C44">
        <f t="shared" si="16"/>
        <v>0.1449</v>
      </c>
      <c r="D44" s="3">
        <f t="shared" si="16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5"/>
        <v>0</v>
      </c>
    </row>
    <row r="45" spans="1:22" x14ac:dyDescent="0.35">
      <c r="A45" t="s">
        <v>101</v>
      </c>
      <c r="B45">
        <v>0</v>
      </c>
      <c r="C45">
        <v>0</v>
      </c>
      <c r="D45">
        <f>G45</f>
        <v>0</v>
      </c>
      <c r="E45" s="17">
        <f>PARS!E45</f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5"/>
        <v>0</v>
      </c>
    </row>
    <row r="46" spans="1:22" x14ac:dyDescent="0.35">
      <c r="A46" t="s">
        <v>104</v>
      </c>
      <c r="B46">
        <v>0</v>
      </c>
      <c r="C46">
        <f>B46</f>
        <v>0</v>
      </c>
      <c r="D46">
        <f>B46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5"/>
        <v>0</v>
      </c>
    </row>
    <row r="47" spans="1:22" x14ac:dyDescent="0.35">
      <c r="A47" t="s">
        <v>252</v>
      </c>
      <c r="B47" s="11">
        <f>E47</f>
        <v>3.5</v>
      </c>
      <c r="C47" s="11">
        <f>B47</f>
        <v>3.5</v>
      </c>
      <c r="D47" s="11">
        <f>B47</f>
        <v>3.5</v>
      </c>
      <c r="E47" s="11">
        <f>PARS!E47</f>
        <v>3.5</v>
      </c>
      <c r="F47" s="11">
        <f>PARS!F47</f>
        <v>3.5</v>
      </c>
      <c r="G47" s="11">
        <f>PARS!G47</f>
        <v>3.5</v>
      </c>
      <c r="J47">
        <v>1</v>
      </c>
      <c r="O47">
        <v>1</v>
      </c>
      <c r="P47">
        <f t="shared" si="0"/>
        <v>1</v>
      </c>
      <c r="S47">
        <f t="shared" ref="S47:S48" si="17">L47-Q47</f>
        <v>0</v>
      </c>
      <c r="T47">
        <f t="shared" ref="T47:T48" si="18">S47+N47+Q47+M47</f>
        <v>0</v>
      </c>
      <c r="U47">
        <f t="shared" ref="U47:U48" si="19">T47</f>
        <v>0</v>
      </c>
    </row>
    <row r="48" spans="1:22" x14ac:dyDescent="0.35">
      <c r="A48" t="s">
        <v>179</v>
      </c>
      <c r="B48">
        <f>E48</f>
        <v>1.0696163149411613</v>
      </c>
      <c r="C48">
        <f>B48</f>
        <v>1.0696163149411613</v>
      </c>
      <c r="D48">
        <f>C48</f>
        <v>1.0696163149411613</v>
      </c>
      <c r="E48" s="17">
        <f>PARS!E48</f>
        <v>1.0696163149411613</v>
      </c>
      <c r="F48">
        <f>E48</f>
        <v>1.0696163149411613</v>
      </c>
      <c r="G48">
        <f>E48</f>
        <v>1.0696163149411613</v>
      </c>
      <c r="J48">
        <f>1</f>
        <v>1</v>
      </c>
      <c r="O48">
        <v>1</v>
      </c>
      <c r="P48">
        <f t="shared" si="0"/>
        <v>1</v>
      </c>
      <c r="S48">
        <f t="shared" si="17"/>
        <v>0</v>
      </c>
      <c r="T48">
        <f t="shared" si="18"/>
        <v>0</v>
      </c>
      <c r="U48">
        <f t="shared" si="19"/>
        <v>0</v>
      </c>
    </row>
    <row r="49" spans="1:21" x14ac:dyDescent="0.35">
      <c r="A49" t="s">
        <v>180</v>
      </c>
      <c r="B49">
        <f>E49</f>
        <v>0.99381918034015848</v>
      </c>
      <c r="C49">
        <f>B49</f>
        <v>0.99381918034015848</v>
      </c>
      <c r="D49">
        <f>C49</f>
        <v>0.99381918034015848</v>
      </c>
      <c r="E49" s="17">
        <f>PARS!E49</f>
        <v>0.99381918034015848</v>
      </c>
      <c r="F49">
        <f>E49</f>
        <v>0.99381918034015848</v>
      </c>
      <c r="G49">
        <f>E49</f>
        <v>0.99381918034015848</v>
      </c>
      <c r="J49">
        <f>1</f>
        <v>1</v>
      </c>
      <c r="O49">
        <v>1</v>
      </c>
      <c r="P49">
        <f t="shared" si="0"/>
        <v>1</v>
      </c>
      <c r="S49">
        <f t="shared" si="1"/>
        <v>0</v>
      </c>
      <c r="T49">
        <f t="shared" si="2"/>
        <v>0</v>
      </c>
      <c r="U49">
        <f t="shared" si="15"/>
        <v>0</v>
      </c>
    </row>
    <row r="50" spans="1:21" x14ac:dyDescent="0.35">
      <c r="A50" t="s">
        <v>181</v>
      </c>
      <c r="B50">
        <f>E50</f>
        <v>0.9618468890261952</v>
      </c>
      <c r="C50">
        <f>B50</f>
        <v>0.9618468890261952</v>
      </c>
      <c r="D50">
        <f>C50</f>
        <v>0.9618468890261952</v>
      </c>
      <c r="E50" s="17">
        <f>PARS!E50</f>
        <v>0.9618468890261952</v>
      </c>
      <c r="F50">
        <f>E50</f>
        <v>0.9618468890261952</v>
      </c>
      <c r="G50">
        <f>E50</f>
        <v>0.9618468890261952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5"/>
        <v>0</v>
      </c>
    </row>
    <row r="51" spans="1:21" x14ac:dyDescent="0.35">
      <c r="A51" t="s">
        <v>249</v>
      </c>
      <c r="B51" s="17">
        <f>E51</f>
        <v>1.1000000000000001</v>
      </c>
      <c r="C51">
        <v>1</v>
      </c>
      <c r="D51">
        <v>1</v>
      </c>
      <c r="E51" s="17">
        <v>1.1000000000000001</v>
      </c>
      <c r="F51">
        <v>1</v>
      </c>
      <c r="G51">
        <v>1</v>
      </c>
    </row>
    <row r="52" spans="1:21" x14ac:dyDescent="0.35">
      <c r="A52" t="s">
        <v>250</v>
      </c>
      <c r="B52" s="11">
        <v>0.35</v>
      </c>
      <c r="E52" s="17">
        <v>0.35</v>
      </c>
    </row>
    <row r="53" spans="1:21" x14ac:dyDescent="0.35">
      <c r="A53" t="s">
        <v>251</v>
      </c>
      <c r="B53" s="11">
        <v>23</v>
      </c>
      <c r="E53" s="17">
        <v>23</v>
      </c>
    </row>
  </sheetData>
  <autoFilter ref="A1:V50" xr:uid="{D6333A1E-4CCC-47DA-98C3-E7945B8628B8}">
    <sortState xmlns:xlrd2="http://schemas.microsoft.com/office/spreadsheetml/2017/richdata2" ref="A2:V50">
      <sortCondition ref="I1:I50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J59"/>
  <sheetViews>
    <sheetView tabSelected="1" workbookViewId="0">
      <selection activeCell="C7" sqref="C7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115</v>
      </c>
      <c r="C1" t="s">
        <v>1</v>
      </c>
      <c r="D1" t="s">
        <v>67</v>
      </c>
      <c r="E1" t="s">
        <v>214</v>
      </c>
      <c r="F1" t="s">
        <v>211</v>
      </c>
      <c r="G1" t="s">
        <v>212</v>
      </c>
      <c r="H1" t="s">
        <v>246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0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10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10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0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10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10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0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0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10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10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10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10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I15" t="s">
        <v>200</v>
      </c>
      <c r="J15" t="s">
        <v>201</v>
      </c>
    </row>
    <row r="16" spans="1:10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I24" t="s">
        <v>229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242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225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228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215</v>
      </c>
      <c r="B57" t="s">
        <v>215</v>
      </c>
      <c r="C57">
        <v>1</v>
      </c>
      <c r="D57">
        <v>0</v>
      </c>
      <c r="E57">
        <v>1</v>
      </c>
      <c r="G57">
        <v>100</v>
      </c>
    </row>
    <row r="58" spans="1:9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x14ac:dyDescent="0.35">
      <c r="A59" t="s">
        <v>230</v>
      </c>
      <c r="B59" t="s">
        <v>230</v>
      </c>
      <c r="C59">
        <v>0.59019820000000001</v>
      </c>
      <c r="G59">
        <v>99</v>
      </c>
    </row>
  </sheetData>
  <autoFilter ref="A1:J59" xr:uid="{A42A002A-BEAD-45BB-A257-D80A19A6BE2C}"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104"/>
  <sheetViews>
    <sheetView topLeftCell="A18" workbookViewId="0">
      <selection activeCell="D27" sqref="D27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  <c r="D24">
        <f>SQRT(C24)</f>
        <v>11.29409168654537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</row>
    <row r="30" spans="1:4" x14ac:dyDescent="0.35">
      <c r="A30" t="s">
        <v>38</v>
      </c>
      <c r="B30">
        <v>29</v>
      </c>
      <c r="C30">
        <v>5.1252961163707582E-2</v>
      </c>
    </row>
    <row r="31" spans="1:4" x14ac:dyDescent="0.35">
      <c r="A31" t="s">
        <v>39</v>
      </c>
      <c r="B31">
        <v>30</v>
      </c>
      <c r="C31">
        <v>-1.1007650138021456</v>
      </c>
    </row>
    <row r="32" spans="1:4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202</v>
      </c>
      <c r="C91">
        <v>-0.23237462229539668</v>
      </c>
    </row>
    <row r="92" spans="1:3" x14ac:dyDescent="0.35">
      <c r="A92" t="s">
        <v>203</v>
      </c>
      <c r="C92">
        <v>-0.2885949120223249</v>
      </c>
    </row>
    <row r="93" spans="1:3" x14ac:dyDescent="0.35">
      <c r="A93" t="s">
        <v>204</v>
      </c>
      <c r="C93">
        <v>-0.26293418832561893</v>
      </c>
    </row>
    <row r="94" spans="1:3" x14ac:dyDescent="0.35">
      <c r="A94" t="s">
        <v>205</v>
      </c>
      <c r="C94">
        <v>-0.29549068412733248</v>
      </c>
    </row>
    <row r="95" spans="1:3" x14ac:dyDescent="0.35">
      <c r="A95" t="s">
        <v>206</v>
      </c>
      <c r="C95">
        <v>-0.34749104115171398</v>
      </c>
    </row>
    <row r="96" spans="1:3" x14ac:dyDescent="0.35">
      <c r="A96" t="s">
        <v>207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A9" workbookViewId="0">
      <selection activeCell="F27" sqref="F2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8" x14ac:dyDescent="0.35">
      <c r="A3" t="s">
        <v>9</v>
      </c>
      <c r="B3">
        <v>0.53600000000000003</v>
      </c>
      <c r="C3">
        <v>18.518263999999999</v>
      </c>
    </row>
    <row r="4" spans="1:8" x14ac:dyDescent="0.35">
      <c r="A4" t="s">
        <v>10</v>
      </c>
      <c r="B4">
        <f>1-[1]pinc08!$B$14</f>
        <v>0.15652701064259733</v>
      </c>
      <c r="C4">
        <v>1</v>
      </c>
      <c r="E4" t="s">
        <v>213</v>
      </c>
      <c r="F4" t="s">
        <v>176</v>
      </c>
    </row>
    <row r="5" spans="1:8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244</v>
      </c>
    </row>
    <row r="6" spans="1:8" x14ac:dyDescent="0.35">
      <c r="A6" s="3" t="s">
        <v>12</v>
      </c>
      <c r="E6" t="s">
        <v>13</v>
      </c>
      <c r="F6" t="s">
        <v>112</v>
      </c>
    </row>
    <row r="7" spans="1:8" x14ac:dyDescent="0.35">
      <c r="A7" s="8" t="s">
        <v>14</v>
      </c>
      <c r="E7" t="s">
        <v>245</v>
      </c>
    </row>
    <row r="8" spans="1:8" x14ac:dyDescent="0.35">
      <c r="A8" s="8" t="s">
        <v>15</v>
      </c>
      <c r="E8" t="s">
        <v>16</v>
      </c>
    </row>
    <row r="9" spans="1:8" x14ac:dyDescent="0.35">
      <c r="A9" s="8" t="s">
        <v>17</v>
      </c>
      <c r="E9" t="s">
        <v>18</v>
      </c>
    </row>
    <row r="11" spans="1:8" x14ac:dyDescent="0.35">
      <c r="A11" t="s">
        <v>114</v>
      </c>
      <c r="E11" t="s">
        <v>19</v>
      </c>
    </row>
    <row r="12" spans="1:8" x14ac:dyDescent="0.35">
      <c r="A12" t="s">
        <v>113</v>
      </c>
      <c r="B12" s="9">
        <v>0.4</v>
      </c>
      <c r="E12" t="s">
        <v>19</v>
      </c>
    </row>
    <row r="14" spans="1:8" x14ac:dyDescent="0.35">
      <c r="F14" t="s">
        <v>231</v>
      </c>
    </row>
    <row r="15" spans="1:8" x14ac:dyDescent="0.35">
      <c r="C15" t="s">
        <v>217</v>
      </c>
      <c r="F15" t="s">
        <v>218</v>
      </c>
      <c r="H15" t="s">
        <v>248</v>
      </c>
    </row>
    <row r="16" spans="1:8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PARS!E36</f>
        <v>4.5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220</v>
      </c>
      <c r="H18" t="s">
        <v>222</v>
      </c>
      <c r="J18" t="s">
        <v>223</v>
      </c>
    </row>
    <row r="19" spans="3:10" x14ac:dyDescent="0.35">
      <c r="F19">
        <f>0.5*(((2206.542/(24*365)+EXP(-0.244)*(2206.542/(24*365)-671.547/(24*365)))*(1-0.22) + (2269/(24*365))*(0.22)))*EXP(0.0135*H16)</f>
        <v>0.1915620464160101</v>
      </c>
      <c r="H19">
        <f>F19*G27</f>
        <v>3.9137864684566694</v>
      </c>
      <c r="J19">
        <f>H19*(1/(1-0.16))</f>
        <v>4.6592696053055587</v>
      </c>
    </row>
    <row r="20" spans="3:10" x14ac:dyDescent="0.35">
      <c r="F20" t="s">
        <v>219</v>
      </c>
    </row>
    <row r="21" spans="3:10" x14ac:dyDescent="0.35">
      <c r="F21">
        <f>1873/(24*365)*EXP(0.0135*H16)</f>
        <v>0.22720456918535004</v>
      </c>
      <c r="H21">
        <f>F21*G27</f>
        <v>4.6419955575022058</v>
      </c>
      <c r="J21">
        <f>H21*(1/(1-0.16))</f>
        <v>5.5261851875026258</v>
      </c>
    </row>
    <row r="23" spans="3:10" x14ac:dyDescent="0.35">
      <c r="F23" t="s">
        <v>221</v>
      </c>
    </row>
    <row r="24" spans="3:10" x14ac:dyDescent="0.35">
      <c r="F24">
        <f>(F19*(1-F16)+F21*F16)/(1-0.16)</f>
        <v>0.24629280361743056</v>
      </c>
      <c r="J24">
        <f>J19*(1-F16)+J21*F16</f>
        <v>5.0319855112781511</v>
      </c>
    </row>
    <row r="26" spans="3:10" x14ac:dyDescent="0.35">
      <c r="F26" t="s">
        <v>78</v>
      </c>
      <c r="J26" t="s">
        <v>224</v>
      </c>
    </row>
    <row r="27" spans="3:10" x14ac:dyDescent="0.35">
      <c r="F27">
        <f>1/(F24*0.193)</f>
        <v>21.03734690643789</v>
      </c>
      <c r="G27">
        <v>20.430907591983047</v>
      </c>
      <c r="J27">
        <f>J24*0.193</f>
        <v>0.97117320367668314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205</v>
      </c>
      <c r="CB1" t="s">
        <v>206</v>
      </c>
      <c r="CC1" t="s">
        <v>202</v>
      </c>
      <c r="CD1" t="s">
        <v>203</v>
      </c>
      <c r="CE1" t="s">
        <v>207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204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205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206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202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203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207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208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204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230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196</v>
      </c>
      <c r="B1">
        <v>256413</v>
      </c>
    </row>
    <row r="2" spans="1:2" x14ac:dyDescent="0.35">
      <c r="A2" t="s">
        <v>197</v>
      </c>
      <c r="B2">
        <v>51995</v>
      </c>
    </row>
    <row r="3" spans="1:2" x14ac:dyDescent="0.35">
      <c r="A3" t="s">
        <v>198</v>
      </c>
      <c r="B3">
        <v>664</v>
      </c>
    </row>
    <row r="4" spans="1:2" x14ac:dyDescent="0.35">
      <c r="A4" t="s">
        <v>199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232</v>
      </c>
      <c r="C1" t="s">
        <v>233</v>
      </c>
      <c r="D1" t="s">
        <v>234</v>
      </c>
      <c r="E1" t="s">
        <v>85</v>
      </c>
      <c r="F1" t="s">
        <v>22</v>
      </c>
      <c r="G1" t="s">
        <v>235</v>
      </c>
    </row>
    <row r="2" spans="1:7" x14ac:dyDescent="0.35">
      <c r="A2" t="s">
        <v>236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237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238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239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240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241</v>
      </c>
      <c r="B11">
        <f>(B8+B9)/(F2+G2)</f>
        <v>0.59019788715857813</v>
      </c>
    </row>
    <row r="13" spans="1:7" x14ac:dyDescent="0.35">
      <c r="A13" t="s">
        <v>230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2022-07-21T01:13:45Z</dcterms:modified>
</cp:coreProperties>
</file>