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os\OneDrive - Umich\Documents\D\Michigan\Res\Female careers in location\Codes\matlab\input\"/>
    </mc:Choice>
  </mc:AlternateContent>
  <xr:revisionPtr revIDLastSave="0" documentId="13_ncr:1_{2BA8F8BF-4C08-4020-B27B-D2102EF89E71}" xr6:coauthVersionLast="47" xr6:coauthVersionMax="47" xr10:uidLastSave="{00000000-0000-0000-0000-000000000000}"/>
  <bookViews>
    <workbookView xWindow="360" yWindow="170" windowWidth="18840" windowHeight="10630" firstSheet="1" activeTab="3" xr2:uid="{3C89D72B-78E5-4CC5-9BC1-023C2A9E36C5}"/>
  </bookViews>
  <sheets>
    <sheet name="PARSTEST" sheetId="11" r:id="rId1"/>
    <sheet name="PARS" sheetId="3" r:id="rId2"/>
    <sheet name="notes" sheetId="15" r:id="rId3"/>
    <sheet name="PARS4" sheetId="14" r:id="rId4"/>
    <sheet name="MOMS" sheetId="2" r:id="rId5"/>
    <sheet name="W" sheetId="10" r:id="rId6"/>
    <sheet name="W_" sheetId="8" r:id="rId7"/>
    <sheet name="parskickedout" sheetId="5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</sheets>
  <externalReferences>
    <externalReference r:id="rId16"/>
  </externalReferences>
  <definedNames>
    <definedName name="_xlnm._FilterDatabase" localSheetId="4" hidden="1">MOMS!$A$1:$J$59</definedName>
    <definedName name="_xlnm._FilterDatabase" localSheetId="1" hidden="1">PARS!$A$1:$V$51</definedName>
    <definedName name="_xlnm._FilterDatabase" localSheetId="3" hidden="1">PARS4!$A$1:$V$51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3" l="1"/>
  <c r="D20" i="3"/>
  <c r="E48" i="3"/>
  <c r="I16" i="1" l="1"/>
  <c r="S47" i="3"/>
  <c r="S48" i="3"/>
  <c r="T48" i="3" s="1"/>
  <c r="T47" i="3"/>
  <c r="U47" i="3" s="1"/>
  <c r="P48" i="3"/>
  <c r="K48" i="11" s="1"/>
  <c r="P47" i="3"/>
  <c r="F48" i="11"/>
  <c r="G48" i="11"/>
  <c r="H48" i="11"/>
  <c r="I48" i="11"/>
  <c r="J48" i="11"/>
  <c r="L48" i="11"/>
  <c r="M48" i="11"/>
  <c r="N48" i="11"/>
  <c r="Q48" i="11"/>
  <c r="P48" i="14"/>
  <c r="S48" i="14"/>
  <c r="T48" i="14" s="1"/>
  <c r="U48" i="14" s="1"/>
  <c r="E49" i="14"/>
  <c r="B49" i="14" s="1"/>
  <c r="C49" i="14" s="1"/>
  <c r="D49" i="14" s="1"/>
  <c r="J49" i="14"/>
  <c r="P49" i="14"/>
  <c r="S49" i="14"/>
  <c r="T49" i="14" s="1"/>
  <c r="U49" i="14" s="1"/>
  <c r="E51" i="3"/>
  <c r="E50" i="3"/>
  <c r="E49" i="3"/>
  <c r="G47" i="3"/>
  <c r="G48" i="3" s="1"/>
  <c r="F47" i="3"/>
  <c r="F47" i="14" s="1"/>
  <c r="B47" i="3"/>
  <c r="B47" i="11" s="1"/>
  <c r="S47" i="14"/>
  <c r="T47" i="14" s="1"/>
  <c r="U47" i="14" s="1"/>
  <c r="P47" i="14"/>
  <c r="E47" i="14"/>
  <c r="B47" i="14" s="1"/>
  <c r="F47" i="11"/>
  <c r="G47" i="11"/>
  <c r="H47" i="11"/>
  <c r="I47" i="11"/>
  <c r="J47" i="11"/>
  <c r="K47" i="11"/>
  <c r="L47" i="11"/>
  <c r="M47" i="11"/>
  <c r="N47" i="11"/>
  <c r="Q47" i="11"/>
  <c r="F46" i="11"/>
  <c r="G46" i="11"/>
  <c r="H46" i="11"/>
  <c r="I46" i="11"/>
  <c r="J46" i="11"/>
  <c r="L46" i="11"/>
  <c r="M46" i="11"/>
  <c r="Q46" i="11"/>
  <c r="C20" i="3"/>
  <c r="C20" i="11" s="1"/>
  <c r="D20" i="11"/>
  <c r="B23" i="11"/>
  <c r="C23" i="11"/>
  <c r="D23" i="11"/>
  <c r="B27" i="11"/>
  <c r="C27" i="11"/>
  <c r="D27" i="11"/>
  <c r="C28" i="11"/>
  <c r="D28" i="11"/>
  <c r="B38" i="11"/>
  <c r="C38" i="11"/>
  <c r="D38" i="11"/>
  <c r="B42" i="11"/>
  <c r="B45" i="11"/>
  <c r="C45" i="11"/>
  <c r="B46" i="11"/>
  <c r="B52" i="14"/>
  <c r="E40" i="14"/>
  <c r="E50" i="14"/>
  <c r="E3" i="14"/>
  <c r="B3" i="14" s="1"/>
  <c r="C3" i="14" s="1"/>
  <c r="D3" i="14" s="1"/>
  <c r="E4" i="14"/>
  <c r="J4" i="14" s="1"/>
  <c r="E6" i="14"/>
  <c r="G6" i="14" s="1"/>
  <c r="E8" i="14"/>
  <c r="B8" i="14" s="1"/>
  <c r="V8" i="14" s="1"/>
  <c r="E9" i="14"/>
  <c r="B9" i="14" s="1"/>
  <c r="V9" i="14" s="1"/>
  <c r="E10" i="14"/>
  <c r="J10" i="14" s="1"/>
  <c r="E11" i="14"/>
  <c r="G11" i="14" s="1"/>
  <c r="D11" i="14" s="1"/>
  <c r="E12" i="14"/>
  <c r="B12" i="14" s="1"/>
  <c r="V12" i="14" s="1"/>
  <c r="E13" i="14"/>
  <c r="B13" i="14" s="1"/>
  <c r="E14" i="14"/>
  <c r="B14" i="14" s="1"/>
  <c r="D14" i="14" s="1"/>
  <c r="E15" i="14"/>
  <c r="B15" i="14" s="1"/>
  <c r="V15" i="14" s="1"/>
  <c r="E16" i="14"/>
  <c r="B16" i="14" s="1"/>
  <c r="V16" i="14" s="1"/>
  <c r="E17" i="14"/>
  <c r="J17" i="14" s="1"/>
  <c r="E18" i="14"/>
  <c r="J18" i="14" s="1"/>
  <c r="E19" i="14"/>
  <c r="B19" i="14" s="1"/>
  <c r="E20" i="14"/>
  <c r="B20" i="14" s="1"/>
  <c r="V20" i="14" s="1"/>
  <c r="E21" i="14"/>
  <c r="J21" i="14" s="1"/>
  <c r="E22" i="14"/>
  <c r="B22" i="14" s="1"/>
  <c r="V22" i="14" s="1"/>
  <c r="E23" i="14"/>
  <c r="E24" i="14"/>
  <c r="B24" i="14" s="1"/>
  <c r="E25" i="14"/>
  <c r="B25" i="14" s="1"/>
  <c r="E26" i="14"/>
  <c r="J26" i="14" s="1"/>
  <c r="E27" i="14"/>
  <c r="E28" i="14"/>
  <c r="E29" i="14"/>
  <c r="B29" i="14" s="1"/>
  <c r="V29" i="14" s="1"/>
  <c r="E30" i="14"/>
  <c r="B30" i="14" s="1"/>
  <c r="V30" i="14" s="1"/>
  <c r="E31" i="14"/>
  <c r="B31" i="14" s="1"/>
  <c r="V31" i="14" s="1"/>
  <c r="E32" i="14"/>
  <c r="B32" i="14" s="1"/>
  <c r="V32" i="14" s="1"/>
  <c r="E33" i="14"/>
  <c r="J33" i="14" s="1"/>
  <c r="E34" i="14"/>
  <c r="J34" i="14" s="1"/>
  <c r="E35" i="14"/>
  <c r="B35" i="14" s="1"/>
  <c r="V35" i="14" s="1"/>
  <c r="E36" i="14"/>
  <c r="J36" i="14" s="1"/>
  <c r="E37" i="14"/>
  <c r="B37" i="14" s="1"/>
  <c r="V37" i="14" s="1"/>
  <c r="E38" i="14"/>
  <c r="E39" i="14"/>
  <c r="J39" i="14" s="1"/>
  <c r="E41" i="14"/>
  <c r="E42" i="14"/>
  <c r="E43" i="14"/>
  <c r="F43" i="14" s="1"/>
  <c r="C43" i="14" s="1"/>
  <c r="E44" i="14"/>
  <c r="B44" i="14" s="1"/>
  <c r="E45" i="14"/>
  <c r="E46" i="14"/>
  <c r="E51" i="14"/>
  <c r="F51" i="14" s="1"/>
  <c r="S51" i="14"/>
  <c r="T51" i="14" s="1"/>
  <c r="U51" i="14" s="1"/>
  <c r="P51" i="14"/>
  <c r="J51" i="14"/>
  <c r="T50" i="14"/>
  <c r="U50" i="14" s="1"/>
  <c r="S50" i="14"/>
  <c r="P50" i="14"/>
  <c r="J50" i="14"/>
  <c r="S46" i="14"/>
  <c r="T46" i="14" s="1"/>
  <c r="U46" i="14" s="1"/>
  <c r="P46" i="14"/>
  <c r="J46" i="14"/>
  <c r="D46" i="14"/>
  <c r="C46" i="14"/>
  <c r="S45" i="14"/>
  <c r="T45" i="14" s="1"/>
  <c r="U45" i="14" s="1"/>
  <c r="P45" i="14"/>
  <c r="J45" i="14"/>
  <c r="D45" i="14"/>
  <c r="S44" i="14"/>
  <c r="T44" i="14" s="1"/>
  <c r="U44" i="14" s="1"/>
  <c r="P44" i="14"/>
  <c r="J44" i="14"/>
  <c r="S43" i="14"/>
  <c r="T43" i="14" s="1"/>
  <c r="U43" i="14" s="1"/>
  <c r="P43" i="14"/>
  <c r="J43" i="14"/>
  <c r="S42" i="14"/>
  <c r="T42" i="14" s="1"/>
  <c r="U42" i="14" s="1"/>
  <c r="P42" i="14"/>
  <c r="J42" i="14"/>
  <c r="C42" i="14"/>
  <c r="D42" i="14" s="1"/>
  <c r="S41" i="14"/>
  <c r="T41" i="14" s="1"/>
  <c r="U41" i="14" s="1"/>
  <c r="P41" i="14"/>
  <c r="J41" i="14"/>
  <c r="B41" i="14"/>
  <c r="C41" i="14" s="1"/>
  <c r="S40" i="14"/>
  <c r="T40" i="14" s="1"/>
  <c r="P40" i="14"/>
  <c r="S39" i="14"/>
  <c r="T39" i="14" s="1"/>
  <c r="U39" i="14" s="1"/>
  <c r="P39" i="14"/>
  <c r="S38" i="14"/>
  <c r="T38" i="14" s="1"/>
  <c r="U38" i="14" s="1"/>
  <c r="P38" i="14"/>
  <c r="J38" i="14"/>
  <c r="S37" i="14"/>
  <c r="T37" i="14" s="1"/>
  <c r="U37" i="14" s="1"/>
  <c r="P37" i="14"/>
  <c r="D37" i="14"/>
  <c r="C37" i="14"/>
  <c r="S36" i="14"/>
  <c r="T36" i="14" s="1"/>
  <c r="U36" i="14" s="1"/>
  <c r="P36" i="14"/>
  <c r="G36" i="14"/>
  <c r="D36" i="14" s="1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D33" i="14"/>
  <c r="C33" i="14"/>
  <c r="S32" i="14"/>
  <c r="T32" i="14" s="1"/>
  <c r="U32" i="14" s="1"/>
  <c r="P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D29" i="14"/>
  <c r="C29" i="14"/>
  <c r="S28" i="14"/>
  <c r="T28" i="14" s="1"/>
  <c r="U28" i="14" s="1"/>
  <c r="P28" i="14"/>
  <c r="J28" i="14"/>
  <c r="S27" i="14"/>
  <c r="T27" i="14" s="1"/>
  <c r="U27" i="14" s="1"/>
  <c r="P27" i="14"/>
  <c r="J27" i="14"/>
  <c r="S26" i="14"/>
  <c r="T26" i="14" s="1"/>
  <c r="U26" i="14" s="1"/>
  <c r="P26" i="14"/>
  <c r="D26" i="14"/>
  <c r="C26" i="14"/>
  <c r="T25" i="14"/>
  <c r="U25" i="14" s="1"/>
  <c r="S25" i="14"/>
  <c r="P25" i="14"/>
  <c r="J25" i="14"/>
  <c r="D25" i="14"/>
  <c r="C25" i="14"/>
  <c r="S24" i="14"/>
  <c r="T24" i="14" s="1"/>
  <c r="U24" i="14" s="1"/>
  <c r="P24" i="14"/>
  <c r="J24" i="14"/>
  <c r="F24" i="14"/>
  <c r="C24" i="14" s="1"/>
  <c r="D24" i="14"/>
  <c r="S23" i="14"/>
  <c r="T23" i="14" s="1"/>
  <c r="U23" i="14" s="1"/>
  <c r="P23" i="14"/>
  <c r="J23" i="14"/>
  <c r="S22" i="14"/>
  <c r="T22" i="14" s="1"/>
  <c r="U22" i="14" s="1"/>
  <c r="P22" i="14"/>
  <c r="D22" i="14"/>
  <c r="C22" i="14"/>
  <c r="S21" i="14"/>
  <c r="T21" i="14" s="1"/>
  <c r="U21" i="14" s="1"/>
  <c r="P21" i="14"/>
  <c r="D21" i="14"/>
  <c r="C21" i="14"/>
  <c r="Y20" i="14"/>
  <c r="Z20" i="14" s="1"/>
  <c r="S20" i="14"/>
  <c r="T20" i="14" s="1"/>
  <c r="U20" i="14" s="1"/>
  <c r="P20" i="14"/>
  <c r="D20" i="14"/>
  <c r="C20" i="14"/>
  <c r="S19" i="14"/>
  <c r="T19" i="14" s="1"/>
  <c r="U19" i="14" s="1"/>
  <c r="P19" i="14"/>
  <c r="J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D15" i="14"/>
  <c r="C15" i="14"/>
  <c r="S14" i="14"/>
  <c r="T14" i="14" s="1"/>
  <c r="U14" i="14" s="1"/>
  <c r="P14" i="14"/>
  <c r="S13" i="14"/>
  <c r="T13" i="14" s="1"/>
  <c r="U13" i="14" s="1"/>
  <c r="P13" i="14"/>
  <c r="D13" i="14"/>
  <c r="C13" i="14"/>
  <c r="T12" i="14"/>
  <c r="U12" i="14" s="1"/>
  <c r="S12" i="14"/>
  <c r="P12" i="14"/>
  <c r="D12" i="14"/>
  <c r="C12" i="14"/>
  <c r="U11" i="14"/>
  <c r="T11" i="14"/>
  <c r="S11" i="14"/>
  <c r="P11" i="14"/>
  <c r="J11" i="14"/>
  <c r="S10" i="14"/>
  <c r="T10" i="14" s="1"/>
  <c r="U10" i="14" s="1"/>
  <c r="P10" i="14"/>
  <c r="G10" i="14"/>
  <c r="F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T7" i="14"/>
  <c r="U7" i="14" s="1"/>
  <c r="S7" i="14"/>
  <c r="P7" i="14"/>
  <c r="D7" i="14"/>
  <c r="C7" i="14"/>
  <c r="S6" i="14"/>
  <c r="T6" i="14" s="1"/>
  <c r="P6" i="14"/>
  <c r="J6" i="14"/>
  <c r="T5" i="14"/>
  <c r="U5" i="14" s="1"/>
  <c r="S5" i="14"/>
  <c r="P5" i="14"/>
  <c r="S4" i="14"/>
  <c r="T4" i="14" s="1"/>
  <c r="U4" i="14" s="1"/>
  <c r="P4" i="14"/>
  <c r="D4" i="14"/>
  <c r="D5" i="14" s="1"/>
  <c r="C4" i="14"/>
  <c r="C10" i="14" s="1"/>
  <c r="S3" i="14"/>
  <c r="T3" i="14" s="1"/>
  <c r="U3" i="14" s="1"/>
  <c r="P3" i="14"/>
  <c r="J3" i="14"/>
  <c r="S2" i="14"/>
  <c r="T2" i="14" s="1"/>
  <c r="U2" i="14" s="1"/>
  <c r="P2" i="14"/>
  <c r="J2" i="14"/>
  <c r="B20" i="3"/>
  <c r="V20" i="3" s="1"/>
  <c r="J7" i="3"/>
  <c r="H16" i="1"/>
  <c r="D24" i="6"/>
  <c r="F10" i="3"/>
  <c r="J20" i="3"/>
  <c r="Y20" i="3"/>
  <c r="Z20" i="3" s="1"/>
  <c r="F32" i="3"/>
  <c r="G32" i="3" s="1"/>
  <c r="D32" i="3" s="1"/>
  <c r="D32" i="11" s="1"/>
  <c r="B32" i="3"/>
  <c r="B32" i="11" s="1"/>
  <c r="J19" i="3"/>
  <c r="B19" i="3"/>
  <c r="B19" i="11" s="1"/>
  <c r="J22" i="3"/>
  <c r="B12" i="3"/>
  <c r="B12" i="11" s="1"/>
  <c r="G51" i="3"/>
  <c r="F51" i="3"/>
  <c r="F50" i="3"/>
  <c r="F44" i="3"/>
  <c r="G44" i="3" s="1"/>
  <c r="F43" i="3"/>
  <c r="G43" i="3" s="1"/>
  <c r="G36" i="3"/>
  <c r="F24" i="3"/>
  <c r="G11" i="3"/>
  <c r="F11" i="3"/>
  <c r="G10" i="3"/>
  <c r="G6" i="3"/>
  <c r="J5" i="3"/>
  <c r="J39" i="3"/>
  <c r="J37" i="3"/>
  <c r="J36" i="3"/>
  <c r="J35" i="3"/>
  <c r="J34" i="3"/>
  <c r="J33" i="3"/>
  <c r="J32" i="3"/>
  <c r="J31" i="3"/>
  <c r="J30" i="3"/>
  <c r="J29" i="3"/>
  <c r="J26" i="3"/>
  <c r="J21" i="3"/>
  <c r="J18" i="3"/>
  <c r="J17" i="3"/>
  <c r="J16" i="3"/>
  <c r="J15" i="3"/>
  <c r="J14" i="3"/>
  <c r="J13" i="3"/>
  <c r="B14" i="3"/>
  <c r="B14" i="11" s="1"/>
  <c r="B13" i="3"/>
  <c r="B13" i="11" s="1"/>
  <c r="J6" i="3"/>
  <c r="B6" i="3"/>
  <c r="B6" i="11" s="1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9" i="3"/>
  <c r="J50" i="3"/>
  <c r="J51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9" i="11"/>
  <c r="Q50" i="11"/>
  <c r="Q51" i="11"/>
  <c r="Q2" i="11"/>
  <c r="S4" i="11"/>
  <c r="B33" i="2"/>
  <c r="D33" i="3"/>
  <c r="D33" i="11" s="1"/>
  <c r="D16" i="3"/>
  <c r="D16" i="11" s="1"/>
  <c r="C16" i="3"/>
  <c r="C16" i="11" s="1"/>
  <c r="B16" i="3"/>
  <c r="V16" i="3" s="1"/>
  <c r="B22" i="3"/>
  <c r="C16" i="1"/>
  <c r="B50" i="3"/>
  <c r="B50" i="11" s="1"/>
  <c r="B51" i="3"/>
  <c r="B51" i="11" s="1"/>
  <c r="B24" i="3"/>
  <c r="F16" i="1"/>
  <c r="C17" i="1"/>
  <c r="C58" i="2"/>
  <c r="B40" i="3"/>
  <c r="B40" i="11" s="1"/>
  <c r="B39" i="3"/>
  <c r="B39" i="11" s="1"/>
  <c r="B57" i="8"/>
  <c r="A55" i="10" s="1"/>
  <c r="B56" i="8"/>
  <c r="A54" i="10" s="1"/>
  <c r="BE2" i="8"/>
  <c r="BC1" i="10" s="1"/>
  <c r="BD2" i="8"/>
  <c r="BB1" i="10" s="1"/>
  <c r="P27" i="3"/>
  <c r="B44" i="3"/>
  <c r="B44" i="11" s="1"/>
  <c r="B43" i="3"/>
  <c r="B43" i="11" s="1"/>
  <c r="B10" i="3"/>
  <c r="B10" i="11" s="1"/>
  <c r="G49" i="14" l="1"/>
  <c r="F49" i="14"/>
  <c r="B18" i="14"/>
  <c r="V18" i="14" s="1"/>
  <c r="J14" i="14"/>
  <c r="B10" i="14"/>
  <c r="J22" i="14"/>
  <c r="J16" i="14"/>
  <c r="F32" i="14"/>
  <c r="G32" i="14" s="1"/>
  <c r="D32" i="14" s="1"/>
  <c r="J20" i="14"/>
  <c r="J32" i="14"/>
  <c r="F19" i="1"/>
  <c r="H19" i="1" s="1"/>
  <c r="J8" i="14"/>
  <c r="J12" i="14"/>
  <c r="F44" i="14"/>
  <c r="G44" i="14" s="1"/>
  <c r="D44" i="14" s="1"/>
  <c r="E5" i="14"/>
  <c r="B5" i="14" s="1"/>
  <c r="J35" i="14"/>
  <c r="D47" i="3"/>
  <c r="D47" i="11" s="1"/>
  <c r="J16" i="1"/>
  <c r="D48" i="3"/>
  <c r="D48" i="11" s="1"/>
  <c r="G48" i="14"/>
  <c r="F21" i="1"/>
  <c r="H21" i="1" s="1"/>
  <c r="F48" i="3"/>
  <c r="G47" i="14"/>
  <c r="C47" i="3"/>
  <c r="C47" i="11" s="1"/>
  <c r="B48" i="3"/>
  <c r="B48" i="11" s="1"/>
  <c r="E48" i="14"/>
  <c r="B48" i="14" s="1"/>
  <c r="D48" i="14" s="1"/>
  <c r="U48" i="3"/>
  <c r="O48" i="11"/>
  <c r="O47" i="11"/>
  <c r="B4" i="14"/>
  <c r="V4" i="14" s="1"/>
  <c r="B21" i="14"/>
  <c r="V21" i="14" s="1"/>
  <c r="J13" i="14"/>
  <c r="B17" i="14"/>
  <c r="V17" i="14" s="1"/>
  <c r="B40" i="14"/>
  <c r="C40" i="14" s="1"/>
  <c r="D40" i="14" s="1"/>
  <c r="J40" i="14"/>
  <c r="J40" i="3"/>
  <c r="J30" i="14"/>
  <c r="B34" i="14"/>
  <c r="V34" i="14" s="1"/>
  <c r="B26" i="14"/>
  <c r="V26" i="14" s="1"/>
  <c r="E47" i="11"/>
  <c r="D47" i="14"/>
  <c r="C47" i="14"/>
  <c r="J15" i="14"/>
  <c r="D41" i="14"/>
  <c r="B11" i="14"/>
  <c r="V11" i="14" s="1"/>
  <c r="B6" i="14"/>
  <c r="C6" i="14" s="1"/>
  <c r="F11" i="14"/>
  <c r="C11" i="14" s="1"/>
  <c r="C14" i="14"/>
  <c r="J31" i="14"/>
  <c r="B43" i="14"/>
  <c r="G51" i="14"/>
  <c r="B36" i="14"/>
  <c r="V36" i="14" s="1"/>
  <c r="G50" i="3"/>
  <c r="J9" i="14"/>
  <c r="J29" i="14"/>
  <c r="J37" i="14"/>
  <c r="B33" i="14"/>
  <c r="V33" i="14" s="1"/>
  <c r="E7" i="14"/>
  <c r="J7" i="14" s="1"/>
  <c r="B39" i="14"/>
  <c r="C39" i="14" s="1"/>
  <c r="D39" i="14" s="1"/>
  <c r="G50" i="14"/>
  <c r="F50" i="14"/>
  <c r="B50" i="14"/>
  <c r="C50" i="14" s="1"/>
  <c r="D50" i="14" s="1"/>
  <c r="B49" i="3"/>
  <c r="B49" i="11" s="1"/>
  <c r="F49" i="3"/>
  <c r="G49" i="3"/>
  <c r="B51" i="14"/>
  <c r="C51" i="14" s="1"/>
  <c r="D51" i="14" s="1"/>
  <c r="D10" i="14"/>
  <c r="G43" i="14"/>
  <c r="D43" i="14" s="1"/>
  <c r="C5" i="14"/>
  <c r="C32" i="3"/>
  <c r="C32" i="11" s="1"/>
  <c r="X1" i="10"/>
  <c r="B5" i="3"/>
  <c r="B5" i="11" s="1"/>
  <c r="Z26" i="8" a="1"/>
  <c r="Z26" i="8" s="1"/>
  <c r="X24" i="10" s="1"/>
  <c r="B3" i="3"/>
  <c r="B3" i="11" s="1"/>
  <c r="C32" i="14" l="1"/>
  <c r="C44" i="14"/>
  <c r="J5" i="14"/>
  <c r="C48" i="14"/>
  <c r="C48" i="3"/>
  <c r="C48" i="11" s="1"/>
  <c r="E48" i="11" s="1"/>
  <c r="F48" i="14"/>
  <c r="D6" i="14"/>
  <c r="B7" i="14"/>
  <c r="V7" i="14" s="1"/>
  <c r="F24" i="1"/>
  <c r="J19" i="1"/>
  <c r="J21" i="1" l="1"/>
  <c r="J24" i="1" s="1"/>
  <c r="J27" i="1" s="1"/>
  <c r="F27" i="1"/>
  <c r="E2" i="3" s="1"/>
  <c r="C19" i="3"/>
  <c r="C19" i="11" s="1"/>
  <c r="D19" i="3"/>
  <c r="D19" i="11" s="1"/>
  <c r="G2" i="3" l="1"/>
  <c r="D2" i="3" s="1"/>
  <c r="D2" i="11" s="1"/>
  <c r="F2" i="3"/>
  <c r="C2" i="3" s="1"/>
  <c r="C2" i="11" s="1"/>
  <c r="E2" i="14"/>
  <c r="B2" i="3"/>
  <c r="B2" i="11" s="1"/>
  <c r="B17" i="2"/>
  <c r="C17" i="2" s="1"/>
  <c r="D45" i="3"/>
  <c r="D45" i="11" s="1"/>
  <c r="C13" i="3"/>
  <c r="C13" i="11" s="1"/>
  <c r="D13" i="3"/>
  <c r="D13" i="11" s="1"/>
  <c r="D11" i="3"/>
  <c r="D11" i="11" s="1"/>
  <c r="C11" i="3"/>
  <c r="C11" i="11" s="1"/>
  <c r="C12" i="3"/>
  <c r="C12" i="11" s="1"/>
  <c r="D12" i="3"/>
  <c r="D12" i="11" s="1"/>
  <c r="C15" i="3"/>
  <c r="C15" i="11" s="1"/>
  <c r="D15" i="3"/>
  <c r="D15" i="11" s="1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C22" i="11" s="1"/>
  <c r="V22" i="3"/>
  <c r="C24" i="3"/>
  <c r="C24" i="11" s="1"/>
  <c r="D24" i="3"/>
  <c r="D24" i="11" s="1"/>
  <c r="C25" i="3"/>
  <c r="C25" i="11" s="1"/>
  <c r="D25" i="3"/>
  <c r="D25" i="11" s="1"/>
  <c r="B25" i="3"/>
  <c r="D36" i="3"/>
  <c r="D36" i="11" s="1"/>
  <c r="C36" i="3"/>
  <c r="C36" i="11" s="1"/>
  <c r="D17" i="3"/>
  <c r="D17" i="11" s="1"/>
  <c r="C17" i="3"/>
  <c r="C17" i="11" s="1"/>
  <c r="D9" i="3"/>
  <c r="D9" i="11" s="1"/>
  <c r="C9" i="3"/>
  <c r="C9" i="11" s="1"/>
  <c r="D8" i="3"/>
  <c r="D8" i="11" s="1"/>
  <c r="C8" i="3"/>
  <c r="C8" i="11" s="1"/>
  <c r="D35" i="3"/>
  <c r="D35" i="11" s="1"/>
  <c r="C35" i="3"/>
  <c r="C35" i="11" s="1"/>
  <c r="D34" i="3"/>
  <c r="D34" i="11" s="1"/>
  <c r="C34" i="3"/>
  <c r="C34" i="11" s="1"/>
  <c r="C33" i="3"/>
  <c r="C33" i="11" s="1"/>
  <c r="D29" i="3"/>
  <c r="D29" i="11" s="1"/>
  <c r="C29" i="3"/>
  <c r="C29" i="11" s="1"/>
  <c r="D31" i="3"/>
  <c r="D31" i="11" s="1"/>
  <c r="C31" i="3"/>
  <c r="C31" i="11" s="1"/>
  <c r="D30" i="3"/>
  <c r="D30" i="11" s="1"/>
  <c r="C30" i="3"/>
  <c r="C30" i="11" s="1"/>
  <c r="D26" i="3"/>
  <c r="D26" i="11" s="1"/>
  <c r="C26" i="3"/>
  <c r="C26" i="11" s="1"/>
  <c r="D4" i="3"/>
  <c r="C4" i="3"/>
  <c r="D7" i="3"/>
  <c r="D7" i="11" s="1"/>
  <c r="C7" i="3"/>
  <c r="C7" i="11" s="1"/>
  <c r="D18" i="3"/>
  <c r="D18" i="11" s="1"/>
  <c r="C18" i="3"/>
  <c r="C18" i="11" s="1"/>
  <c r="D37" i="3"/>
  <c r="D37" i="11" s="1"/>
  <c r="C37" i="3"/>
  <c r="C37" i="11" s="1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B11" i="3"/>
  <c r="B11" i="11" s="1"/>
  <c r="V12" i="3"/>
  <c r="C40" i="3"/>
  <c r="C40" i="11" s="1"/>
  <c r="C42" i="3"/>
  <c r="C42" i="11" s="1"/>
  <c r="C49" i="3"/>
  <c r="C49" i="11" s="1"/>
  <c r="C50" i="3"/>
  <c r="C50" i="11" s="1"/>
  <c r="C51" i="3"/>
  <c r="C51" i="11" s="1"/>
  <c r="C39" i="3"/>
  <c r="C39" i="11" s="1"/>
  <c r="C6" i="3"/>
  <c r="C6" i="11" s="1"/>
  <c r="D6" i="3"/>
  <c r="D6" i="11" s="1"/>
  <c r="D46" i="3"/>
  <c r="D46" i="11" s="1"/>
  <c r="E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9" i="11"/>
  <c r="G49" i="11"/>
  <c r="H49" i="11"/>
  <c r="I49" i="11"/>
  <c r="J49" i="11"/>
  <c r="L49" i="11"/>
  <c r="M49" i="11"/>
  <c r="F50" i="11"/>
  <c r="G50" i="11"/>
  <c r="H50" i="11"/>
  <c r="I50" i="11"/>
  <c r="J50" i="11"/>
  <c r="L50" i="11"/>
  <c r="M50" i="11"/>
  <c r="F51" i="11"/>
  <c r="G51" i="11"/>
  <c r="H51" i="11"/>
  <c r="I51" i="11"/>
  <c r="J51" i="11"/>
  <c r="L51" i="11"/>
  <c r="M51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9" i="3"/>
  <c r="T49" i="3" s="1"/>
  <c r="S50" i="3"/>
  <c r="T50" i="3" s="1"/>
  <c r="S51" i="3"/>
  <c r="T51" i="3" s="1"/>
  <c r="P49" i="3"/>
  <c r="K49" i="11" s="1"/>
  <c r="P50" i="3"/>
  <c r="K50" i="11" s="1"/>
  <c r="P51" i="3"/>
  <c r="K51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C14" i="11" s="1"/>
  <c r="D14" i="3"/>
  <c r="D14" i="11" s="1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K46" i="11" s="1"/>
  <c r="S46" i="3"/>
  <c r="B41" i="3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4" l="1"/>
  <c r="D2" i="14" s="1"/>
  <c r="F2" i="14"/>
  <c r="C2" i="14" s="1"/>
  <c r="B2" i="14"/>
  <c r="T46" i="3"/>
  <c r="N46" i="11"/>
  <c r="C5" i="3"/>
  <c r="C5" i="11" s="1"/>
  <c r="C4" i="11"/>
  <c r="D5" i="3"/>
  <c r="D5" i="11" s="1"/>
  <c r="D4" i="11"/>
  <c r="C41" i="3"/>
  <c r="C41" i="11" s="1"/>
  <c r="B41" i="11"/>
  <c r="V15" i="3"/>
  <c r="B15" i="11"/>
  <c r="E15" i="11" s="1"/>
  <c r="G2" i="13"/>
  <c r="F2" i="13"/>
  <c r="Z7" i="8" a="1"/>
  <c r="Z7" i="8" s="1"/>
  <c r="X5" i="10" s="1"/>
  <c r="E22" i="11"/>
  <c r="K23" i="11"/>
  <c r="E21" i="11"/>
  <c r="O51" i="11"/>
  <c r="U51" i="3"/>
  <c r="O22" i="11"/>
  <c r="U33" i="3"/>
  <c r="O50" i="11"/>
  <c r="U50" i="3"/>
  <c r="D39" i="3"/>
  <c r="D39" i="11" s="1"/>
  <c r="O49" i="11"/>
  <c r="U49" i="3"/>
  <c r="D40" i="3"/>
  <c r="D40" i="11" s="1"/>
  <c r="C57" i="8"/>
  <c r="A57" i="8" s="1"/>
  <c r="C56" i="8"/>
  <c r="A56" i="8" s="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O44" i="11"/>
  <c r="K39" i="11"/>
  <c r="K4" i="11"/>
  <c r="O30" i="11"/>
  <c r="O18" i="11"/>
  <c r="N45" i="11"/>
  <c r="K38" i="11"/>
  <c r="K20" i="11"/>
  <c r="K13" i="11"/>
  <c r="K11" i="11"/>
  <c r="K9" i="11"/>
  <c r="K7" i="11"/>
  <c r="K5" i="11"/>
  <c r="K28" i="11"/>
  <c r="K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36" i="11"/>
  <c r="E28" i="11"/>
  <c r="D10" i="3"/>
  <c r="D10" i="11" s="1"/>
  <c r="C10" i="3"/>
  <c r="C10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V37" i="3"/>
  <c r="T15" i="3"/>
  <c r="T29" i="3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9" i="3"/>
  <c r="D49" i="11" s="1"/>
  <c r="D42" i="3"/>
  <c r="D42" i="11" s="1"/>
  <c r="N50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50" i="3"/>
  <c r="D50" i="11" s="1"/>
  <c r="N51" i="11"/>
  <c r="N49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51" i="3"/>
  <c r="D51" i="11" s="1"/>
  <c r="C54" i="2"/>
  <c r="BB3" i="8"/>
  <c r="BB1" i="8" s="1"/>
  <c r="C55" i="2"/>
  <c r="C4" i="8"/>
  <c r="A4" i="8" s="1"/>
  <c r="Z4" i="8" s="1" a="1"/>
  <c r="Z4" i="8" s="1"/>
  <c r="X2" i="10" s="1"/>
  <c r="C48" i="2"/>
  <c r="U46" i="3" l="1"/>
  <c r="O46" i="1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O9" i="11"/>
  <c r="O8" i="11"/>
  <c r="U7" i="3"/>
  <c r="O3" i="11"/>
  <c r="U2" i="3"/>
  <c r="O17" i="11"/>
  <c r="U26" i="3"/>
  <c r="E51" i="11"/>
  <c r="E50" i="11"/>
  <c r="E49" i="1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O29" i="11"/>
  <c r="E8" i="11"/>
  <c r="E6" i="11"/>
  <c r="E32" i="11"/>
  <c r="O27" i="11"/>
  <c r="O13" i="11"/>
  <c r="E11" i="11"/>
  <c r="E16" i="11"/>
  <c r="O12" i="11"/>
  <c r="E17" i="11"/>
  <c r="E29" i="11"/>
  <c r="E34" i="11"/>
  <c r="O6" i="11"/>
  <c r="E31" i="11"/>
  <c r="E45" i="11"/>
  <c r="O15" i="11"/>
  <c r="O7" i="11"/>
  <c r="O10" i="11"/>
  <c r="E42" i="11"/>
  <c r="O2" i="11"/>
  <c r="O11" i="11"/>
  <c r="O26" i="11"/>
  <c r="O14" i="11"/>
  <c r="O5" i="11"/>
  <c r="E33" i="11"/>
  <c r="O16" i="11"/>
  <c r="O36" i="11"/>
  <c r="O42" i="11"/>
  <c r="E41" i="11"/>
  <c r="O32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<sst xmlns="http://schemas.openxmlformats.org/spreadsheetml/2006/main" count="706" uniqueCount="264">
  <si>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</si>
  <si>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</si>
  <si>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</si>
  <si>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</si>
  <si>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</si>
  <si>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</si>
  <si>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</si>
  <si>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</si>
  <si>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</si>
  <si>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</si>
  <si>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</si>
  <si>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</si>
  <si>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</si>
  <si>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</si>
  <si>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</si>
  <si>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</si>
  <si>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</si>
  <si>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</si>
  <si>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</si>
  <si>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</si>
  <si>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</si>
  <si>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</si>
  <si>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</si>
  <si>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</si>
  <si>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</si>
  <si>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</si>
  <si>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</si>
  <si>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</si>
  <si>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</si>
  <si>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</si>
  <si>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</si>
  <si>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</si>
  <si>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</si>
  <si>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</si>
  <si>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</si>
  <si>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</si>
  <si>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</si>
  <si>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</si>
  <si>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</si>
  <si>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</si>
  <si>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</si>
  <si>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</si>
  <si>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</si>
  <si>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</si>
  <si>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</si>
  <si>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</si>
  <si>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</si>
  <si>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</si>
  <si>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</si>
  <si>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</si>
  <si>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</si>
  <si>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</si>
  <si>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</si>
  <si>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</si>
  <si>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</si>
  <si>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</si>
  <si>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</si>
  <si>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</si>
  <si>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</si>
  <si>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</si>
  <si>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</si>
  <si>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</si>
  <si>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</si>
  <si>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</si>
  <si>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</si>
  <si>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</si>
  <si>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</si>
  <si>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</si>
  <si>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</si>
  <si>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</si>
  <si>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</si>
  <si>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</si>
  <si>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</si>
  <si>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</si>
  <si>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</si>
  <si>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</si>
  <si>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</si>
  <si>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</si>
  <si>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</si>
  <si>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</si>
  <si>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</si>
  <si>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</si>
  <si>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</si>
  <si>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</si>
  <si>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</si>
  <si>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</si>
  <si>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</si>
  <si>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</si>
  <si>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</si>
  <si>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</si>
  <si>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</si>
  <si>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</si>
  <si>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</si>
  <si>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</si>
  <si>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</si>
  <si>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</si>
  <si>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</si>
  <si>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</si>
  <si>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</si>
  <si>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</si>
  <si>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</si>
  <si>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</si>
  <si>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</si>
  <si>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</si>
  <si>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</si>
  <si>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</si>
  <si>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</si>
  <si>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</si>
  <si>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</si>
  <si>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</si>
  <si>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</si>
  <si>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</si>
  <si>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</si>
  <si>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</si>
  <si>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</si>
  <si>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</si>
  <si>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</si>
  <si>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</si>
  <si>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</si>
  <si>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</si>
  <si>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</si>
  <si>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</si>
  <si>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</si>
  <si>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</si>
  <si>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</si>
  <si>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</si>
  <si>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</si>
  <si>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</si>
  <si>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</si>
  <si>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</si>
  <si>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</si>
  <si>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</si>
  <si>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</si>
  <si>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</si>
  <si>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</si>
  <si>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</si>
  <si>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</si>
  <si>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</si>
  <si>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</si>
  <si>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</si>
  <si>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</si>
  <si>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</si>
  <si>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</si>
  <si>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</si>
  <si>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</si>
  <si>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</si>
  <si>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</si>
  <si>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</si>
  <si>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</si>
  <si>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</si>
  <si>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</si>
  <si>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</si>
  <si>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</si>
  <si>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</si>
  <si>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</si>
  <si>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</si>
  <si>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</si>
  <si>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</si>
  <si>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</si>
  <si>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</si>
  <si>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</si>
  <si>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</si>
  <si>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</si>
  <si>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</si>
  <si>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</si>
  <si>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</si>
  <si>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</si>
  <si>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</si>
  <si>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</si>
  <si>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</si>
  <si>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</si>
  <si>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</si>
  <si>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</si>
  <si>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</si>
  <si>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</si>
  <si>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</si>
  <si>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</si>
  <si>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</si>
  <si>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</si>
  <si>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</si>
  <si>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</si>
  <si>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</si>
  <si>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</si>
  <si>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</si>
  <si>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</si>
  <si>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</si>
  <si>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</si>
  <si>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</si>
  <si>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</si>
  <si>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</si>
  <si>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</si>
  <si>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</si>
  <si>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</si>
  <si>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</si>
  <si>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</si>
  <si>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</si>
  <si>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</si>
  <si>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</si>
  <si>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</si>
  <si>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</si>
  <si>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</si>
  <si>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</si>
  <si>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</si>
  <si>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</si>
  <si>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</si>
  <si>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</si>
  <si>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</si>
  <si>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</si>
  <si>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</si>
  <si>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</si>
  <si>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</si>
  <si>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</si>
  <si>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</si>
  <si>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</si>
  <si>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</si>
  <si>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</si>
  <si>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</si>
  <si>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</si>
  <si>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</si>
  <si>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</si>
  <si>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</si>
  <si>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</si>
  <si>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</si>
  <si>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</si>
  <si>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</si>
  <si>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</si>
  <si>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</si>
  <si>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</si>
  <si>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</si>
  <si>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</si>
  <si>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</si>
  <si>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</si>
  <si>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</si>
  <si>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</si>
  <si>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</si>
  <si>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</si>
  <si>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</si>
  <si>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</si>
  <si>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</si>
  <si>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</si>
  <si>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</si>
  <si>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</si>
  <si>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</si>
  <si>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</si>
  <si>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</si>
  <si>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</si>
  <si>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</si>
  <si>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</si>
  <si>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</si>
  <si>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</si>
  <si>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</si>
  <si>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</si>
  <si>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</si>
  <si>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ic0_</t>
  </si>
  <si>
    <t>ic0</t>
  </si>
  <si>
    <t>But this requires crazy high Xi</t>
  </si>
  <si>
    <t>and crrat</t>
  </si>
  <si>
    <t>commuting cannot really be matched as well</t>
  </si>
  <si>
    <t>The biggest issue in principal will be that muw and sw are small - so wifes not working will actually have GOOD matches!</t>
  </si>
  <si>
    <t>Those who work will have bad matches, but lfp=0 will mean an improvement - suburbs will be good for them</t>
  </si>
  <si>
    <t>lower crra - lfp hard to get?</t>
  </si>
  <si>
    <t>increasing crrrat - Xi would need to icnrease as well - whours_pww_dif again an issue</t>
  </si>
  <si>
    <t>also make shours worse</t>
  </si>
  <si>
    <t>higher crrat - also more participation gap - sw has togo up and there will be again negative matches being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</si>
</sst>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6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mich-my.sharepoint.com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8" dT="2022-07-11T22:02:30.08" personId="{8C1B3605-3BBC-4A56-9DEA-CD9622C706EB}" id="{66FC5505-D8B6-45BF-B4E7-4873685A6265}">
    <text>add later - and get rid of THETA?</text>
  </threadedComment>
  <threadedComment ref="U40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51"/>
  <sheetViews>
    <sheetView topLeftCell="A35" workbookViewId="0">
      <selection activeCell="B47" sqref="B47:Q48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0.85756704794567307</v>
      </c>
    </row>
    <row r="3" spans="1:1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51" ca="1" si="1">RAND()</f>
        <v>0.71617526431792422</v>
      </c>
      <c r="R3" t="s">
        <v>191</v>
      </c>
    </row>
    <row r="4" spans="1:19" x14ac:dyDescent="0.35">
      <c r="A4" t="s">
        <v>75</v>
      </c>
      <c r="B4">
        <v>-0.46101241336700499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0.70972756790259606</v>
      </c>
      <c r="R4">
        <v>0.6</v>
      </c>
      <c r="S4">
        <f ca="1">RAND()</f>
        <v>0.15352655456315201</v>
      </c>
    </row>
    <row r="5" spans="1:19" x14ac:dyDescent="0.35">
      <c r="A5" t="s">
        <v>76</v>
      </c>
      <c r="B5">
        <f>PARS!B5</f>
        <v>-0.12148989758770987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0.36220655636069943</v>
      </c>
    </row>
    <row r="6" spans="1:19" x14ac:dyDescent="0.35">
      <c r="A6" t="s">
        <v>106</v>
      </c>
      <c r="B6">
        <f>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0.32394429616993559</v>
      </c>
      <c r="R6" t="s">
        <v>209</v>
      </c>
    </row>
    <row r="7" spans="1:19" x14ac:dyDescent="0.35">
      <c r="A7" t="s">
        <v>74</v>
      </c>
      <c r="B7">
        <v>-1.00655521417567</v>
      </c>
      <c r="C7">
        <f>PARS!C7</f>
        <v>-1.6094379124341003</v>
      </c>
      <c r="D7">
        <f>PARS!D7</f>
        <v>-1.2039728043259361</v>
      </c>
      <c r="E7" t="b">
        <f t="shared" si="0"/>
        <v>0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0.3692907680105032</v>
      </c>
      <c r="R7">
        <v>0.5</v>
      </c>
    </row>
    <row r="8" spans="1:19" x14ac:dyDescent="0.35">
      <c r="A8" t="s">
        <v>92</v>
      </c>
      <c r="B8">
        <v>0.57312619333459902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0.20947049642012117</v>
      </c>
    </row>
    <row r="9" spans="1:19" x14ac:dyDescent="0.35">
      <c r="A9" t="s">
        <v>93</v>
      </c>
      <c r="B9">
        <v>1.72155169240169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0.27758786562330162</v>
      </c>
    </row>
    <row r="10" spans="1:19" x14ac:dyDescent="0.35">
      <c r="A10" t="s">
        <v>98</v>
      </c>
      <c r="B10">
        <f>PARS!B10</f>
        <v>-0.22314355131420971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0.30062456513775893</v>
      </c>
    </row>
    <row r="11" spans="1:19" x14ac:dyDescent="0.35">
      <c r="A11" t="s">
        <v>95</v>
      </c>
      <c r="B11">
        <f>PARS!B11</f>
        <v>-1.8703217532696195</v>
      </c>
      <c r="C11">
        <f>PARS!C11</f>
        <v>-2.093465304583829</v>
      </c>
      <c r="D11">
        <f>PARS!D11</f>
        <v>-1.1771745727096741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0.38903573243675027</v>
      </c>
    </row>
    <row r="12" spans="1:19" x14ac:dyDescent="0.35">
      <c r="A12" t="s">
        <v>94</v>
      </c>
      <c r="B12">
        <f>PARS!B12</f>
        <v>0.66388228523152282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0.32775419087002233</v>
      </c>
    </row>
    <row r="13" spans="1:19" x14ac:dyDescent="0.35">
      <c r="A13" t="s">
        <v>97</v>
      </c>
      <c r="B13">
        <f>PARS!B13</f>
        <v>-8.9025505804146685E-2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0.35523942883243542</v>
      </c>
    </row>
    <row r="14" spans="1:19" x14ac:dyDescent="0.35">
      <c r="A14" t="s">
        <v>99</v>
      </c>
      <c r="B14">
        <f>PARS!B14</f>
        <v>0.25702382969694959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5.5406088778975349E-3</v>
      </c>
    </row>
    <row r="15" spans="1:19" x14ac:dyDescent="0.35">
      <c r="A15" t="s">
        <v>70</v>
      </c>
      <c r="B15">
        <f>PARS!B15</f>
        <v>-2.3633295407393207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0.32086528412850035</v>
      </c>
    </row>
    <row r="16" spans="1:19" x14ac:dyDescent="0.35">
      <c r="A16" t="s">
        <v>77</v>
      </c>
      <c r="B16">
        <v>-1.7221055246725101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0.68987185940038542</v>
      </c>
    </row>
    <row r="17" spans="1:17" x14ac:dyDescent="0.35">
      <c r="A17" t="s">
        <v>96</v>
      </c>
      <c r="B17">
        <v>-0.47621225479163498</v>
      </c>
      <c r="C17">
        <f>PARS!C17</f>
        <v>-1.2039728043259361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0.99422923049497081</v>
      </c>
    </row>
    <row r="18" spans="1:17" x14ac:dyDescent="0.35">
      <c r="A18" t="s">
        <v>71</v>
      </c>
      <c r="B18">
        <v>2.2757111368012901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0.65787074830896985</v>
      </c>
    </row>
    <row r="19" spans="1:17" x14ac:dyDescent="0.35">
      <c r="A19" s="6" t="s">
        <v>72</v>
      </c>
      <c r="B19">
        <f>PARS!B19</f>
        <v>2000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0.88644460951046788</v>
      </c>
    </row>
    <row r="20" spans="1:17" x14ac:dyDescent="0.35">
      <c r="A20" t="s">
        <v>73</v>
      </c>
      <c r="B20">
        <v>0.405465108108164</v>
      </c>
      <c r="C20">
        <f>PARS!C20</f>
        <v>0</v>
      </c>
      <c r="D20">
        <f>PARS!D20</f>
        <v>405.46510810816426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9.2328067749212983E-2</v>
      </c>
    </row>
    <row r="21" spans="1:17" x14ac:dyDescent="0.35">
      <c r="A21" t="s">
        <v>68</v>
      </c>
      <c r="B21">
        <v>0.58116521652964404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8.7044828818135245E-2</v>
      </c>
    </row>
    <row r="22" spans="1:17" x14ac:dyDescent="0.35">
      <c r="A22" t="s">
        <v>79</v>
      </c>
      <c r="B22">
        <v>1.5727815896719699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0.10809659790185211</v>
      </c>
    </row>
    <row r="23" spans="1:17" x14ac:dyDescent="0.35">
      <c r="A23" t="s">
        <v>80</v>
      </c>
      <c r="B23">
        <f>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6.0995072428003283E-2</v>
      </c>
    </row>
    <row r="24" spans="1:17" x14ac:dyDescent="0.35">
      <c r="A24" t="s">
        <v>190</v>
      </c>
      <c r="B24">
        <v>-0.127143713834416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0.71558808588504808</v>
      </c>
    </row>
    <row r="25" spans="1:17" x14ac:dyDescent="0.35">
      <c r="A25" t="s">
        <v>81</v>
      </c>
      <c r="B25">
        <v>0.44372505300140302</v>
      </c>
      <c r="C25">
        <f>PARS!C25</f>
        <v>0</v>
      </c>
      <c r="D25">
        <f>PARS!D25</f>
        <v>0.5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0.10026426955385215</v>
      </c>
    </row>
    <row r="26" spans="1:17" x14ac:dyDescent="0.35">
      <c r="A26" t="s">
        <v>82</v>
      </c>
      <c r="B26">
        <v>-0.356674943938732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0.4473974777471631</v>
      </c>
    </row>
    <row r="27" spans="1:17" x14ac:dyDescent="0.35">
      <c r="A27" t="s">
        <v>100</v>
      </c>
      <c r="B27">
        <f>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0.84366455139294771</v>
      </c>
    </row>
    <row r="28" spans="1:17" x14ac:dyDescent="0.35">
      <c r="A28" t="s">
        <v>103</v>
      </c>
      <c r="B28"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0.30130508753782437</v>
      </c>
    </row>
    <row r="29" spans="1:17" x14ac:dyDescent="0.35">
      <c r="A29" t="s">
        <v>86</v>
      </c>
      <c r="B29">
        <v>0.15865911498930299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0.76337842423645041</v>
      </c>
    </row>
    <row r="30" spans="1:17" x14ac:dyDescent="0.35">
      <c r="A30" t="s">
        <v>83</v>
      </c>
      <c r="B30">
        <v>0.64466835400265698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7.9676454727142798E-2</v>
      </c>
    </row>
    <row r="31" spans="1:17" x14ac:dyDescent="0.35">
      <c r="A31" t="s">
        <v>84</v>
      </c>
      <c r="B31">
        <v>-1.3933629538640899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0.96734750686315196</v>
      </c>
    </row>
    <row r="32" spans="1:17" x14ac:dyDescent="0.35">
      <c r="A32" t="s">
        <v>85</v>
      </c>
      <c r="B32">
        <f>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0.19251016755226991</v>
      </c>
    </row>
    <row r="33" spans="1:17" x14ac:dyDescent="0.35">
      <c r="A33" t="s">
        <v>87</v>
      </c>
      <c r="B33">
        <v>0.52035580519809899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0.14135312459768512</v>
      </c>
    </row>
    <row r="34" spans="1:17" x14ac:dyDescent="0.35">
      <c r="A34" t="s">
        <v>88</v>
      </c>
      <c r="B34">
        <v>-0.139740018170423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0.39302256856105666</v>
      </c>
    </row>
    <row r="35" spans="1:17" x14ac:dyDescent="0.35">
      <c r="A35" t="s">
        <v>89</v>
      </c>
      <c r="B35">
        <v>2.0588207871097302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0.70349278207234556</v>
      </c>
    </row>
    <row r="36" spans="1:17" x14ac:dyDescent="0.35">
      <c r="A36" t="s">
        <v>102</v>
      </c>
      <c r="B36">
        <v>2.03594486757585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0.1953900733646996</v>
      </c>
    </row>
    <row r="37" spans="1:17" x14ac:dyDescent="0.35">
      <c r="A37" s="5" t="s">
        <v>69</v>
      </c>
      <c r="B37">
        <v>-8.4489994325880006E-3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1.0885671008984632E-2</v>
      </c>
    </row>
    <row r="38" spans="1:17" x14ac:dyDescent="0.35">
      <c r="A38" s="3" t="s">
        <v>107</v>
      </c>
      <c r="B38">
        <f>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0.29018645338978055</v>
      </c>
    </row>
    <row r="39" spans="1:17" x14ac:dyDescent="0.35">
      <c r="A39" t="s">
        <v>108</v>
      </c>
      <c r="B39">
        <f>PARS!B39</f>
        <v>1.8560469999999998</v>
      </c>
      <c r="C39">
        <f>PARS!C39</f>
        <v>1.8560469999999998</v>
      </c>
      <c r="D39">
        <f>PARS!D39</f>
        <v>1.8560469999999998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7.0584861948488342E-3</v>
      </c>
    </row>
    <row r="40" spans="1:17" x14ac:dyDescent="0.35">
      <c r="A40" t="s">
        <v>109</v>
      </c>
      <c r="B40">
        <f>PARS!B40</f>
        <v>7.2171439999999989E-2</v>
      </c>
      <c r="C40">
        <f>PARS!C40</f>
        <v>7.2171439999999989E-2</v>
      </c>
      <c r="D40">
        <f>PARS!D40</f>
        <v>7.2171439999999989E-2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0.208520947292129</v>
      </c>
    </row>
    <row r="41" spans="1:17" x14ac:dyDescent="0.35">
      <c r="A41" t="s">
        <v>105</v>
      </c>
      <c r="B41">
        <f>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0.80362687117897103</v>
      </c>
    </row>
    <row r="42" spans="1:17" s="3" customFormat="1" x14ac:dyDescent="0.35">
      <c r="A42" t="s">
        <v>110</v>
      </c>
      <c r="B42">
        <f>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0.80532033329737207</v>
      </c>
    </row>
    <row r="43" spans="1:17" x14ac:dyDescent="0.35">
      <c r="A43" t="s">
        <v>90</v>
      </c>
      <c r="B43">
        <f>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3.899284215439347E-2</v>
      </c>
    </row>
    <row r="44" spans="1:17" x14ac:dyDescent="0.35">
      <c r="A44" t="s">
        <v>91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0.97590496989979347</v>
      </c>
    </row>
    <row r="45" spans="1:17" x14ac:dyDescent="0.35">
      <c r="A45" t="s">
        <v>101</v>
      </c>
      <c r="B45">
        <f>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0.76202233786834617</v>
      </c>
    </row>
    <row r="46" spans="1:17" x14ac:dyDescent="0.35">
      <c r="A46" t="s">
        <v>104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0.13365650512608107</v>
      </c>
    </row>
    <row r="47" spans="1:17" x14ac:dyDescent="0.35">
      <c r="A47" t="s">
        <v>252</v>
      </c>
      <c r="B47">
        <f>PARS!B47</f>
        <v>3.7</v>
      </c>
      <c r="C47">
        <f>PARS!C47</f>
        <v>3.7</v>
      </c>
      <c r="D47">
        <f>PARS!D47</f>
        <v>3.7</v>
      </c>
      <c r="E47" t="b">
        <f t="shared" ref="E47" si="2">AND(D47&gt;=B47,B47&gt;=C47,D47&gt;=C47)</f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1.7297503412316</v>
      </c>
      <c r="Q47">
        <f t="shared" ca="1" si="1"/>
        <v>0.30798366897560792</v>
      </c>
    </row>
    <row r="48" spans="1:17" x14ac:dyDescent="0.35">
      <c r="A48" t="s">
        <v>253</v>
      </c>
      <c r="B48">
        <f>PARS!B48</f>
        <v>0</v>
      </c>
      <c r="C48">
        <f>PARS!C48</f>
        <v>1</v>
      </c>
      <c r="D48">
        <f>PARS!D48</f>
        <v>1</v>
      </c>
      <c r="E48" t="b">
        <f t="shared" ref="E48" si="3">AND(D48&gt;=B48,B48&gt;=C48,D48&gt;=C48)</f>
        <v>0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2.7297503412316</v>
      </c>
      <c r="Q48">
        <f t="shared" ca="1" si="1"/>
        <v>0.85906653957556289</v>
      </c>
    </row>
    <row r="49" spans="1:17" x14ac:dyDescent="0.35">
      <c r="A49" t="s">
        <v>179</v>
      </c>
      <c r="B49">
        <f>PARS!B49</f>
        <v>1.0672742837827216</v>
      </c>
      <c r="C49">
        <f>PARS!C49</f>
        <v>1.0672742837827216</v>
      </c>
      <c r="D49">
        <f>PARS!D49</f>
        <v>1.0672742837827216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0.80782005028098203</v>
      </c>
      <c r="Q49">
        <f t="shared" ca="1" si="1"/>
        <v>0.71310281172237733</v>
      </c>
    </row>
    <row r="50" spans="1:17" x14ac:dyDescent="0.35">
      <c r="A50" t="s">
        <v>180</v>
      </c>
      <c r="B50">
        <f>PARS!B50</f>
        <v>0.99203290686947143</v>
      </c>
      <c r="C50">
        <f>PARS!C50</f>
        <v>0.99203290686947143</v>
      </c>
      <c r="D50">
        <f>PARS!D50</f>
        <v>0.99203290686947143</v>
      </c>
      <c r="E50" t="b">
        <f t="shared" si="0"/>
        <v>1</v>
      </c>
      <c r="F50">
        <f>PARS!K50</f>
        <v>0</v>
      </c>
      <c r="G50">
        <f>PARS!L50</f>
        <v>0</v>
      </c>
      <c r="H50">
        <f>PARS!M50</f>
        <v>0</v>
      </c>
      <c r="I50">
        <f>PARS!N50</f>
        <v>0</v>
      </c>
      <c r="J50">
        <f>PARS!O50</f>
        <v>1</v>
      </c>
      <c r="K50">
        <f>PARS!P50</f>
        <v>1</v>
      </c>
      <c r="L50">
        <f>PARS!Q50</f>
        <v>0</v>
      </c>
      <c r="M50">
        <f>PARS!R50</f>
        <v>0</v>
      </c>
      <c r="N50">
        <f>PARS!S50</f>
        <v>0</v>
      </c>
      <c r="O50">
        <f>PARS!T50</f>
        <v>0</v>
      </c>
      <c r="P50">
        <v>7.2670121740322058E-2</v>
      </c>
      <c r="Q50">
        <f t="shared" ca="1" si="1"/>
        <v>0.23640756879645064</v>
      </c>
    </row>
    <row r="51" spans="1:17" x14ac:dyDescent="0.35">
      <c r="A51" t="s">
        <v>181</v>
      </c>
      <c r="B51">
        <f>PARS!B51</f>
        <v>0.95937715687560754</v>
      </c>
      <c r="C51">
        <f>PARS!C51</f>
        <v>0.95937715687560754</v>
      </c>
      <c r="D51">
        <f>PARS!D51</f>
        <v>0.95937715687560754</v>
      </c>
      <c r="E51" t="b">
        <f t="shared" si="0"/>
        <v>1</v>
      </c>
      <c r="F51">
        <f>PARS!K51</f>
        <v>0</v>
      </c>
      <c r="G51">
        <f>PARS!L51</f>
        <v>0</v>
      </c>
      <c r="H51">
        <f>PARS!M51</f>
        <v>0</v>
      </c>
      <c r="I51">
        <f>PARS!N51</f>
        <v>0</v>
      </c>
      <c r="J51">
        <f>PARS!O51</f>
        <v>1</v>
      </c>
      <c r="K51">
        <f>PARS!P51</f>
        <v>1</v>
      </c>
      <c r="L51">
        <f>PARS!Q51</f>
        <v>0</v>
      </c>
      <c r="M51">
        <f>PARS!R51</f>
        <v>0</v>
      </c>
      <c r="N51">
        <f>PARS!S51</f>
        <v>0</v>
      </c>
      <c r="O51">
        <f>PARS!T51</f>
        <v>0</v>
      </c>
      <c r="P51">
        <v>0.14486889267994729</v>
      </c>
      <c r="Q51">
        <f t="shared" ca="1" si="1"/>
        <v>0.37390446486263795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1"/>
  <sheetViews>
    <sheetView zoomScale="57" zoomScaleNormal="43" workbookViewId="0">
      <selection activeCell="E5" sqref="E5"/>
    </sheetView>
  </sheetViews>
  <sheetFormatPr defaultRowHeight="14.5" x14ac:dyDescent="0.35"/>
  <cols>
    <col min="2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MOMENT'!F27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1" si="0">SUM(L2:O2)</f>
        <v>1</v>
      </c>
      <c r="S2">
        <f t="shared" ref="S2:S51" si="1">L2-Q2</f>
        <v>0</v>
      </c>
      <c r="T2">
        <f t="shared" ref="T2:T51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9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-0.12148989758770987</v>
      </c>
      <c r="C4" s="7">
        <f>LN(F4)</f>
        <v>-0.51082562376599072</v>
      </c>
      <c r="D4" s="7">
        <f>LN(G4)</f>
        <v>0.18232155679395459</v>
      </c>
      <c r="E4" s="19">
        <v>0.88560000000000005</v>
      </c>
      <c r="F4">
        <v>0.6</v>
      </c>
      <c r="G4">
        <v>1.2</v>
      </c>
      <c r="H4">
        <v>1</v>
      </c>
      <c r="I4">
        <v>1</v>
      </c>
      <c r="J4">
        <f>1/E4</f>
        <v>1.1291779584462511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0.88560000000000005</v>
      </c>
    </row>
    <row r="5" spans="1:22" x14ac:dyDescent="0.35">
      <c r="A5" t="s">
        <v>76</v>
      </c>
      <c r="B5" s="7">
        <f>LN(E5)</f>
        <v>-0.12148989758770987</v>
      </c>
      <c r="C5">
        <f>C4</f>
        <v>-0.51082562376599072</v>
      </c>
      <c r="D5">
        <f>D4</f>
        <v>0.18232155679395459</v>
      </c>
      <c r="E5" s="19">
        <v>0.88560000000000005</v>
      </c>
      <c r="F5">
        <v>0.6</v>
      </c>
      <c r="G5">
        <v>1.2</v>
      </c>
      <c r="H5">
        <v>1</v>
      </c>
      <c r="I5">
        <v>1</v>
      </c>
      <c r="J5">
        <f>1/E5</f>
        <v>1.1291779584462511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9"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-1.1397468320266646</v>
      </c>
      <c r="C7">
        <f t="shared" si="3"/>
        <v>-1.6094379124341003</v>
      </c>
      <c r="D7">
        <f t="shared" si="3"/>
        <v>-1.2039728043259361</v>
      </c>
      <c r="E7" s="19">
        <v>0.31990000000000002</v>
      </c>
      <c r="F7">
        <v>0.2</v>
      </c>
      <c r="G7">
        <v>0.3</v>
      </c>
      <c r="H7">
        <v>1.1000000000000001</v>
      </c>
      <c r="I7">
        <v>1.1000000000000001</v>
      </c>
      <c r="J7">
        <f>1/E7</f>
        <v>3.1259768677711781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0.31990000000000002</v>
      </c>
    </row>
    <row r="8" spans="1:22" x14ac:dyDescent="0.35">
      <c r="A8" t="s">
        <v>92</v>
      </c>
      <c r="B8">
        <f t="shared" si="3"/>
        <v>-0.22314355131420971</v>
      </c>
      <c r="C8">
        <f t="shared" si="3"/>
        <v>-0.16251892949777494</v>
      </c>
      <c r="D8">
        <f t="shared" si="3"/>
        <v>0.69314718055994529</v>
      </c>
      <c r="E8" s="19">
        <v>0.8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1.25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0.8</v>
      </c>
    </row>
    <row r="9" spans="1:22" x14ac:dyDescent="0.35">
      <c r="A9" t="s">
        <v>93</v>
      </c>
      <c r="B9">
        <f t="shared" si="3"/>
        <v>1.589235205116581</v>
      </c>
      <c r="C9">
        <f t="shared" si="3"/>
        <v>0.69314718055994529</v>
      </c>
      <c r="D9">
        <f t="shared" si="3"/>
        <v>1.791759469228055</v>
      </c>
      <c r="E9" s="19">
        <v>4.9000000000000004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0.2040816326530612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4.9000000000000004</v>
      </c>
    </row>
    <row r="10" spans="1:22" x14ac:dyDescent="0.35">
      <c r="A10" t="s">
        <v>98</v>
      </c>
      <c r="B10">
        <f>LN(E10)</f>
        <v>-0.22314355131420971</v>
      </c>
      <c r="C10">
        <f>C4</f>
        <v>-0.51082562376599072</v>
      </c>
      <c r="D10">
        <f>D4</f>
        <v>0.18232155679395459</v>
      </c>
      <c r="E10" s="19">
        <f>E8</f>
        <v>0.8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1.25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9"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9"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9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9"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9"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9"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5.8268908123975824E-2</v>
      </c>
      <c r="C17">
        <f t="shared" si="6"/>
        <v>-1.2039728043259361</v>
      </c>
      <c r="D17">
        <f t="shared" si="6"/>
        <v>-0.43078291609245423</v>
      </c>
      <c r="E17" s="19">
        <v>1.06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0.94339622641509424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1.06</v>
      </c>
    </row>
    <row r="18" spans="1:26" x14ac:dyDescent="0.35">
      <c r="A18" t="s">
        <v>71</v>
      </c>
      <c r="B18">
        <f t="shared" si="6"/>
        <v>1.5686159179138452</v>
      </c>
      <c r="C18">
        <f t="shared" si="6"/>
        <v>1.6094379124341003</v>
      </c>
      <c r="D18">
        <f t="shared" si="6"/>
        <v>2.341805806147327</v>
      </c>
      <c r="E18" s="19">
        <v>4.8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0.20833333333333334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4.8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9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426.76116533567205</v>
      </c>
      <c r="C20">
        <f t="shared" ref="C20" si="7">-LN(1/F20 -1)*1000</f>
        <v>0</v>
      </c>
      <c r="D20">
        <f>-LN(1/G20 -1)*1000</f>
        <v>405.46510810816426</v>
      </c>
      <c r="E20" s="19">
        <v>0.60509999999999997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4184.9060566011058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0.60509999999999997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9"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9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9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8">E24</f>
        <v>-2.1000000000000001E-2</v>
      </c>
      <c r="C24">
        <f t="shared" si="8"/>
        <v>-0.15</v>
      </c>
      <c r="D24">
        <f t="shared" si="8"/>
        <v>0.05</v>
      </c>
      <c r="E24" s="19">
        <v>-2.1000000000000001E-2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8"/>
        <v>0.17499999999999999</v>
      </c>
      <c r="C25">
        <f t="shared" si="8"/>
        <v>0</v>
      </c>
      <c r="D25">
        <f t="shared" si="8"/>
        <v>0.5</v>
      </c>
      <c r="E25" s="19"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9"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9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9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9">
        <v>8.2000000000000003E-2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10">LN(E29)</f>
        <v>0.87546873735389985</v>
      </c>
      <c r="C29">
        <f t="shared" si="10"/>
        <v>0</v>
      </c>
      <c r="D29">
        <f t="shared" si="10"/>
        <v>2.3025850929940459</v>
      </c>
      <c r="E29" s="19"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1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10"/>
        <v>0.91629073187415511</v>
      </c>
      <c r="C30">
        <f t="shared" si="10"/>
        <v>0.58778666490211906</v>
      </c>
      <c r="D30">
        <f t="shared" si="10"/>
        <v>1.3862943611198906</v>
      </c>
      <c r="E30" s="19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1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2">-LN(1/E31 -1)</f>
        <v>-0.99462257514406194</v>
      </c>
      <c r="C31">
        <f t="shared" si="12"/>
        <v>-2.1972245773362196</v>
      </c>
      <c r="D31">
        <f t="shared" si="12"/>
        <v>6.9067547786484651</v>
      </c>
      <c r="E31" s="19"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9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3">LN(E33)</f>
        <v>-0.24846135929849961</v>
      </c>
      <c r="C33">
        <f t="shared" si="13"/>
        <v>-2.3025850929940455</v>
      </c>
      <c r="D33">
        <f t="shared" si="13"/>
        <v>0.69314718055994529</v>
      </c>
      <c r="E33" s="19">
        <v>0.78</v>
      </c>
      <c r="F33">
        <v>0.1</v>
      </c>
      <c r="G33">
        <v>2</v>
      </c>
      <c r="H33">
        <v>6</v>
      </c>
      <c r="I33">
        <v>6</v>
      </c>
      <c r="J33">
        <f t="shared" ref="J33:J36" si="14">1/E33</f>
        <v>1.2820512820512819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0.78</v>
      </c>
    </row>
    <row r="34" spans="1:22" x14ac:dyDescent="0.35">
      <c r="A34" t="s">
        <v>88</v>
      </c>
      <c r="B34">
        <f t="shared" si="13"/>
        <v>4.8790164169432049E-2</v>
      </c>
      <c r="C34">
        <f t="shared" si="13"/>
        <v>-0.71334988787746489</v>
      </c>
      <c r="D34">
        <f t="shared" si="13"/>
        <v>-9.4310679471241415E-2</v>
      </c>
      <c r="E34" s="19">
        <v>1.05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4"/>
        <v>0.95238095238095233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1.05</v>
      </c>
    </row>
    <row r="35" spans="1:22" x14ac:dyDescent="0.35">
      <c r="A35" t="s">
        <v>89</v>
      </c>
      <c r="B35">
        <f t="shared" si="13"/>
        <v>2.9204697890534441</v>
      </c>
      <c r="C35">
        <f t="shared" si="13"/>
        <v>-6.9077552789821368</v>
      </c>
      <c r="D35">
        <f t="shared" si="13"/>
        <v>2.9957322735539909</v>
      </c>
      <c r="E35" s="19">
        <v>18.55</v>
      </c>
      <c r="F35">
        <v>1E-3</v>
      </c>
      <c r="G35">
        <v>20</v>
      </c>
      <c r="H35">
        <v>6.02</v>
      </c>
      <c r="I35">
        <v>6</v>
      </c>
      <c r="J35">
        <f t="shared" si="14"/>
        <v>5.3908355795148244E-2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18.55</v>
      </c>
    </row>
    <row r="36" spans="1:22" x14ac:dyDescent="0.35">
      <c r="A36" t="s">
        <v>102</v>
      </c>
      <c r="B36">
        <f t="shared" si="13"/>
        <v>1.2527629684953681</v>
      </c>
      <c r="C36">
        <f t="shared" si="13"/>
        <v>-6.9077552789821368</v>
      </c>
      <c r="D36">
        <f t="shared" si="13"/>
        <v>3.1010977891993172</v>
      </c>
      <c r="E36" s="19">
        <v>3.5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4"/>
        <v>0.2857142857142857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3.5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9"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9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9"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5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9"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5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9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9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1" si="16">T42</f>
        <v>0</v>
      </c>
      <c r="V42"/>
    </row>
    <row r="43" spans="1:22" x14ac:dyDescent="0.35">
      <c r="A43" t="s">
        <v>90</v>
      </c>
      <c r="B43">
        <f t="shared" ref="B43:D44" si="17">E43</f>
        <v>0.1449</v>
      </c>
      <c r="C43">
        <f t="shared" si="17"/>
        <v>0.1449</v>
      </c>
      <c r="D43" s="3">
        <f t="shared" si="17"/>
        <v>0.1449</v>
      </c>
      <c r="E43" s="19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6"/>
        <v>0</v>
      </c>
    </row>
    <row r="44" spans="1:22" x14ac:dyDescent="0.35">
      <c r="A44" t="s">
        <v>91</v>
      </c>
      <c r="B44">
        <f t="shared" si="17"/>
        <v>0.1449</v>
      </c>
      <c r="C44">
        <f t="shared" si="17"/>
        <v>0.1449</v>
      </c>
      <c r="D44" s="3">
        <f t="shared" si="17"/>
        <v>0.1449</v>
      </c>
      <c r="E44" s="19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6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6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6"/>
        <v>0</v>
      </c>
    </row>
    <row r="47" spans="1:22" x14ac:dyDescent="0.35">
      <c r="A47" t="s">
        <v>252</v>
      </c>
      <c r="B47" s="11">
        <f>E47</f>
        <v>3.7</v>
      </c>
      <c r="C47" s="11">
        <f>B47</f>
        <v>3.7</v>
      </c>
      <c r="D47" s="11">
        <f>B47</f>
        <v>3.7</v>
      </c>
      <c r="E47" s="11">
        <v>3.7</v>
      </c>
      <c r="F47" s="11">
        <f>E47</f>
        <v>3.7</v>
      </c>
      <c r="G47" s="11">
        <f>E47</f>
        <v>3.7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6"/>
        <v>0</v>
      </c>
    </row>
    <row r="48" spans="1:22" x14ac:dyDescent="0.35">
      <c r="A48" t="s">
        <v>253</v>
      </c>
      <c r="B48" s="15">
        <f>E48</f>
        <v>0</v>
      </c>
      <c r="C48" s="15">
        <f t="shared" ref="C48:D48" si="18">F48</f>
        <v>1</v>
      </c>
      <c r="D48" s="15">
        <f t="shared" si="18"/>
        <v>1</v>
      </c>
      <c r="E48" s="15">
        <f>IF(E47=3.5,0.0135,IF(E47=3.7,0,1))</f>
        <v>0</v>
      </c>
      <c r="F48" s="15">
        <f t="shared" ref="F48:G48" si="19">IF(F47=3.5,0.0135,1)</f>
        <v>1</v>
      </c>
      <c r="G48" s="15">
        <f t="shared" si="19"/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6"/>
        <v>0</v>
      </c>
    </row>
    <row r="49" spans="1:21" x14ac:dyDescent="0.35">
      <c r="A49" t="s">
        <v>179</v>
      </c>
      <c r="B49">
        <f>E49</f>
        <v>1.0672742837827216</v>
      </c>
      <c r="C49">
        <f t="shared" ref="C49:D51" si="20">B49</f>
        <v>1.0672742837827216</v>
      </c>
      <c r="D49">
        <f t="shared" si="20"/>
        <v>1.0672742837827216</v>
      </c>
      <c r="E49" s="17">
        <f>EXP(6.5108/100)</f>
        <v>1.0672742837827216</v>
      </c>
      <c r="F49">
        <f>E49</f>
        <v>1.0672742837827216</v>
      </c>
      <c r="G49">
        <f>E49</f>
        <v>1.0672742837827216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6"/>
        <v>0</v>
      </c>
    </row>
    <row r="50" spans="1:21" x14ac:dyDescent="0.35">
      <c r="A50" t="s">
        <v>180</v>
      </c>
      <c r="B50">
        <f>E50</f>
        <v>0.99203290686947143</v>
      </c>
      <c r="C50">
        <f t="shared" si="20"/>
        <v>0.99203290686947143</v>
      </c>
      <c r="D50">
        <f t="shared" si="20"/>
        <v>0.99203290686947143</v>
      </c>
      <c r="E50" s="17">
        <f>EXP(-0.7999/100)</f>
        <v>0.99203290686947143</v>
      </c>
      <c r="F50">
        <f>E50</f>
        <v>0.99203290686947143</v>
      </c>
      <c r="G50">
        <f>E50</f>
        <v>0.99203290686947143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6"/>
        <v>0</v>
      </c>
    </row>
    <row r="51" spans="1:21" x14ac:dyDescent="0.35">
      <c r="A51" t="s">
        <v>181</v>
      </c>
      <c r="B51">
        <f>E51</f>
        <v>0.95937715687560754</v>
      </c>
      <c r="C51">
        <f t="shared" si="20"/>
        <v>0.95937715687560754</v>
      </c>
      <c r="D51">
        <f t="shared" si="20"/>
        <v>0.95937715687560754</v>
      </c>
      <c r="E51" s="17">
        <f>EXP(-4.1471/100)</f>
        <v>0.95937715687560754</v>
      </c>
      <c r="F51">
        <f>E51</f>
        <v>0.95937715687560754</v>
      </c>
      <c r="G51">
        <f>E51</f>
        <v>0.95937715687560754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6"/>
        <v>0</v>
      </c>
    </row>
  </sheetData>
  <autoFilter ref="A1:V51" xr:uid="{D6333A1E-4CCC-47DA-98C3-E7945B8628B8}">
    <sortState xmlns:xlrd2="http://schemas.microsoft.com/office/spreadsheetml/2017/richdata2" ref="A2:V51">
      <sortCondition ref="I1:I5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AA0C-2092-405A-80D9-7F52F7BC5BCD}">
  <dimension ref="A1:C19"/>
  <sheetViews>
    <sheetView workbookViewId="0">
      <selection activeCell="N7" sqref="N7"/>
    </sheetView>
  </sheetViews>
  <sheetFormatPr defaultRowHeight="14.5" x14ac:dyDescent="0.35"/>
  <sheetData>
    <row r="1" spans="1:3" x14ac:dyDescent="0.35">
      <c r="A1" t="s">
        <v>255</v>
      </c>
      <c r="C1" s="17"/>
    </row>
    <row r="2" spans="1:3" x14ac:dyDescent="0.35">
      <c r="A2" t="s">
        <v>256</v>
      </c>
      <c r="C2" s="17"/>
    </row>
    <row r="3" spans="1:3" x14ac:dyDescent="0.35">
      <c r="A3" t="s">
        <v>257</v>
      </c>
      <c r="C3" s="17"/>
    </row>
    <row r="4" spans="1:3" x14ac:dyDescent="0.35">
      <c r="C4" s="17"/>
    </row>
    <row r="5" spans="1:3" x14ac:dyDescent="0.35">
      <c r="C5" s="17"/>
    </row>
    <row r="6" spans="1:3" x14ac:dyDescent="0.35">
      <c r="C6" s="17"/>
    </row>
    <row r="7" spans="1:3" x14ac:dyDescent="0.35">
      <c r="A7" t="s">
        <v>258</v>
      </c>
      <c r="C7" s="17"/>
    </row>
    <row r="8" spans="1:3" x14ac:dyDescent="0.35">
      <c r="A8" t="s">
        <v>259</v>
      </c>
      <c r="C8" s="17"/>
    </row>
    <row r="9" spans="1:3" x14ac:dyDescent="0.35">
      <c r="C9" s="17"/>
    </row>
    <row r="10" spans="1:3" x14ac:dyDescent="0.35">
      <c r="C10" s="17"/>
    </row>
    <row r="11" spans="1:3" x14ac:dyDescent="0.35">
      <c r="C11" s="17"/>
    </row>
    <row r="12" spans="1:3" x14ac:dyDescent="0.35">
      <c r="A12" t="s">
        <v>260</v>
      </c>
      <c r="C12" s="17"/>
    </row>
    <row r="13" spans="1:3" x14ac:dyDescent="0.35">
      <c r="C13" s="17"/>
    </row>
    <row r="14" spans="1:3" x14ac:dyDescent="0.35">
      <c r="C14" s="17"/>
    </row>
    <row r="15" spans="1:3" x14ac:dyDescent="0.35">
      <c r="C15" s="17"/>
    </row>
    <row r="16" spans="1:3" x14ac:dyDescent="0.35">
      <c r="A16" t="s">
        <v>261</v>
      </c>
      <c r="C16" s="17"/>
    </row>
    <row r="17" spans="1:3" x14ac:dyDescent="0.35">
      <c r="A17" t="s">
        <v>262</v>
      </c>
      <c r="C17" s="17"/>
    </row>
    <row r="18" spans="1:3" x14ac:dyDescent="0.35">
      <c r="C18" s="17"/>
    </row>
    <row r="19" spans="1:3" x14ac:dyDescent="0.35">
      <c r="A19" t="s">
        <v>263</v>
      </c>
      <c r="C1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4"/>
  <sheetViews>
    <sheetView tabSelected="1" zoomScale="57" zoomScaleNormal="43" workbookViewId="0">
      <selection activeCell="E1" sqref="E1"/>
    </sheetView>
  </sheetViews>
  <sheetFormatPr defaultRowHeight="14.5" x14ac:dyDescent="0.35"/>
  <cols>
    <col min="2" max="2" width="21.90625" bestFit="1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1" si="0">SUM(L2:O2)</f>
        <v>1</v>
      </c>
      <c r="S2">
        <f t="shared" ref="S2:S51" si="1">L2-Q2</f>
        <v>0</v>
      </c>
      <c r="T2">
        <f t="shared" ref="T2:T51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-0.12148989758770987</v>
      </c>
      <c r="C4" s="7">
        <f>LN(F4)</f>
        <v>-0.51082562376599072</v>
      </c>
      <c r="D4" s="7">
        <f>LN(G4)</f>
        <v>0.18232155679395459</v>
      </c>
      <c r="E4" s="17">
        <f>PARS!E4</f>
        <v>0.88560000000000005</v>
      </c>
      <c r="F4">
        <v>0.6</v>
      </c>
      <c r="G4">
        <v>1.2</v>
      </c>
      <c r="H4">
        <v>1</v>
      </c>
      <c r="I4">
        <v>1</v>
      </c>
      <c r="J4">
        <f>1/E4</f>
        <v>1.1291779584462511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0.88560000000000005</v>
      </c>
    </row>
    <row r="5" spans="1:22" x14ac:dyDescent="0.35">
      <c r="A5" t="s">
        <v>76</v>
      </c>
      <c r="B5" s="7">
        <f>LN(E5)</f>
        <v>-0.12148989758770987</v>
      </c>
      <c r="C5">
        <f>C4</f>
        <v>-0.51082562376599072</v>
      </c>
      <c r="D5">
        <f>D4</f>
        <v>0.18232155679395459</v>
      </c>
      <c r="E5" s="17">
        <f>PARS!E5</f>
        <v>0.88560000000000005</v>
      </c>
      <c r="F5">
        <v>0.6</v>
      </c>
      <c r="G5">
        <v>1.2</v>
      </c>
      <c r="H5">
        <v>1</v>
      </c>
      <c r="I5">
        <v>1</v>
      </c>
      <c r="J5">
        <f>1/E5</f>
        <v>1.1291779584462511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f>PARS!E6</f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-1.1397468320266646</v>
      </c>
      <c r="C7">
        <f t="shared" si="3"/>
        <v>-2.3025850929940455</v>
      </c>
      <c r="D7">
        <f t="shared" si="3"/>
        <v>-0.916290731874155</v>
      </c>
      <c r="E7" s="17">
        <f>PARS!E7</f>
        <v>0.31990000000000002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3.1259768677711781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0.31990000000000002</v>
      </c>
    </row>
    <row r="8" spans="1:22" x14ac:dyDescent="0.35">
      <c r="A8" t="s">
        <v>92</v>
      </c>
      <c r="B8">
        <f t="shared" si="3"/>
        <v>-0.22314355131420971</v>
      </c>
      <c r="C8">
        <f t="shared" si="3"/>
        <v>-0.16251892949777494</v>
      </c>
      <c r="D8">
        <f t="shared" si="3"/>
        <v>0.69314718055994529</v>
      </c>
      <c r="E8" s="17">
        <f>PARS!E8</f>
        <v>0.8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1.25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0.8</v>
      </c>
    </row>
    <row r="9" spans="1:22" x14ac:dyDescent="0.35">
      <c r="A9" t="s">
        <v>93</v>
      </c>
      <c r="B9">
        <f t="shared" si="3"/>
        <v>1.589235205116581</v>
      </c>
      <c r="C9">
        <f t="shared" si="3"/>
        <v>0.69314718055994529</v>
      </c>
      <c r="D9">
        <f t="shared" si="3"/>
        <v>1.791759469228055</v>
      </c>
      <c r="E9" s="17">
        <f>PARS!E9</f>
        <v>4.9000000000000004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0.2040816326530612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4.9000000000000004</v>
      </c>
    </row>
    <row r="10" spans="1:22" x14ac:dyDescent="0.35">
      <c r="A10" t="s">
        <v>98</v>
      </c>
      <c r="B10">
        <f>LN(E10)</f>
        <v>-0.22314355131420971</v>
      </c>
      <c r="C10">
        <f>C4</f>
        <v>-0.51082562376599072</v>
      </c>
      <c r="D10">
        <f>D4</f>
        <v>0.18232155679395459</v>
      </c>
      <c r="E10" s="17">
        <f>PARS!E10</f>
        <v>0.8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1.25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f>PARS!E11</f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f>PARS!E12</f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f>PARS!E13</f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f>PARS!E14</f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f>PARS!E15</f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f>PARS!E16</f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5.8268908123975824E-2</v>
      </c>
      <c r="C17">
        <f t="shared" si="6"/>
        <v>-1.2039728043259361</v>
      </c>
      <c r="D17">
        <f t="shared" si="6"/>
        <v>-0.43078291609245423</v>
      </c>
      <c r="E17" s="17">
        <f>PARS!E17</f>
        <v>1.06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0.94339622641509424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1.06</v>
      </c>
    </row>
    <row r="18" spans="1:26" x14ac:dyDescent="0.35">
      <c r="A18" t="s">
        <v>71</v>
      </c>
      <c r="B18">
        <f t="shared" si="6"/>
        <v>1.5686159179138452</v>
      </c>
      <c r="C18">
        <f t="shared" si="6"/>
        <v>1.6094379124341003</v>
      </c>
      <c r="D18">
        <f t="shared" si="6"/>
        <v>2.341805806147327</v>
      </c>
      <c r="E18" s="17">
        <f>PARS!E18</f>
        <v>4.8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0.20833333333333334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4.8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f>PARS!E19</f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426.76116533567205</v>
      </c>
      <c r="C20">
        <f>-LN(1/F20 -1)</f>
        <v>0</v>
      </c>
      <c r="D20">
        <f>-LN(1/G20 -1)</f>
        <v>0.40546510810816427</v>
      </c>
      <c r="E20" s="17">
        <f>PARS!E20</f>
        <v>0.60509999999999997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4184.9060566011058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0.60509999999999997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f>PARS!E21</f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f>PARS!E22</f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f>PARS!E23</f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7">E24</f>
        <v>-2.1000000000000001E-2</v>
      </c>
      <c r="C24">
        <f t="shared" si="7"/>
        <v>-0.15</v>
      </c>
      <c r="D24">
        <f t="shared" si="7"/>
        <v>0.05</v>
      </c>
      <c r="E24" s="17">
        <f>PARS!E24</f>
        <v>-2.1000000000000001E-2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0.5</v>
      </c>
      <c r="E25" s="17">
        <f>PARS!E25</f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f>PARS!E26</f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f>PARS!E27</f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f>PARS!E28</f>
        <v>8.2000000000000003E-2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9">LN(E29)</f>
        <v>0.87546873735389985</v>
      </c>
      <c r="C29">
        <f t="shared" si="9"/>
        <v>0</v>
      </c>
      <c r="D29">
        <f t="shared" si="9"/>
        <v>2.3025850929940459</v>
      </c>
      <c r="E29" s="17">
        <f>PARS!E29</f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 s="17">
        <f>PARS!E30</f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1">-LN(1/E31 -1)</f>
        <v>-0.99462257514406194</v>
      </c>
      <c r="C31">
        <f t="shared" si="11"/>
        <v>-2.1972245773362196</v>
      </c>
      <c r="D31">
        <f t="shared" si="11"/>
        <v>6.9067547786484651</v>
      </c>
      <c r="E31" s="17">
        <f>PARS!E31</f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f>PARS!E32</f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-0.24846135929849961</v>
      </c>
      <c r="C33">
        <f t="shared" si="12"/>
        <v>-2.3025850929940455</v>
      </c>
      <c r="D33">
        <f t="shared" si="12"/>
        <v>0.69314718055994529</v>
      </c>
      <c r="E33" s="17">
        <f>PARS!E33</f>
        <v>0.78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1.2820512820512819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0.78</v>
      </c>
    </row>
    <row r="34" spans="1:22" x14ac:dyDescent="0.35">
      <c r="A34" t="s">
        <v>88</v>
      </c>
      <c r="B34">
        <f t="shared" si="12"/>
        <v>4.8790164169432049E-2</v>
      </c>
      <c r="C34">
        <f t="shared" si="12"/>
        <v>-0.71334988787746489</v>
      </c>
      <c r="D34">
        <f t="shared" si="12"/>
        <v>-9.4310679471241415E-2</v>
      </c>
      <c r="E34" s="17">
        <f>PARS!E34</f>
        <v>1.05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0.95238095238095233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1.05</v>
      </c>
    </row>
    <row r="35" spans="1:22" x14ac:dyDescent="0.35">
      <c r="A35" t="s">
        <v>89</v>
      </c>
      <c r="B35">
        <f t="shared" si="12"/>
        <v>2.9204697890534441</v>
      </c>
      <c r="C35">
        <f t="shared" si="12"/>
        <v>-6.9077552789821368</v>
      </c>
      <c r="D35">
        <f t="shared" si="12"/>
        <v>2.9957322735539909</v>
      </c>
      <c r="E35" s="17">
        <f>PARS!E35</f>
        <v>18.55</v>
      </c>
      <c r="F35">
        <v>1E-3</v>
      </c>
      <c r="G35">
        <v>20</v>
      </c>
      <c r="H35">
        <v>6.02</v>
      </c>
      <c r="I35">
        <v>6</v>
      </c>
      <c r="J35">
        <f t="shared" si="13"/>
        <v>5.3908355795148244E-2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18.55</v>
      </c>
    </row>
    <row r="36" spans="1:22" x14ac:dyDescent="0.35">
      <c r="A36" t="s">
        <v>102</v>
      </c>
      <c r="B36">
        <f t="shared" si="12"/>
        <v>1.2527629684953681</v>
      </c>
      <c r="C36">
        <f t="shared" si="12"/>
        <v>-6.9077552789821368</v>
      </c>
      <c r="D36">
        <f t="shared" si="12"/>
        <v>3.1010977891993172</v>
      </c>
      <c r="E36" s="17">
        <f>PARS!E36</f>
        <v>3.5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0.2857142857142857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3.5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f>PARS!E37</f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f>PARS!E38</f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PARS!E39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PARS!E40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f>PARS!E41</f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f>PARS!E42</f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1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 s="17">
        <f>PARS!E43</f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f>PARS!E45</f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 t="shared" ref="C46:C51" si="17">B46</f>
        <v>0</v>
      </c>
      <c r="D46">
        <f>B46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252</v>
      </c>
      <c r="B47" s="11">
        <f t="shared" ref="B47:B52" si="18">E47</f>
        <v>3.7</v>
      </c>
      <c r="C47" s="11">
        <f t="shared" si="17"/>
        <v>3.7</v>
      </c>
      <c r="D47" s="11">
        <f>B47</f>
        <v>3.7</v>
      </c>
      <c r="E47" s="11">
        <f>PARS!E47</f>
        <v>3.7</v>
      </c>
      <c r="F47" s="11">
        <f>PARS!F47</f>
        <v>3.7</v>
      </c>
      <c r="G47" s="11">
        <f>PARS!G47</f>
        <v>3.7</v>
      </c>
      <c r="J47">
        <v>1</v>
      </c>
      <c r="O47">
        <v>1</v>
      </c>
      <c r="P47">
        <f t="shared" si="0"/>
        <v>1</v>
      </c>
      <c r="S47">
        <f t="shared" ref="S47:S49" si="19">L47-Q47</f>
        <v>0</v>
      </c>
      <c r="T47">
        <f t="shared" ref="T47:T49" si="20">S47+N47+Q47+M47</f>
        <v>0</v>
      </c>
      <c r="U47">
        <f t="shared" ref="U47:U49" si="21">T47</f>
        <v>0</v>
      </c>
    </row>
    <row r="48" spans="1:22" x14ac:dyDescent="0.35">
      <c r="A48" t="s">
        <v>253</v>
      </c>
      <c r="B48" s="11">
        <f t="shared" si="18"/>
        <v>0</v>
      </c>
      <c r="C48" s="11">
        <f t="shared" si="17"/>
        <v>0</v>
      </c>
      <c r="D48" s="11">
        <f>B48</f>
        <v>0</v>
      </c>
      <c r="E48" s="18">
        <f>PARS!E48</f>
        <v>0</v>
      </c>
      <c r="F48" s="11">
        <f>PARS!F48</f>
        <v>1</v>
      </c>
      <c r="G48" s="11">
        <f>PARS!G48</f>
        <v>1</v>
      </c>
      <c r="J48">
        <v>1</v>
      </c>
      <c r="O48">
        <v>1</v>
      </c>
      <c r="P48">
        <f t="shared" ref="P48" si="22">SUM(L48:O48)</f>
        <v>1</v>
      </c>
      <c r="S48">
        <f t="shared" ref="S48" si="23">L48-Q48</f>
        <v>0</v>
      </c>
      <c r="T48">
        <f t="shared" ref="T48" si="24">S48+N48+Q48+M48</f>
        <v>0</v>
      </c>
      <c r="U48">
        <f t="shared" ref="U48" si="25">T48</f>
        <v>0</v>
      </c>
    </row>
    <row r="49" spans="1:21" x14ac:dyDescent="0.35">
      <c r="A49" t="s">
        <v>179</v>
      </c>
      <c r="B49">
        <f t="shared" si="18"/>
        <v>1.0672742837827216</v>
      </c>
      <c r="C49">
        <f t="shared" si="17"/>
        <v>1.0672742837827216</v>
      </c>
      <c r="D49">
        <f>C49</f>
        <v>1.0672742837827216</v>
      </c>
      <c r="E49" s="17">
        <f>PARS!E49</f>
        <v>1.0672742837827216</v>
      </c>
      <c r="F49">
        <f>E49</f>
        <v>1.0672742837827216</v>
      </c>
      <c r="G49">
        <f>E49</f>
        <v>1.0672742837827216</v>
      </c>
      <c r="J49">
        <f>1</f>
        <v>1</v>
      </c>
      <c r="O49">
        <v>1</v>
      </c>
      <c r="P49">
        <f t="shared" si="0"/>
        <v>1</v>
      </c>
      <c r="S49">
        <f t="shared" si="19"/>
        <v>0</v>
      </c>
      <c r="T49">
        <f t="shared" si="20"/>
        <v>0</v>
      </c>
      <c r="U49">
        <f t="shared" si="21"/>
        <v>0</v>
      </c>
    </row>
    <row r="50" spans="1:21" x14ac:dyDescent="0.35">
      <c r="A50" t="s">
        <v>180</v>
      </c>
      <c r="B50">
        <f t="shared" si="18"/>
        <v>0.99203290686947143</v>
      </c>
      <c r="C50">
        <f t="shared" si="17"/>
        <v>0.99203290686947143</v>
      </c>
      <c r="D50">
        <f>C50</f>
        <v>0.99203290686947143</v>
      </c>
      <c r="E50" s="17">
        <f>PARS!E50</f>
        <v>0.99203290686947143</v>
      </c>
      <c r="F50">
        <f>E50</f>
        <v>0.99203290686947143</v>
      </c>
      <c r="G50">
        <f>E50</f>
        <v>0.99203290686947143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5"/>
        <v>0</v>
      </c>
    </row>
    <row r="51" spans="1:21" x14ac:dyDescent="0.35">
      <c r="A51" t="s">
        <v>181</v>
      </c>
      <c r="B51">
        <f t="shared" si="18"/>
        <v>0.95937715687560754</v>
      </c>
      <c r="C51">
        <f t="shared" si="17"/>
        <v>0.95937715687560754</v>
      </c>
      <c r="D51">
        <f>C51</f>
        <v>0.95937715687560754</v>
      </c>
      <c r="E51" s="17">
        <f>PARS!E51</f>
        <v>0.95937715687560754</v>
      </c>
      <c r="F51">
        <f>E51</f>
        <v>0.95937715687560754</v>
      </c>
      <c r="G51">
        <f>E51</f>
        <v>0.95937715687560754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5"/>
        <v>0</v>
      </c>
    </row>
    <row r="52" spans="1:21" x14ac:dyDescent="0.35">
      <c r="A52" t="s">
        <v>249</v>
      </c>
      <c r="B52" s="17">
        <f t="shared" si="18"/>
        <v>1.1000000000000001</v>
      </c>
      <c r="C52">
        <v>1</v>
      </c>
      <c r="D52">
        <v>1</v>
      </c>
      <c r="E52" s="17">
        <v>1.1000000000000001</v>
      </c>
      <c r="F52">
        <v>1</v>
      </c>
      <c r="G52">
        <v>1</v>
      </c>
    </row>
    <row r="53" spans="1:21" x14ac:dyDescent="0.35">
      <c r="A53" t="s">
        <v>250</v>
      </c>
      <c r="B53" s="11">
        <v>0.35</v>
      </c>
      <c r="E53" s="17">
        <v>0.35</v>
      </c>
    </row>
    <row r="54" spans="1:21" x14ac:dyDescent="0.35">
      <c r="A54" t="s">
        <v>251</v>
      </c>
      <c r="B54" s="11">
        <v>23</v>
      </c>
      <c r="E54" s="17">
        <v>23</v>
      </c>
    </row>
  </sheetData>
  <autoFilter ref="A1:V51" xr:uid="{D6333A1E-4CCC-47DA-98C3-E7945B8628B8}">
    <sortState xmlns:xlrd2="http://schemas.microsoft.com/office/spreadsheetml/2017/richdata2" ref="A2:V51">
      <sortCondition ref="I1:I51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workbookViewId="0">
      <selection activeCell="E18" sqref="E18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D9" workbookViewId="0">
      <selection activeCell="I17" sqref="I1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245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231</v>
      </c>
    </row>
    <row r="15" spans="1:10" x14ac:dyDescent="0.35">
      <c r="C15" t="s">
        <v>217</v>
      </c>
      <c r="F15" t="s">
        <v>218</v>
      </c>
      <c r="H15" t="s">
        <v>248</v>
      </c>
      <c r="I15" t="s">
        <v>254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PARS!E36</f>
        <v>3.5</v>
      </c>
      <c r="I16">
        <f>PARS!E48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3.6831019254389274</v>
      </c>
      <c r="J19">
        <f>H19*(1/(1-0.16))</f>
        <v>4.3846451493320568</v>
      </c>
    </row>
    <row r="20" spans="3:10" x14ac:dyDescent="0.35">
      <c r="F20" t="s">
        <v>219</v>
      </c>
    </row>
    <row r="21" spans="3:10" x14ac:dyDescent="0.35">
      <c r="F21">
        <f>1873/(24*365)*EXP(I16*H16)</f>
        <v>0.21381278538812784</v>
      </c>
      <c r="H21">
        <f>F21*G27</f>
        <v>4.3683892602493426</v>
      </c>
      <c r="J21">
        <f>H21*(1/(1-0.16))</f>
        <v>5.2004634050587413</v>
      </c>
    </row>
    <row r="23" spans="3:10" x14ac:dyDescent="0.35">
      <c r="F23" t="s">
        <v>221</v>
      </c>
    </row>
    <row r="24" spans="3:10" x14ac:dyDescent="0.35">
      <c r="F24">
        <f>(F19*(1-F16)+F21*F16)/(1-0.16)</f>
        <v>0.23177593017301654</v>
      </c>
      <c r="J24">
        <f>J19*(1-F16)+J21*F16</f>
        <v>4.7353926114108162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22.35498373964581</v>
      </c>
      <c r="G27">
        <v>20.430907591983047</v>
      </c>
      <c r="J27">
        <f>J24*0.193</f>
        <v>0.9139307740022875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notes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2022-07-22T03:24:44Z</dcterms:modified>
</cp:coreProperties>
</file>