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21" documentId="13_ncr:1_{4F28EDA6-D733-432C-8BE6-EABD775845D2}" xr6:coauthVersionLast="47" xr6:coauthVersionMax="47" xr10:uidLastSave="{D1722FDC-9078-446B-93CB-2D625644220B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W_psid_old" sheetId="16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3" l="1"/>
  <c r="C23" i="3"/>
  <c r="D23" i="3"/>
  <c r="E34" i="3"/>
  <c r="V35" i="3"/>
  <c r="V34" i="3"/>
  <c r="J34" i="3"/>
  <c r="D34" i="3"/>
  <c r="C34" i="3"/>
  <c r="M8" i="2"/>
  <c r="M7" i="2"/>
  <c r="S4" i="3"/>
  <c r="P48" i="3"/>
  <c r="P38" i="3"/>
  <c r="D1" i="8"/>
  <c r="S48" i="3" l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E49" i="3"/>
  <c r="T48" i="3" l="1"/>
  <c r="U48" i="3" s="1"/>
  <c r="B39" i="11"/>
  <c r="B29" i="11"/>
  <c r="B24" i="11"/>
  <c r="B28" i="1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G49" i="3" s="1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J9" i="14" l="1"/>
  <c r="F21" i="1"/>
  <c r="H21" i="1" s="1"/>
  <c r="J21" i="1" s="1"/>
  <c r="J24" i="1" s="1"/>
  <c r="J27" i="1" s="1"/>
  <c r="B17" i="11"/>
  <c r="J36" i="14"/>
  <c r="B35" i="14"/>
  <c r="V35" i="14" s="1"/>
  <c r="J7" i="14"/>
  <c r="J12" i="14"/>
  <c r="F45" i="14"/>
  <c r="G45" i="14" s="1"/>
  <c r="D45" i="14" s="1"/>
  <c r="B2" i="11"/>
  <c r="B48" i="11"/>
  <c r="E48" i="11" s="1"/>
  <c r="D49" i="14"/>
  <c r="J31" i="14"/>
  <c r="D20" i="3"/>
  <c r="D20" i="11" s="1"/>
  <c r="C20" i="1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F49" i="3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B20" i="11" l="1"/>
  <c r="F24" i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11"/>
  <c r="C23" i="1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C34" i="11"/>
  <c r="B34" i="11" s="1"/>
  <c r="D30" i="3"/>
  <c r="D30" i="11" s="1"/>
  <c r="C30" i="3"/>
  <c r="C30" i="11" s="1"/>
  <c r="B30" i="11" s="1"/>
  <c r="D32" i="3"/>
  <c r="D32" i="11" s="1"/>
  <c r="C32" i="3"/>
  <c r="C32" i="11" s="1"/>
  <c r="D31" i="3"/>
  <c r="D31" i="11" s="1"/>
  <c r="C31" i="3"/>
  <c r="C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4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T4" i="3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5" i="11" l="1"/>
  <c r="B23" i="11"/>
  <c r="B31" i="11"/>
  <c r="B38" i="11"/>
  <c r="B8" i="11"/>
  <c r="B27" i="11"/>
  <c r="B32" i="11"/>
  <c r="B25" i="11"/>
  <c r="B47" i="11"/>
  <c r="E47" i="11" s="1"/>
  <c r="B18" i="11"/>
  <c r="B15" i="11"/>
  <c r="E15" i="11" s="1"/>
  <c r="B7" i="11"/>
  <c r="B13" i="11"/>
  <c r="B14" i="11"/>
  <c r="V4" i="3"/>
  <c r="E4" i="3" s="1"/>
  <c r="B4" i="11"/>
  <c r="B26" i="11"/>
  <c r="B22" i="11"/>
  <c r="E22" i="11" s="1"/>
  <c r="B36" i="11"/>
  <c r="E36" i="11" s="1"/>
  <c r="B10" i="11"/>
  <c r="B37" i="11"/>
  <c r="B16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C55" i="2"/>
  <c r="BB3" i="8"/>
  <c r="BB1" i="8" s="1"/>
  <c r="C54" i="2"/>
  <c r="C4" i="8"/>
  <c r="A4" i="8" s="1"/>
  <c r="D4" i="8" s="1" a="1"/>
  <c r="D4" i="8" s="1"/>
  <c r="C48" i="2"/>
  <c r="B11" i="11" l="1"/>
  <c r="Z4" i="8" a="1"/>
  <c r="Z4" i="8" s="1"/>
  <c r="X2" i="10" s="1"/>
  <c r="J4" i="3"/>
  <c r="E4" i="14"/>
  <c r="E5" i="3"/>
  <c r="B42" i="11"/>
  <c r="E42" i="11" s="1"/>
  <c r="B5" i="11"/>
  <c r="E5" i="11" s="1"/>
  <c r="B52" i="11"/>
  <c r="E52" i="11" s="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B2" i="10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B4" i="14" l="1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B21" i="11"/>
  <c r="E21" i="11" s="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12" authorId="1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2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3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<sst xmlns="http://schemas.openxmlformats.org/spreadsheetml/2006/main" count="1016" uniqueCount="257">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</sst>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F8" sqref="F8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223</v>
      </c>
      <c r="I1" s="18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0.63285130827649216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0.61894183200641673</v>
      </c>
    </row>
    <row r="4" spans="1:9" x14ac:dyDescent="0.35">
      <c r="A4" t="s">
        <v>75</v>
      </c>
      <c r="B4">
        <f>PARS!B4*$I$7+G4*(1-$I$7)*C4+(1-G4)*(1-$I$7)*D4</f>
        <v>-0.24496070520887248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0</v>
      </c>
      <c r="G4">
        <v>0.38912849591084697</v>
      </c>
      <c r="H4">
        <f t="shared" ca="1" si="1"/>
        <v>0.56771415659202906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7.1819063942139216E-2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3.6802923271112009E-2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0.73243072205543513</v>
      </c>
      <c r="I7">
        <v>0.6</v>
      </c>
    </row>
    <row r="8" spans="1:9" x14ac:dyDescent="0.35">
      <c r="A8" t="s">
        <v>74</v>
      </c>
      <c r="B8">
        <f>PARS!B8*$I$7+G8*(1-$I$7)*C8+(1-G8)*(1-$I$7)*D8</f>
        <v>-1.3953529232973967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0.27156641073222676</v>
      </c>
    </row>
    <row r="9" spans="1:9" x14ac:dyDescent="0.35">
      <c r="A9" t="s">
        <v>92</v>
      </c>
      <c r="B9">
        <f>PARS!B9*$I$7+G9*(1-$I$7)*C9+(1-G9)*(1-$I$7)*D9</f>
        <v>5.3763379994144628E-3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0.91248628901976159</v>
      </c>
    </row>
    <row r="10" spans="1:9" x14ac:dyDescent="0.35">
      <c r="A10" t="s">
        <v>93</v>
      </c>
      <c r="B10">
        <f>PARS!B10*$I$7+G10*(1-$I$7)*C10+(1-G10)*(1-$I$7)*D10</f>
        <v>1.6660801293185812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0.82614287543856624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0.53029343293650666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8.3425504344946888E-2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0.62680961487449283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0.61475571877963631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0.39262643192342472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0.9754187880399241</v>
      </c>
    </row>
    <row r="17" spans="1:8" x14ac:dyDescent="0.35">
      <c r="A17" t="s">
        <v>77</v>
      </c>
      <c r="B17">
        <f>PARS!B17*$I$7+G17*(1-$I$7)*C17+(1-G17)*(1-$I$7)*D17</f>
        <v>-1.5366608564918087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0.48051237638505306</v>
      </c>
    </row>
    <row r="18" spans="1:8" x14ac:dyDescent="0.35">
      <c r="A18" t="s">
        <v>96</v>
      </c>
      <c r="B18">
        <f>PARS!B18*$I$7+G18*(1-$I$7)*C18+(1-G18)*(1-$I$7)*D18</f>
        <v>-0.74506966676826081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0.69884889214814738</v>
      </c>
    </row>
    <row r="19" spans="1:8" x14ac:dyDescent="0.35">
      <c r="A19" t="s">
        <v>71</v>
      </c>
      <c r="B19">
        <f>PARS!B19*$I$7+G19*(1-$I$7)*C19+(1-G19)*(1-$I$7)*D19</f>
        <v>1.9251052461535394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0.36900682139829755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0.90763292922843408</v>
      </c>
    </row>
    <row r="21" spans="1:8" x14ac:dyDescent="0.35">
      <c r="A21" t="s">
        <v>73</v>
      </c>
      <c r="B21">
        <f>PARS!B21*$I$7+G21*(1-$I$7)*C21+(1-G21)*(1-$I$7)*D21</f>
        <v>0.88643679833054156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0.54622513333250811</v>
      </c>
    </row>
    <row r="22" spans="1:8" x14ac:dyDescent="0.35">
      <c r="A22" t="s">
        <v>68</v>
      </c>
      <c r="B22">
        <f>PARS!B22*$I$7+G22*(1-$I$7)*C22+(1-G22)*(1-$I$7)*D22</f>
        <v>1.0332016865579734</v>
      </c>
      <c r="C22">
        <f>PARS!C22</f>
        <v>0.7</v>
      </c>
      <c r="D22">
        <f>PARS!D22</f>
        <v>1.3</v>
      </c>
      <c r="E22" t="b">
        <f t="shared" si="0"/>
        <v>1</v>
      </c>
      <c r="F22">
        <v>1</v>
      </c>
      <c r="G22">
        <v>0.11165963934177736</v>
      </c>
      <c r="H22">
        <f t="shared" ca="1" si="1"/>
        <v>0.81682426274402553</v>
      </c>
    </row>
    <row r="23" spans="1:8" x14ac:dyDescent="0.35">
      <c r="A23" t="s">
        <v>79</v>
      </c>
      <c r="B23">
        <f>PARS!B23*$I$7+G23*(1-$I$7)*C23+(1-G23)*(1-$I$7)*D23</f>
        <v>2.680172697225399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0.53864388100556349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0.77998366522853979</v>
      </c>
    </row>
    <row r="25" spans="1:8" x14ac:dyDescent="0.35">
      <c r="A25" t="s">
        <v>190</v>
      </c>
      <c r="B25">
        <f>PARS!B25*$I$7+G25*(1-$I$7)*C25+(1-G25)*(1-$I$7)*D25</f>
        <v>-0.30651892974935974</v>
      </c>
      <c r="C25">
        <f>PARS!C25</f>
        <v>-0.35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0.89380194494129261</v>
      </c>
    </row>
    <row r="26" spans="1:8" x14ac:dyDescent="0.35">
      <c r="A26" t="s">
        <v>81</v>
      </c>
      <c r="B26">
        <f>PARS!B26*$I$7+G26*(1-$I$7)*C26+(1-G26)*(1-$I$7)*D26</f>
        <v>0.32465853711865161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0.39902521527682389</v>
      </c>
    </row>
    <row r="27" spans="1:8" x14ac:dyDescent="0.35">
      <c r="A27" t="s">
        <v>82</v>
      </c>
      <c r="B27">
        <f>PARS!B27*$I$7+G27*(1-$I$7)*C27+(1-G27)*(1-$I$7)*D27</f>
        <v>-0.55110492870218253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0.68474745607820042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0.80332194764640175</v>
      </c>
    </row>
    <row r="29" spans="1:8" x14ac:dyDescent="0.35">
      <c r="A29" t="s">
        <v>103</v>
      </c>
      <c r="B29">
        <f>PARS!B29*$I$7+G29*(1-$I$7)*C29+(1-G29)*(1-$I$7)*D29</f>
        <v>0.11502951700270461</v>
      </c>
      <c r="C29">
        <f>PARS!C29</f>
        <v>0</v>
      </c>
      <c r="D29">
        <f>PARS!D29</f>
        <v>0.3</v>
      </c>
      <c r="E29" t="b">
        <f t="shared" si="0"/>
        <v>1</v>
      </c>
      <c r="F29">
        <v>1</v>
      </c>
      <c r="G29">
        <v>9.142069164412836E-2</v>
      </c>
      <c r="H29">
        <f t="shared" ca="1" si="1"/>
        <v>0.19356180885374996</v>
      </c>
    </row>
    <row r="30" spans="1:8" x14ac:dyDescent="0.35">
      <c r="A30" t="s">
        <v>86</v>
      </c>
      <c r="B30">
        <f>PARS!B30*$I$7+G30*(1-$I$7)*C30+(1-G30)*(1-$I$7)*D30</f>
        <v>0.93485557644419637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1.9946461686709993E-2</v>
      </c>
    </row>
    <row r="31" spans="1:8" x14ac:dyDescent="0.35">
      <c r="A31" t="s">
        <v>83</v>
      </c>
      <c r="B31">
        <f>PARS!B31*$I$7+G31*(1-$I$7)*C31+(1-G31)*(1-$I$7)*D31</f>
        <v>1.5478910969025277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v>1</v>
      </c>
      <c r="G31">
        <v>0.13579284125938318</v>
      </c>
      <c r="H31">
        <f t="shared" ca="1" si="1"/>
        <v>0.30374488588674575</v>
      </c>
    </row>
    <row r="32" spans="1:8" x14ac:dyDescent="0.35">
      <c r="A32" t="s">
        <v>84</v>
      </c>
      <c r="B32">
        <f>PARS!B32*$I$7+G32*(1-$I$7)*C32+(1-G32)*(1-$I$7)*D32</f>
        <v>0.83031055171162316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0.46206250138198124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0.25290233321087197</v>
      </c>
    </row>
    <row r="34" spans="1:8" x14ac:dyDescent="0.35">
      <c r="A34" t="s">
        <v>87</v>
      </c>
      <c r="B34">
        <f>PARS!B34*$I$7+G34*(1-$I$7)*C34+(1-G34)*(1-$I$7)*D34</f>
        <v>0.56510516357706431</v>
      </c>
      <c r="C34">
        <f>PARS!C34</f>
        <v>0</v>
      </c>
      <c r="D34">
        <f>PARS!D34</f>
        <v>2</v>
      </c>
      <c r="E34" t="b">
        <f t="shared" si="0"/>
        <v>1</v>
      </c>
      <c r="F34">
        <v>1</v>
      </c>
      <c r="G34">
        <v>0.74361854552866957</v>
      </c>
      <c r="H34">
        <f t="shared" ca="1" si="1"/>
        <v>0.38728216228783274</v>
      </c>
    </row>
    <row r="35" spans="1:8" x14ac:dyDescent="0.35">
      <c r="A35" t="s">
        <v>88</v>
      </c>
      <c r="B35">
        <f>PARS!B35*$I$7+G35*(1-$I$7)*C35+(1-G35)*(1-$I$7)*D35</f>
        <v>-0.74471657772551725</v>
      </c>
      <c r="C35">
        <f>PARS!C35</f>
        <v>-2.3025850929940455</v>
      </c>
      <c r="D35">
        <f>PARS!D35</f>
        <v>-9.4310679471241415E-2</v>
      </c>
      <c r="E35" t="b">
        <f t="shared" si="0"/>
        <v>1</v>
      </c>
      <c r="F35">
        <v>1</v>
      </c>
      <c r="G35">
        <v>0.66453732192708659</v>
      </c>
      <c r="H35">
        <f t="shared" ca="1" si="1"/>
        <v>0.56104857315497336</v>
      </c>
    </row>
    <row r="36" spans="1:8" x14ac:dyDescent="0.35">
      <c r="A36" t="s">
        <v>89</v>
      </c>
      <c r="B36">
        <f>PARS!B36*$I$7+G36*(1-$I$7)*C36+(1-G36)*(1-$I$7)*D36</f>
        <v>-1.3538116901109891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v>1</v>
      </c>
      <c r="G36">
        <v>0.99363966578890262</v>
      </c>
      <c r="H36">
        <f t="shared" ca="1" si="1"/>
        <v>0.62911517091883817</v>
      </c>
    </row>
    <row r="37" spans="1:8" x14ac:dyDescent="0.35">
      <c r="A37" t="s">
        <v>102</v>
      </c>
      <c r="B37">
        <f>PARS!B37*$I$7+G37*(1-$I$7)*C37+(1-G37)*(1-$I$7)*D37</f>
        <v>-3.5303612171827259E-2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0.63473868104004638</v>
      </c>
    </row>
    <row r="38" spans="1:8" x14ac:dyDescent="0.35">
      <c r="A38" s="5" t="s">
        <v>69</v>
      </c>
      <c r="B38">
        <f>PARS!B38*$I$7+G38*(1-$I$7)*C38+(1-G38)*(1-$I$7)*D38</f>
        <v>0.39357624567143357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0.22517317926198321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0.33169266482256621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0.27011889323759208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0.50399270443186128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0.15207524020727003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0.88235125436102058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0.62432796616724151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0.87817935640555767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0.94189201138417367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0.10892305976665739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0.34634187023338248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0.36589224087487004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0.44206264064106404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0.61022146794999765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0.63341170891937004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5"/>
  <sheetViews>
    <sheetView tabSelected="1" zoomScale="57" zoomScaleNormal="43" workbookViewId="0">
      <selection activeCell="B22" sqref="B22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75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x14ac:dyDescent="0.35">
      <c r="A6" t="s">
        <v>248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-1.37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0.25410695955280027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3.9353506954704733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0.25410695955280027</v>
      </c>
    </row>
    <row r="9" spans="1:23" x14ac:dyDescent="0.35">
      <c r="A9" t="s">
        <v>92</v>
      </c>
      <c r="B9">
        <v>-0.05</v>
      </c>
      <c r="C9">
        <f t="shared" si="6"/>
        <v>-0.16251892949777494</v>
      </c>
      <c r="D9">
        <f t="shared" si="6"/>
        <v>0.69314718055994529</v>
      </c>
      <c r="E9" s="16">
        <f t="shared" si="7"/>
        <v>0.95122942450071402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1.0512710963760241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0.95122942450071402</v>
      </c>
    </row>
    <row r="10" spans="1:23" x14ac:dyDescent="0.35">
      <c r="A10" t="s">
        <v>93</v>
      </c>
      <c r="B10">
        <v>1.7</v>
      </c>
      <c r="C10">
        <f t="shared" si="6"/>
        <v>0.69314718055994529</v>
      </c>
      <c r="D10">
        <f t="shared" si="6"/>
        <v>1.791759469228055</v>
      </c>
      <c r="E10" s="16">
        <f t="shared" si="7"/>
        <v>5.4739473917271999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0.18268352405273464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5.4739473917271999</v>
      </c>
    </row>
    <row r="11" spans="1:23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0.95122942450071402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1.0512710963760241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-1.5434876769496899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-0.21363471174071746</v>
      </c>
      <c r="F17">
        <v>-0.312</v>
      </c>
      <c r="G17">
        <v>-0.1</v>
      </c>
      <c r="H17">
        <v>1.4</v>
      </c>
      <c r="I17">
        <v>1.4</v>
      </c>
      <c r="J17">
        <f t="shared" si="9"/>
        <v>-4.6808872577489762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-0.21363471174071746</v>
      </c>
    </row>
    <row r="18" spans="1:26" x14ac:dyDescent="0.35">
      <c r="A18" t="s">
        <v>96</v>
      </c>
      <c r="B18">
        <v>-0.6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0.54881163609402639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1.8221188003905091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0.54881163609402639</v>
      </c>
    </row>
    <row r="19" spans="1:26" x14ac:dyDescent="0.35">
      <c r="A19" t="s">
        <v>71</v>
      </c>
      <c r="B19">
        <v>1.7055032271614801</v>
      </c>
      <c r="C19">
        <f t="shared" si="11"/>
        <v>1.6094379124341003</v>
      </c>
      <c r="D19">
        <f t="shared" si="11"/>
        <v>2.341805806147327</v>
      </c>
      <c r="E19" s="16">
        <f t="shared" si="10"/>
        <v>5.5041548106006601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0.18168093638537602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5.5041548106006601</v>
      </c>
    </row>
    <row r="20" spans="1:26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0.18</v>
      </c>
      <c r="C21">
        <f>-LN(1/F21 -1)*10</f>
        <v>0</v>
      </c>
      <c r="D21">
        <f>-LN(1/G21 -1)*10</f>
        <v>2.0067069546215124</v>
      </c>
      <c r="E21" s="16">
        <f t="shared" ref="E21:E23" si="12">V21</f>
        <v>0.50449987850393641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40.003240087480947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0.50449987850393641</v>
      </c>
      <c r="W21" t="s">
        <v>242</v>
      </c>
      <c r="Z21" s="15"/>
    </row>
    <row r="22" spans="1:26" x14ac:dyDescent="0.35">
      <c r="A22" t="s">
        <v>68</v>
      </c>
      <c r="B22">
        <v>0.9</v>
      </c>
      <c r="C22">
        <v>0.7</v>
      </c>
      <c r="D22">
        <v>1.3</v>
      </c>
      <c r="E22" s="16">
        <f t="shared" si="12"/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9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24.596031111569499</v>
      </c>
    </row>
    <row r="23" spans="1:26" x14ac:dyDescent="0.35">
      <c r="A23" t="s">
        <v>79</v>
      </c>
      <c r="B23">
        <v>1.6</v>
      </c>
      <c r="C23">
        <f>1-LN(1/(F23-1) -1)</f>
        <v>1</v>
      </c>
      <c r="D23">
        <f>1-LN(1/(G23-1) -1)</f>
        <v>7.9067547786486871</v>
      </c>
      <c r="E23" s="16">
        <f t="shared" si="12"/>
        <v>1.6456563062257954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4.3709304364845352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1.6456563062257954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-0.3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-0.3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-0.3</v>
      </c>
    </row>
    <row r="26" spans="1:26" x14ac:dyDescent="0.35">
      <c r="A26" t="s">
        <v>81</v>
      </c>
      <c r="B26">
        <v>0.21</v>
      </c>
      <c r="C26">
        <f t="shared" si="13"/>
        <v>0</v>
      </c>
      <c r="D26">
        <f t="shared" si="13"/>
        <v>0.5</v>
      </c>
      <c r="E26" s="16">
        <f t="shared" si="14"/>
        <v>0.21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0.21</v>
      </c>
    </row>
    <row r="27" spans="1:26" x14ac:dyDescent="0.35">
      <c r="A27" t="s">
        <v>82</v>
      </c>
      <c r="B27">
        <v>-0.55000000000000004</v>
      </c>
      <c r="C27">
        <f>LN(F27)</f>
        <v>-1.2039728043259361</v>
      </c>
      <c r="D27">
        <f>LN(G27)</f>
        <v>0.69314718055994529</v>
      </c>
      <c r="E27" s="16">
        <f t="shared" si="14"/>
        <v>0.57694981038048665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1.7332530178673953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0.57694981038048665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0.01</v>
      </c>
      <c r="C29">
        <f>F29</f>
        <v>0</v>
      </c>
      <c r="D29">
        <f>G29</f>
        <v>0.3</v>
      </c>
      <c r="E29" s="16">
        <f t="shared" ref="E29:E32" si="16">V29</f>
        <v>0.01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0.01</v>
      </c>
    </row>
    <row r="30" spans="1:26" x14ac:dyDescent="0.35">
      <c r="A30" t="s">
        <v>86</v>
      </c>
      <c r="B30">
        <v>1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2.7182818284590451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0.36787944117144233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2.7182818284590451</v>
      </c>
    </row>
    <row r="31" spans="1:26" x14ac:dyDescent="0.35">
      <c r="A31" t="s">
        <v>83</v>
      </c>
      <c r="B31">
        <v>1.2</v>
      </c>
      <c r="C31">
        <f t="shared" si="17"/>
        <v>0.58778666490211906</v>
      </c>
      <c r="D31">
        <f t="shared" si="17"/>
        <v>2.3025850929940459</v>
      </c>
      <c r="E31" s="16">
        <f t="shared" si="16"/>
        <v>3.3201169227365472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0.30119421191220214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3.3201169227365472</v>
      </c>
    </row>
    <row r="32" spans="1:26" x14ac:dyDescent="0.35">
      <c r="A32" t="s">
        <v>84</v>
      </c>
      <c r="B32">
        <v>0.4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0.598687660112452</v>
      </c>
      <c r="F32">
        <v>0.2</v>
      </c>
      <c r="G32">
        <v>0.999</v>
      </c>
      <c r="H32">
        <v>5.01</v>
      </c>
      <c r="I32">
        <v>5.03</v>
      </c>
      <c r="J32">
        <f>1/(E32*(1-E32))</f>
        <v>4.1621447436769099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0.598687660112452</v>
      </c>
    </row>
    <row r="33" spans="1:22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 s="3">
        <v>0.6</v>
      </c>
      <c r="C34">
        <f>F34</f>
        <v>0</v>
      </c>
      <c r="D34">
        <f>G34</f>
        <v>2</v>
      </c>
      <c r="E34" s="16">
        <f>B34</f>
        <v>0.6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0.6</v>
      </c>
    </row>
    <row r="35" spans="1:22" x14ac:dyDescent="0.35">
      <c r="A35" t="s">
        <v>88</v>
      </c>
      <c r="B35">
        <v>-0.2</v>
      </c>
      <c r="C35">
        <f t="shared" ref="C35:D37" si="20">LN(F35)</f>
        <v>-2.3025850929940455</v>
      </c>
      <c r="D35">
        <f t="shared" si="20"/>
        <v>-9.4310679471241415E-2</v>
      </c>
      <c r="E35" s="16">
        <f t="shared" ref="E35:E38" si="21">V35</f>
        <v>0.81873075307798182</v>
      </c>
      <c r="F35">
        <v>0.1</v>
      </c>
      <c r="G35">
        <v>0.90999999999999992</v>
      </c>
      <c r="H35">
        <v>6.01</v>
      </c>
      <c r="I35">
        <v>6</v>
      </c>
      <c r="J35">
        <f t="shared" ref="J35:J37" si="22">1/E35</f>
        <v>1.2214027581601699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0.81873075307798182</v>
      </c>
    </row>
    <row r="36" spans="1:22" x14ac:dyDescent="0.35">
      <c r="A36" t="s">
        <v>89</v>
      </c>
      <c r="B36">
        <v>2.2999999999999998</v>
      </c>
      <c r="C36">
        <f t="shared" si="20"/>
        <v>-6.9077552789821368</v>
      </c>
      <c r="D36">
        <f t="shared" si="20"/>
        <v>4.6051701859880918</v>
      </c>
      <c r="E36" s="16">
        <f t="shared" si="21"/>
        <v>9.9741824548147182</v>
      </c>
      <c r="F36">
        <v>1E-3</v>
      </c>
      <c r="G36">
        <v>100</v>
      </c>
      <c r="H36">
        <v>6.02</v>
      </c>
      <c r="I36">
        <v>6</v>
      </c>
      <c r="J36">
        <f t="shared" si="22"/>
        <v>0.10025884372280376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9.9741824548147182</v>
      </c>
    </row>
    <row r="37" spans="1:22" x14ac:dyDescent="0.35">
      <c r="A37" t="s">
        <v>102</v>
      </c>
      <c r="B37">
        <v>1.87721346362021</v>
      </c>
      <c r="C37">
        <f t="shared" si="20"/>
        <v>-6.9077552789821368</v>
      </c>
      <c r="D37">
        <f t="shared" si="20"/>
        <v>3.1010977891993172</v>
      </c>
      <c r="E37" s="16">
        <f t="shared" si="21"/>
        <v>6.5352687021392155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0.1530158966030985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6.5352687021392155</v>
      </c>
    </row>
    <row r="38" spans="1:22" x14ac:dyDescent="0.35">
      <c r="A38" s="5" t="s">
        <v>69</v>
      </c>
      <c r="B38">
        <v>0.14684066656126399</v>
      </c>
      <c r="C38">
        <f>-LN(1/F38 -1)</f>
        <v>-4.0005334613699206E-2</v>
      </c>
      <c r="D38">
        <f>-LN(1/G38 -1)</f>
        <v>0.84729786038720356</v>
      </c>
      <c r="E38" s="16">
        <f t="shared" si="21"/>
        <v>0.53664434595453747</v>
      </c>
      <c r="F38">
        <v>0.49</v>
      </c>
      <c r="G38">
        <v>0.7</v>
      </c>
      <c r="H38">
        <v>87</v>
      </c>
      <c r="I38">
        <v>87</v>
      </c>
      <c r="J38">
        <f>1/(E38*(1-E38))</f>
        <v>4.0216009531857688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0.53664434595453747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x14ac:dyDescent="0.35">
      <c r="A48" t="s">
        <v>247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K48">
        <v>1</v>
      </c>
      <c r="O48">
        <v>1</v>
      </c>
      <c r="P48">
        <f t="shared" si="0"/>
        <v>1</v>
      </c>
      <c r="S48">
        <f t="shared" ref="S48:U48" si="26">SUM(O48:R48)</f>
        <v>2</v>
      </c>
      <c r="T48">
        <f t="shared" si="26"/>
        <v>3</v>
      </c>
      <c r="U48">
        <f t="shared" si="26"/>
        <v>5</v>
      </c>
    </row>
    <row r="49" spans="1:21" x14ac:dyDescent="0.35">
      <c r="A49" t="s">
        <v>249</v>
      </c>
      <c r="B49" s="14">
        <v>0</v>
      </c>
      <c r="C49" s="14">
        <f t="shared" ref="C49:D49" si="27">F49</f>
        <v>1</v>
      </c>
      <c r="D49" s="14">
        <f t="shared" si="27"/>
        <v>1</v>
      </c>
      <c r="E49" s="14">
        <f>IF(E48=3.5,0.0135,IF(OR(E48=3.7,E48=7),0,1))</f>
        <v>0</v>
      </c>
      <c r="F49" s="14">
        <f t="shared" ref="F49:G49" si="28">IF(F48=3.5,0.0135,1)</f>
        <v>1</v>
      </c>
      <c r="G49" s="14">
        <f t="shared" si="28"/>
        <v>1</v>
      </c>
      <c r="O49">
        <v>1</v>
      </c>
      <c r="P49">
        <f t="shared" ref="P49" si="29">SUM(L49:O49)</f>
        <v>1</v>
      </c>
      <c r="S49">
        <f t="shared" ref="S49" si="30">L49-Q49</f>
        <v>0</v>
      </c>
      <c r="T49">
        <f t="shared" ref="T49" si="31">S49+N49+Q49+M49</f>
        <v>0</v>
      </c>
      <c r="U49">
        <f t="shared" ref="U49" si="32">T49</f>
        <v>0</v>
      </c>
    </row>
    <row r="50" spans="1:21" x14ac:dyDescent="0.35">
      <c r="A50" t="s">
        <v>179</v>
      </c>
      <c r="B50">
        <v>1.0696163149411613</v>
      </c>
      <c r="C50">
        <f t="shared" ref="C50:D52" si="33">B50</f>
        <v>1.0696163149411613</v>
      </c>
      <c r="D50">
        <f t="shared" si="33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x14ac:dyDescent="0.35">
      <c r="A51" t="s">
        <v>180</v>
      </c>
      <c r="B51">
        <v>0.99381918034015848</v>
      </c>
      <c r="C51">
        <f t="shared" si="33"/>
        <v>0.99381918034015848</v>
      </c>
      <c r="D51">
        <f t="shared" si="33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x14ac:dyDescent="0.35">
      <c r="A52" t="s">
        <v>181</v>
      </c>
      <c r="B52">
        <v>0.9618468890261952</v>
      </c>
      <c r="C52">
        <f t="shared" si="33"/>
        <v>0.9618468890261952</v>
      </c>
      <c r="D52">
        <f t="shared" si="33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  <row r="53" spans="1:21" x14ac:dyDescent="0.35">
      <c r="B53">
        <v>1</v>
      </c>
    </row>
    <row r="54" spans="1:21" x14ac:dyDescent="0.35">
      <c r="B54">
        <v>0.35</v>
      </c>
    </row>
    <row r="55" spans="1:21" x14ac:dyDescent="0.35">
      <c r="B55">
        <v>23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76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-1.37</v>
      </c>
      <c r="C8">
        <f t="shared" si="6"/>
        <v>-2.3025850929940455</v>
      </c>
      <c r="D8">
        <f t="shared" si="6"/>
        <v>-0.916290731874155</v>
      </c>
      <c r="E8" s="16">
        <f>PARS!E8</f>
        <v>0.25410695955280027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3.9353506954704733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0.25410695955280027</v>
      </c>
    </row>
    <row r="9" spans="1:22" x14ac:dyDescent="0.35">
      <c r="A9" t="s">
        <v>92</v>
      </c>
      <c r="B9">
        <f t="shared" si="6"/>
        <v>-4.9999999999999996E-2</v>
      </c>
      <c r="C9">
        <f t="shared" si="6"/>
        <v>-0.16251892949777494</v>
      </c>
      <c r="D9">
        <f t="shared" si="6"/>
        <v>0.69314718055994529</v>
      </c>
      <c r="E9" s="16">
        <f>PARS!E9</f>
        <v>0.95122942450071402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1.0512710963760241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0.95122942450071402</v>
      </c>
    </row>
    <row r="10" spans="1:22" x14ac:dyDescent="0.35">
      <c r="A10" t="s">
        <v>93</v>
      </c>
      <c r="B10">
        <f t="shared" si="6"/>
        <v>1.7</v>
      </c>
      <c r="C10">
        <f t="shared" si="6"/>
        <v>0.69314718055994529</v>
      </c>
      <c r="D10">
        <f t="shared" si="6"/>
        <v>1.791759469228055</v>
      </c>
      <c r="E10" s="16">
        <f>PARS!E10</f>
        <v>5.4739473917271999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0.18268352405273464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5.4739473917271999</v>
      </c>
    </row>
    <row r="11" spans="1:22" x14ac:dyDescent="0.35">
      <c r="A11" t="s">
        <v>98</v>
      </c>
      <c r="B11">
        <f>LN(E11)</f>
        <v>-4.9999999999999996E-2</v>
      </c>
      <c r="C11">
        <f>C4</f>
        <v>-0.51082562376599072</v>
      </c>
      <c r="D11">
        <f>D4</f>
        <v>0.18232155679395459</v>
      </c>
      <c r="E11" s="16">
        <f>PARS!E11</f>
        <v>0.95122942450071402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1.0512710963760241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-1.5434876769496899</v>
      </c>
      <c r="C17">
        <f>LN(-G17)</f>
        <v>-2.3025850929940455</v>
      </c>
      <c r="D17">
        <f>LN(-F17)</f>
        <v>-1.1647520911726548</v>
      </c>
      <c r="E17" s="16">
        <f>PARS!E17</f>
        <v>-0.21363471174071746</v>
      </c>
      <c r="F17">
        <v>-0.312</v>
      </c>
      <c r="G17">
        <v>-0.1</v>
      </c>
      <c r="H17">
        <v>1.4</v>
      </c>
      <c r="I17">
        <v>1.4</v>
      </c>
      <c r="J17">
        <f t="shared" si="8"/>
        <v>-4.6808872577489762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-0.21363471174071746</v>
      </c>
    </row>
    <row r="18" spans="1:26" x14ac:dyDescent="0.35">
      <c r="A18" t="s">
        <v>96</v>
      </c>
      <c r="B18">
        <f t="shared" ref="B18:D19" si="9">LN(E18)</f>
        <v>-0.60000000000000009</v>
      </c>
      <c r="C18">
        <f t="shared" si="9"/>
        <v>-1.2039728043259361</v>
      </c>
      <c r="D18">
        <f t="shared" si="9"/>
        <v>-0.43078291609245423</v>
      </c>
      <c r="E18" s="16">
        <f>PARS!E18</f>
        <v>0.54881163609402639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1.8221188003905091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0.54881163609402639</v>
      </c>
    </row>
    <row r="19" spans="1:26" x14ac:dyDescent="0.35">
      <c r="A19" t="s">
        <v>71</v>
      </c>
      <c r="B19">
        <f t="shared" si="9"/>
        <v>1.7055032271614801</v>
      </c>
      <c r="C19">
        <f t="shared" si="9"/>
        <v>1.6094379124341003</v>
      </c>
      <c r="D19">
        <f t="shared" si="9"/>
        <v>2.341805806147327</v>
      </c>
      <c r="E19" s="16">
        <f>PARS!E19</f>
        <v>5.5041548106006601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0.18168093638537602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5.5041548106006601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17.999999999999723</v>
      </c>
      <c r="C21">
        <f>-LN(1/F21 -1)</f>
        <v>0</v>
      </c>
      <c r="D21">
        <f>-LN(1/G21 -1)</f>
        <v>0.40546510810816427</v>
      </c>
      <c r="E21" s="16">
        <f>PARS!E21</f>
        <v>0.50449987850393641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4000.3240087480945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0.50449987850393641</v>
      </c>
      <c r="W21" t="s">
        <v>242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0.9</v>
      </c>
      <c r="C22">
        <f>LN(F22/10)</f>
        <v>0.37156355643248301</v>
      </c>
      <c r="D22">
        <f>LN(G22/10)</f>
        <v>0.61518563909023349</v>
      </c>
      <c r="E22" s="16">
        <f>PARS!E22</f>
        <v>24.596031111569499</v>
      </c>
      <c r="F22">
        <v>14.5</v>
      </c>
      <c r="G22">
        <v>18.5</v>
      </c>
      <c r="H22">
        <v>4</v>
      </c>
      <c r="I22">
        <v>4</v>
      </c>
      <c r="J22">
        <f t="shared" si="8"/>
        <v>4.0656965974059905E-2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24.596031111569499</v>
      </c>
    </row>
    <row r="23" spans="1:26" x14ac:dyDescent="0.35">
      <c r="A23" t="s">
        <v>79</v>
      </c>
      <c r="B23">
        <f>1-LN(1/(E23-1) -1)</f>
        <v>1.5999999999999999</v>
      </c>
      <c r="C23">
        <f>1-LN(1/(F23-1) -1)</f>
        <v>1</v>
      </c>
      <c r="D23">
        <f>1-LN(1/(G23-1) -1)</f>
        <v>7.9067547786486871</v>
      </c>
      <c r="E23" s="16">
        <f>PARS!E23</f>
        <v>1.6456563062257954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4.3709304364845352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1.6456563062257954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-0.3</v>
      </c>
      <c r="C25">
        <f t="shared" si="10"/>
        <v>-0.15</v>
      </c>
      <c r="D25">
        <f t="shared" si="10"/>
        <v>0.05</v>
      </c>
      <c r="E25" s="16">
        <f>PARS!E25</f>
        <v>-0.3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0.21</v>
      </c>
      <c r="C26">
        <f t="shared" si="10"/>
        <v>0</v>
      </c>
      <c r="D26">
        <f t="shared" si="10"/>
        <v>0.5</v>
      </c>
      <c r="E26" s="16">
        <f>PARS!E26</f>
        <v>0.21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-0.55000000000000004</v>
      </c>
      <c r="C27">
        <f>LN(F27)</f>
        <v>-0.35667494393873245</v>
      </c>
      <c r="D27">
        <f>LN(G27)</f>
        <v>1.0986122886681098</v>
      </c>
      <c r="E27" s="16">
        <f>PARS!E27</f>
        <v>0.57694981038048665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1.7332530178673953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0.57694981038048665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0.01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1</v>
      </c>
      <c r="C30">
        <f t="shared" si="12"/>
        <v>0</v>
      </c>
      <c r="D30">
        <f t="shared" si="12"/>
        <v>2.3025850929940459</v>
      </c>
      <c r="E30" s="16">
        <f>PARS!E30</f>
        <v>2.7182818284590451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0.36787944117144233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2.7182818284590451</v>
      </c>
    </row>
    <row r="31" spans="1:26" x14ac:dyDescent="0.35">
      <c r="A31" t="s">
        <v>83</v>
      </c>
      <c r="B31">
        <f t="shared" si="12"/>
        <v>1.2</v>
      </c>
      <c r="C31">
        <f t="shared" si="12"/>
        <v>0.58778666490211906</v>
      </c>
      <c r="D31">
        <f t="shared" si="12"/>
        <v>1.3862943611198906</v>
      </c>
      <c r="E31" s="16">
        <f>PARS!E31</f>
        <v>3.3201169227365472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0.30119421191220214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3.3201169227365472</v>
      </c>
    </row>
    <row r="32" spans="1:26" x14ac:dyDescent="0.35">
      <c r="A32" t="s">
        <v>84</v>
      </c>
      <c r="B32">
        <f t="shared" ref="B32:D32" si="14">-LN(1/E32 -1)</f>
        <v>0.39999999999999997</v>
      </c>
      <c r="C32">
        <f t="shared" si="14"/>
        <v>-2.1972245773362196</v>
      </c>
      <c r="D32">
        <f t="shared" si="14"/>
        <v>6.9067547786484651</v>
      </c>
      <c r="E32" s="16">
        <f>PARS!E32</f>
        <v>0.598687660112452</v>
      </c>
      <c r="F32">
        <v>0.1</v>
      </c>
      <c r="G32">
        <v>0.999</v>
      </c>
      <c r="H32">
        <v>5.01</v>
      </c>
      <c r="I32">
        <v>5.03</v>
      </c>
      <c r="J32">
        <f>1/(E32*(1-E32))</f>
        <v>4.1621447436769099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0.598687660112452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-0.51082562376599072</v>
      </c>
      <c r="C34">
        <f t="shared" si="15"/>
        <v>-2.3025850929940455</v>
      </c>
      <c r="D34">
        <f t="shared" si="15"/>
        <v>0.69314718055994529</v>
      </c>
      <c r="E34" s="16">
        <f>PARS!E34</f>
        <v>0.6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1.6666666666666667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0.6</v>
      </c>
    </row>
    <row r="35" spans="1:22" x14ac:dyDescent="0.35">
      <c r="A35" t="s">
        <v>88</v>
      </c>
      <c r="B35">
        <f t="shared" si="15"/>
        <v>-0.20000000000000004</v>
      </c>
      <c r="C35">
        <f t="shared" si="15"/>
        <v>-0.71334988787746489</v>
      </c>
      <c r="D35">
        <f t="shared" si="15"/>
        <v>-9.4310679471241415E-2</v>
      </c>
      <c r="E35" s="16">
        <f>PARS!E35</f>
        <v>0.81873075307798182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1.2214027581601699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0.81873075307798182</v>
      </c>
    </row>
    <row r="36" spans="1:22" x14ac:dyDescent="0.35">
      <c r="A36" t="s">
        <v>89</v>
      </c>
      <c r="B36">
        <f t="shared" si="15"/>
        <v>2.2999999999999998</v>
      </c>
      <c r="C36">
        <f t="shared" si="15"/>
        <v>-6.9077552789821368</v>
      </c>
      <c r="D36">
        <f t="shared" si="15"/>
        <v>2.9957322735539909</v>
      </c>
      <c r="E36" s="16">
        <f>PARS!E36</f>
        <v>9.9741824548147182</v>
      </c>
      <c r="F36">
        <v>1E-3</v>
      </c>
      <c r="G36">
        <v>20</v>
      </c>
      <c r="H36">
        <v>6.02</v>
      </c>
      <c r="I36">
        <v>6</v>
      </c>
      <c r="J36">
        <f t="shared" si="16"/>
        <v>0.10025884372280376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9.9741824548147182</v>
      </c>
    </row>
    <row r="37" spans="1:22" x14ac:dyDescent="0.35">
      <c r="A37" t="s">
        <v>102</v>
      </c>
      <c r="B37">
        <f t="shared" si="15"/>
        <v>1.87721346362021</v>
      </c>
      <c r="C37">
        <f t="shared" si="15"/>
        <v>-6.9077552789821368</v>
      </c>
      <c r="D37">
        <f t="shared" si="15"/>
        <v>3.1010977891993172</v>
      </c>
      <c r="E37" s="16">
        <f>PARS!E37</f>
        <v>6.5352687021392155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0.1530158966030985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6.5352687021392155</v>
      </c>
    </row>
    <row r="38" spans="1:22" x14ac:dyDescent="0.35">
      <c r="A38" s="5" t="s">
        <v>69</v>
      </c>
      <c r="B38">
        <f>-LN(1/E38 -1)</f>
        <v>0.14684066656126438</v>
      </c>
      <c r="C38">
        <f>-LN(1/F38 -1)</f>
        <v>-4.0005334613699206E-2</v>
      </c>
      <c r="D38">
        <f>-LN(1/G38 -1)</f>
        <v>0.84729786038720356</v>
      </c>
      <c r="E38" s="16">
        <f>PARS!E38</f>
        <v>0.53664434595453747</v>
      </c>
      <c r="F38">
        <v>0.49</v>
      </c>
      <c r="G38">
        <v>0.7</v>
      </c>
      <c r="H38">
        <v>87</v>
      </c>
      <c r="I38">
        <v>87</v>
      </c>
      <c r="J38">
        <f>1/(E38*(1-E38))</f>
        <v>4.0216009531857688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0.53664434595453747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6">
        <v>0.35</v>
      </c>
    </row>
    <row r="55" spans="1:21" x14ac:dyDescent="0.35">
      <c r="A55" t="s">
        <v>246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M59"/>
  <sheetViews>
    <sheetView workbookViewId="0">
      <selection activeCell="C8" sqref="C8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3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13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3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13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13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13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3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  <c r="L7" t="s">
        <v>255</v>
      </c>
      <c r="M7">
        <f>24*365-(C6+C5)-C10-C45*9</f>
        <v>6251.073262463683</v>
      </c>
    </row>
    <row r="8" spans="1:13" x14ac:dyDescent="0.35">
      <c r="A8" t="s">
        <v>48</v>
      </c>
      <c r="B8" t="str">
        <f t="shared" si="0"/>
        <v>whours_pnw_difwpww</v>
      </c>
      <c r="C8" s="3">
        <f>VLOOKUP(B8,Moments_psid!A:C,3,0)</f>
        <v>105.92467385866679</v>
      </c>
      <c r="D8">
        <f>1</f>
        <v>1</v>
      </c>
      <c r="F8">
        <v>1.01</v>
      </c>
      <c r="G8">
        <v>7</v>
      </c>
      <c r="L8" t="s">
        <v>256</v>
      </c>
      <c r="M8">
        <f>24*365-(C6+C5+C8)-(C10+C12)-C45*9</f>
        <v>6254.3033441807356</v>
      </c>
    </row>
    <row r="9" spans="1:13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3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3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13" x14ac:dyDescent="0.35">
      <c r="A12" t="s">
        <v>51</v>
      </c>
      <c r="B12" t="str">
        <f t="shared" si="0"/>
        <v>whwk_pnw_dif</v>
      </c>
      <c r="C12" s="3">
        <f>VLOOKUP(B12,Moments_psid!A:C,3,0)</f>
        <v>-109.1547555757197</v>
      </c>
      <c r="D12">
        <f>1</f>
        <v>1</v>
      </c>
      <c r="F12">
        <v>1.5</v>
      </c>
      <c r="G12">
        <v>11</v>
      </c>
    </row>
    <row r="13" spans="1:13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13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13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1</v>
      </c>
      <c r="F15">
        <v>1.5</v>
      </c>
      <c r="G15">
        <v>14</v>
      </c>
    </row>
    <row r="16" spans="1:13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81640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5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5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5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5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5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5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5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5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5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5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5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5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5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5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5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H18" sqref="H18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6.5352687021392155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87" max="87" width="8.81640625" style="3"/>
    <col min="90" max="90" width="8.81640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2022-08-24T22:12:10Z</dcterms:modified>
</cp:coreProperties>
</file>